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CaseMix!$A$1:$M$39</definedName>
  </definedNames>
  <calcPr calcId="152511"/>
</workbook>
</file>

<file path=xl/calcChain.xml><?xml version="1.0" encoding="utf-8"?>
<calcChain xmlns="http://schemas.openxmlformats.org/spreadsheetml/2006/main">
  <c r="V114" i="371" l="1"/>
  <c r="U114" i="371"/>
  <c r="T114" i="371"/>
  <c r="S114" i="371"/>
  <c r="R114" i="371"/>
  <c r="Q114" i="371"/>
  <c r="T113" i="371"/>
  <c r="V113" i="371" s="1"/>
  <c r="S113" i="371"/>
  <c r="R113" i="371"/>
  <c r="Q113" i="371"/>
  <c r="U112" i="371"/>
  <c r="T112" i="371"/>
  <c r="V112" i="371" s="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T91" i="371"/>
  <c r="U91" i="371" s="1"/>
  <c r="S91" i="371"/>
  <c r="V91" i="371" s="1"/>
  <c r="R91" i="371"/>
  <c r="Q91" i="371"/>
  <c r="U90" i="371"/>
  <c r="T90" i="371"/>
  <c r="V90" i="371" s="1"/>
  <c r="S90" i="371"/>
  <c r="R90" i="371"/>
  <c r="Q90" i="371"/>
  <c r="T89" i="371"/>
  <c r="U89" i="371" s="1"/>
  <c r="S89" i="371"/>
  <c r="V89" i="371" s="1"/>
  <c r="R89" i="371"/>
  <c r="Q89" i="371"/>
  <c r="U88" i="371"/>
  <c r="T88" i="371"/>
  <c r="V88" i="371" s="1"/>
  <c r="S88" i="371"/>
  <c r="R88" i="371"/>
  <c r="Q88" i="371"/>
  <c r="T87" i="371"/>
  <c r="U87" i="371" s="1"/>
  <c r="S87" i="371"/>
  <c r="V87" i="371" s="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T83" i="371"/>
  <c r="U83" i="371" s="1"/>
  <c r="S83" i="371"/>
  <c r="V83" i="371" s="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U80" i="371"/>
  <c r="T80" i="371"/>
  <c r="V80" i="371" s="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U74" i="371"/>
  <c r="T74" i="371"/>
  <c r="V74" i="371" s="1"/>
  <c r="S74" i="371"/>
  <c r="R74" i="371"/>
  <c r="Q74" i="371"/>
  <c r="T73" i="371"/>
  <c r="U73" i="371" s="1"/>
  <c r="S73" i="371"/>
  <c r="V73" i="371" s="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U70" i="371" s="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U65" i="371" s="1"/>
  <c r="S65" i="371"/>
  <c r="V65" i="371" s="1"/>
  <c r="R65" i="371"/>
  <c r="Q65" i="371"/>
  <c r="V64" i="371"/>
  <c r="U64" i="371"/>
  <c r="T64" i="371"/>
  <c r="S64" i="371"/>
  <c r="R64" i="371"/>
  <c r="Q64" i="371"/>
  <c r="T63" i="371"/>
  <c r="U63" i="371" s="1"/>
  <c r="S63" i="371"/>
  <c r="V63" i="371" s="1"/>
  <c r="R63" i="371"/>
  <c r="Q63" i="371"/>
  <c r="V62" i="371"/>
  <c r="U62" i="371"/>
  <c r="T62" i="371"/>
  <c r="S62" i="371"/>
  <c r="R62" i="371"/>
  <c r="Q62" i="371"/>
  <c r="T61" i="371"/>
  <c r="U61" i="371" s="1"/>
  <c r="S61" i="371"/>
  <c r="V61" i="371" s="1"/>
  <c r="R61" i="371"/>
  <c r="Q61" i="371"/>
  <c r="U60" i="371"/>
  <c r="T60" i="371"/>
  <c r="V60" i="371" s="1"/>
  <c r="S60" i="371"/>
  <c r="R60" i="371"/>
  <c r="Q60" i="371"/>
  <c r="V59" i="371"/>
  <c r="U59" i="371"/>
  <c r="T59" i="371"/>
  <c r="S59" i="371"/>
  <c r="R59" i="371"/>
  <c r="Q59" i="371"/>
  <c r="U58" i="371"/>
  <c r="T58" i="371"/>
  <c r="V58" i="371" s="1"/>
  <c r="S58" i="371"/>
  <c r="R58" i="371"/>
  <c r="Q58" i="371"/>
  <c r="T57" i="371"/>
  <c r="U57" i="371" s="1"/>
  <c r="S57" i="371"/>
  <c r="V57" i="371" s="1"/>
  <c r="R57" i="371"/>
  <c r="Q57" i="371"/>
  <c r="U56" i="371"/>
  <c r="T56" i="371"/>
  <c r="V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U51" i="371" s="1"/>
  <c r="S51" i="371"/>
  <c r="V51" i="371" s="1"/>
  <c r="R51" i="371"/>
  <c r="Q51" i="371"/>
  <c r="V50" i="371"/>
  <c r="U50" i="371"/>
  <c r="T50" i="371"/>
  <c r="S50" i="371"/>
  <c r="R50" i="371"/>
  <c r="Q50" i="371"/>
  <c r="T49" i="371"/>
  <c r="U49" i="371" s="1"/>
  <c r="S49" i="371"/>
  <c r="V49" i="371" s="1"/>
  <c r="R49" i="371"/>
  <c r="Q49" i="371"/>
  <c r="V48" i="371"/>
  <c r="U48" i="371"/>
  <c r="T48" i="371"/>
  <c r="S48" i="371"/>
  <c r="R48" i="371"/>
  <c r="Q48" i="371"/>
  <c r="T47" i="371"/>
  <c r="U47" i="371" s="1"/>
  <c r="S47" i="371"/>
  <c r="V47" i="371" s="1"/>
  <c r="R47" i="371"/>
  <c r="Q47" i="371"/>
  <c r="U46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U42" i="371"/>
  <c r="T42" i="371"/>
  <c r="V42" i="371" s="1"/>
  <c r="S42" i="371"/>
  <c r="R42" i="371"/>
  <c r="Q42" i="371"/>
  <c r="T41" i="371"/>
  <c r="U41" i="371" s="1"/>
  <c r="S41" i="371"/>
  <c r="V41" i="371" s="1"/>
  <c r="R41" i="371"/>
  <c r="Q41" i="371"/>
  <c r="U40" i="371"/>
  <c r="T40" i="371"/>
  <c r="V40" i="371" s="1"/>
  <c r="S40" i="371"/>
  <c r="R40" i="371"/>
  <c r="Q40" i="371"/>
  <c r="T39" i="371"/>
  <c r="U39" i="371" s="1"/>
  <c r="S39" i="371"/>
  <c r="V39" i="371" s="1"/>
  <c r="R39" i="371"/>
  <c r="Q39" i="371"/>
  <c r="U38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U28" i="371" s="1"/>
  <c r="S28" i="371"/>
  <c r="R28" i="371"/>
  <c r="Q28" i="371"/>
  <c r="V27" i="371"/>
  <c r="T27" i="371"/>
  <c r="U27" i="371" s="1"/>
  <c r="S27" i="371"/>
  <c r="R27" i="371"/>
  <c r="Q27" i="371"/>
  <c r="V26" i="371"/>
  <c r="U26" i="371"/>
  <c r="T26" i="371"/>
  <c r="S26" i="371"/>
  <c r="R26" i="371"/>
  <c r="Q26" i="371"/>
  <c r="V25" i="371"/>
  <c r="T25" i="371"/>
  <c r="U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T22" i="371"/>
  <c r="U22" i="371" s="1"/>
  <c r="S22" i="371"/>
  <c r="R22" i="371"/>
  <c r="Q22" i="371"/>
  <c r="V21" i="371"/>
  <c r="T21" i="371"/>
  <c r="U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14" i="371" l="1"/>
  <c r="U18" i="371"/>
  <c r="U30" i="371"/>
  <c r="U34" i="371"/>
  <c r="V22" i="371"/>
  <c r="V28" i="371"/>
  <c r="V70" i="371"/>
  <c r="U97" i="371"/>
  <c r="U103" i="371"/>
  <c r="U111" i="371"/>
  <c r="U113" i="371"/>
  <c r="U32" i="371"/>
  <c r="U6" i="371"/>
  <c r="C26" i="419"/>
  <c r="L26" i="419" l="1"/>
  <c r="L25" i="419"/>
  <c r="F26" i="419"/>
  <c r="L28" i="419" l="1"/>
  <c r="L27" i="419"/>
  <c r="F25" i="419"/>
  <c r="C25" i="419"/>
  <c r="L20" i="419"/>
  <c r="K20" i="419"/>
  <c r="J20" i="419"/>
  <c r="L19" i="419"/>
  <c r="K19" i="419"/>
  <c r="J19" i="419"/>
  <c r="L17" i="419"/>
  <c r="K17" i="419"/>
  <c r="J17" i="419"/>
  <c r="L16" i="419"/>
  <c r="K16" i="419"/>
  <c r="J16" i="419"/>
  <c r="L14" i="419"/>
  <c r="K14" i="419"/>
  <c r="J14" i="419"/>
  <c r="L13" i="419"/>
  <c r="K13" i="419"/>
  <c r="J13" i="419"/>
  <c r="L12" i="419"/>
  <c r="K12" i="419"/>
  <c r="J12" i="419"/>
  <c r="L11" i="419"/>
  <c r="K11" i="419"/>
  <c r="J11" i="419"/>
  <c r="AW3" i="418"/>
  <c r="AV3" i="418"/>
  <c r="AU3" i="418"/>
  <c r="AT3" i="418"/>
  <c r="AS3" i="418"/>
  <c r="AR3" i="418"/>
  <c r="AQ3" i="418"/>
  <c r="AP3" i="418"/>
  <c r="K18" i="419" l="1"/>
  <c r="J18" i="419"/>
  <c r="L18" i="419"/>
  <c r="B25" i="419"/>
  <c r="F27" i="419" l="1"/>
  <c r="B26" i="419"/>
  <c r="B27" i="419" s="1"/>
  <c r="F28" i="419"/>
  <c r="A9" i="414"/>
  <c r="A8" i="414"/>
  <c r="A7" i="414"/>
  <c r="J21" i="419" l="1"/>
  <c r="I21" i="419"/>
  <c r="I22" i="419" s="1"/>
  <c r="H21" i="419"/>
  <c r="G21" i="419"/>
  <c r="F21" i="419"/>
  <c r="I20" i="419"/>
  <c r="H20" i="419"/>
  <c r="G20" i="419"/>
  <c r="F20" i="419"/>
  <c r="I19" i="419"/>
  <c r="H19" i="419"/>
  <c r="G19" i="419"/>
  <c r="F19" i="419"/>
  <c r="I17" i="419"/>
  <c r="H17" i="419"/>
  <c r="G17" i="419"/>
  <c r="F17" i="419"/>
  <c r="I16" i="419"/>
  <c r="H16" i="419"/>
  <c r="G16" i="419"/>
  <c r="F16" i="419"/>
  <c r="I14" i="419"/>
  <c r="H14" i="419"/>
  <c r="G14" i="419"/>
  <c r="F14" i="419"/>
  <c r="I13" i="419"/>
  <c r="H13" i="419"/>
  <c r="G13" i="419"/>
  <c r="F13" i="419"/>
  <c r="I12" i="419"/>
  <c r="H12" i="419"/>
  <c r="G12" i="419"/>
  <c r="F12" i="419"/>
  <c r="I11" i="419"/>
  <c r="H11" i="419"/>
  <c r="G11" i="419"/>
  <c r="F11" i="419"/>
  <c r="F18" i="419" l="1"/>
  <c r="F23" i="419"/>
  <c r="H18" i="419"/>
  <c r="I23" i="419"/>
  <c r="I18" i="419"/>
  <c r="G23" i="419"/>
  <c r="H23" i="419"/>
  <c r="J23" i="419"/>
  <c r="G18" i="419"/>
  <c r="F22" i="419"/>
  <c r="G22" i="419"/>
  <c r="H22" i="419"/>
  <c r="J22" i="419"/>
  <c r="M3" i="418"/>
  <c r="E21" i="419" l="1"/>
  <c r="E22" i="419" s="1"/>
  <c r="D21" i="419"/>
  <c r="D22" i="419" s="1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C18" i="419"/>
  <c r="E18" i="419"/>
  <c r="C23" i="419"/>
  <c r="E23" i="419"/>
  <c r="D23" i="419"/>
  <c r="B21" i="419"/>
  <c r="B22" i="419" l="1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J6" i="419"/>
  <c r="I6" i="419"/>
  <c r="H6" i="419"/>
  <c r="G6" i="419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5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22" i="414"/>
  <c r="A21" i="414"/>
  <c r="A20" i="414" l="1"/>
  <c r="A19" i="414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G3" i="342" l="1"/>
  <c r="D25" i="414" s="1"/>
  <c r="E11" i="339"/>
  <c r="B11" i="339"/>
  <c r="F11" i="339" l="1"/>
  <c r="C11" i="339"/>
  <c r="H11" i="339" l="1"/>
  <c r="G11" i="339"/>
  <c r="A24" i="414"/>
  <c r="A18" i="414"/>
  <c r="A13" i="414"/>
  <c r="A14" i="414"/>
  <c r="A4" i="414"/>
  <c r="A6" i="339" l="1"/>
  <c r="A5" i="339"/>
  <c r="D4" i="414"/>
  <c r="C17" i="414"/>
  <c r="D17" i="414"/>
  <c r="D14" i="414"/>
  <c r="C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2" i="414" s="1"/>
  <c r="E22" i="414" s="1"/>
  <c r="I39" i="370"/>
  <c r="I26" i="370"/>
  <c r="E12" i="339"/>
  <c r="M39" i="370"/>
  <c r="E26" i="370"/>
  <c r="D21" i="414" s="1"/>
  <c r="E21" i="414" s="1"/>
  <c r="L39" i="370"/>
  <c r="C12" i="339"/>
  <c r="E13" i="370"/>
  <c r="D20" i="414" s="1"/>
  <c r="E20" i="414" s="1"/>
  <c r="L13" i="370"/>
  <c r="B12" i="339"/>
  <c r="F12" i="339" s="1"/>
  <c r="I13" i="370"/>
  <c r="D23" i="414" s="1"/>
  <c r="E23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M3" i="387"/>
  <c r="K3" i="387" s="1"/>
  <c r="L3" i="387"/>
  <c r="J3" i="387"/>
  <c r="I3" i="387"/>
  <c r="G3" i="387"/>
  <c r="H3" i="387" s="1"/>
  <c r="F3" i="387"/>
  <c r="N3" i="220"/>
  <c r="L3" i="220" s="1"/>
  <c r="D19" i="414"/>
  <c r="C19" i="414"/>
  <c r="N3" i="372" l="1"/>
  <c r="F3" i="372"/>
  <c r="C25" i="414"/>
  <c r="E25" i="414" s="1"/>
  <c r="F13" i="339"/>
  <c r="E13" i="339"/>
  <c r="E15" i="339" s="1"/>
  <c r="J3" i="372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6" i="414"/>
  <c r="H13" i="339" l="1"/>
  <c r="F15" i="339"/>
  <c r="D24" i="414"/>
  <c r="E24" i="414" s="1"/>
  <c r="E14" i="414"/>
  <c r="E4" i="414"/>
  <c r="C6" i="340"/>
  <c r="D6" i="340" s="1"/>
  <c r="B4" i="340"/>
  <c r="G13" i="339"/>
  <c r="B12" i="340" l="1"/>
  <c r="B13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<sst xmlns="http://schemas.openxmlformats.org/spreadsheetml/2006/main" count="17406" uniqueCount="5764">
  <si>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</si>
  <si>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</si>
  <si>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</si>
  <si>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</si>
  <si>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</si>
  <si>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</si>
  <si>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</si>
  <si>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</si>
  <si>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</si>
  <si>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</si>
  <si>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</si>
  <si>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</si>
  <si>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</si>
  <si>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</si>
  <si>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</si>
  <si>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</si>
  <si>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</si>
  <si>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</si>
  <si>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</si>
  <si>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</si>
  <si>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</si>
  <si>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</si>
  <si>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</si>
  <si>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</si>
  <si>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</si>
  <si>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</si>
  <si>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</si>
  <si>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</si>
  <si>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</si>
  <si>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</si>
  <si>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</si>
  <si>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</si>
  <si>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</si>
  <si>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</si>
  <si>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</si>
  <si>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</si>
  <si>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</si>
  <si>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</si>
  <si>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</si>
  <si>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</si>
  <si>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</si>
  <si>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</si>
  <si>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</si>
  <si>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</si>
  <si>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</si>
  <si>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</si>
  <si>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</si>
  <si>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</si>
  <si>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</si>
  <si>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</si>
  <si>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</si>
  <si>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</si>
  <si>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</si>
  <si>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</si>
  <si>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</si>
  <si>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</si>
  <si>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</si>
  <si>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</si>
  <si>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</si>
  <si>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</si>
  <si>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</si>
  <si>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</si>
  <si>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</si>
  <si>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</si>
  <si>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</si>
  <si>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</si>
  <si>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</si>
  <si>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</si>
  <si>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</si>
  <si>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</si>
  <si>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</si>
  <si>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</si>
  <si>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</si>
  <si>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</si>
  <si>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</si>
  <si>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</si>
  <si>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</si>
  <si>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</si>
  <si>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</si>
  <si>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</si>
  <si>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</si>
  <si>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</si>
  <si>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</si>
  <si>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</si>
  <si>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</si>
  <si>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</si>
  <si>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</si>
  <si>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</si>
  <si>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</si>
  <si>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</si>
  <si>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</si>
  <si>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</si>
  <si>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</si>
  <si>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</si>
  <si>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</si>
  <si>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</si>
  <si>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</si>
  <si>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</si>
  <si>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</si>
  <si>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</si>
  <si>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</si>
  <si>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</si>
  <si>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</si>
  <si>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</si>
  <si>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</si>
  <si>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</si>
  <si>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</si>
  <si>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</si>
  <si>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</si>
  <si>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</si>
  <si>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</si>
  <si>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</si>
  <si>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</si>
  <si>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</si>
  <si>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</si>
  <si>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</si>
  <si>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</si>
  <si>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</si>
  <si>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</si>
  <si>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</si>
  <si>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</si>
  <si>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</si>
  <si>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</si>
  <si>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</si>
  <si>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</si>
  <si>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</si>
  <si>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</si>
  <si>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</si>
  <si>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</si>
  <si>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</si>
  <si>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</si>
  <si>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</si>
  <si>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</si>
  <si>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</si>
  <si>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</si>
  <si>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</si>
  <si>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</si>
  <si>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</si>
  <si>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</si>
  <si>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</si>
  <si>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</si>
  <si>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</si>
  <si>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</si>
  <si>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</si>
  <si>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</si>
  <si>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</si>
  <si>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</si>
  <si>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</si>
  <si>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</si>
  <si>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</si>
  <si>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</si>
  <si>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</si>
  <si>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</si>
  <si>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</si>
  <si>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</si>
  <si>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</si>
  <si>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</si>
  <si>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</si>
  <si>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</si>
  <si>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</si>
  <si>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</si>
  <si>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</si>
  <si>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</si>
  <si>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</si>
  <si>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</si>
  <si>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</si>
  <si>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</si>
  <si>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</si>
  <si>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</si>
  <si>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</si>
  <si>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</si>
  <si>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</si>
  <si>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</si>
  <si>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</si>
  <si>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</si>
  <si>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</si>
  <si>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</si>
  <si>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</si>
  <si>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</si>
  <si>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</si>
  <si>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</si>
  <si>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</si>
  <si>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</si>
  <si>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</si>
  <si>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</si>
  <si>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</si>
  <si>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</si>
  <si>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</si>
  <si>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</si>
  <si>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</si>
  <si>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</si>
  <si>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</si>
  <si>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</si>
  <si>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</si>
  <si>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</si>
  <si>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</si>
  <si>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</si>
  <si>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</si>
  <si>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</si>
  <si>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</si>
  <si>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</si>
  <si>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</si>
  <si>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</si>
  <si>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</si>
  <si>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</si>
  <si>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</si>
  <si>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</si>
  <si>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</si>
  <si>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</si>
  <si>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</si>
  <si>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</si>
  <si>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</si>
  <si>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</si>
  <si>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</si>
  <si>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</si>
  <si>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</si>
  <si>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</si>
  <si>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</si>
  <si>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</si>
  <si>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</si>
  <si>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</si>
  <si>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</si>
  <si>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</si>
  <si>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</si>
  <si>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</si>
  <si>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</si>
  <si>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</si>
  <si>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</si>
  <si>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</si>
  <si>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</si>
  <si>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</si>
  <si>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</si>
  <si>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</si>
  <si>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</si>
  <si>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</si>
  <si>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</si>
  <si>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</si>
  <si>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</si>
  <si>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</si>
  <si>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</si>
  <si>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</si>
  <si>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</si>
  <si>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</si>
  <si>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</si>
  <si>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</si>
  <si>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</si>
  <si>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</si>
  <si>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</si>
  <si>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</si>
  <si>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</si>
  <si>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</si>
  <si>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</si>
  <si>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</si>
  <si>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</si>
  <si>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</si>
  <si>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</si>
  <si>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</si>
  <si>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</si>
  <si>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</si>
  <si>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</si>
  <si>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</si>
  <si>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</si>
  <si>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</si>
  <si>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</si>
  <si>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</si>
  <si>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</si>
  <si>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</si>
  <si>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</si>
  <si>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</si>
  <si>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</si>
  <si>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</si>
  <si>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</si>
  <si>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</si>
  <si>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</si>
  <si>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</si>
  <si>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</si>
  <si>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</si>
  <si>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</si>
  <si>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</si>
  <si>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</si>
  <si>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</si>
  <si>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</si>
  <si>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</si>
  <si>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</si>
  <si>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</si>
  <si>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</si>
  <si>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</si>
  <si>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</si>
  <si>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</si>
  <si>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</si>
  <si>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</si>
  <si>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</si>
  <si>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</si>
  <si>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</si>
  <si>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</si>
  <si>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</si>
  <si>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</si>
  <si>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</si>
  <si>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</si>
  <si>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</si>
  <si>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</si>
  <si>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</si>
  <si>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</si>
  <si>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</si>
  <si>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</si>
  <si>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</si>
  <si>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</si>
  <si>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</si>
  <si>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</si>
  <si>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</si>
  <si>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</si>
  <si>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</si>
  <si>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</si>
  <si>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</si>
  <si>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</si>
  <si>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</si>
  <si>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</si>
  <si>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</si>
  <si>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</si>
  <si>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</si>
  <si>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</si>
  <si>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</si>
  <si>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</si>
  <si>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</si>
  <si>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</si>
  <si>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</si>
  <si>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</si>
  <si>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</si>
  <si>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</si>
  <si>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</si>
  <si>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</si>
  <si>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</si>
  <si>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</si>
  <si>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</si>
  <si>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</si>
  <si>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</si>
  <si>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</si>
  <si>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</si>
  <si>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</si>
  <si>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</si>
  <si>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</si>
  <si>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</si>
  <si>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</si>
  <si>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</si>
  <si>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</si>
  <si>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</si>
  <si>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</si>
  <si>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</si>
  <si>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</si>
  <si>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</si>
  <si>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</si>
  <si>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</si>
  <si>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</si>
  <si>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</si>
  <si>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</si>
  <si>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</si>
  <si>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</si>
  <si>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</si>
  <si>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</si>
  <si>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</si>
  <si>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</si>
  <si>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</si>
  <si>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</si>
  <si>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</si>
  <si>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</si>
  <si>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</si>
  <si>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</si>
  <si>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</si>
  <si>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</si>
  <si>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</si>
  <si>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</si>
  <si>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</si>
  <si>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</si>
  <si>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</si>
  <si>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</si>
  <si>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</si>
  <si>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</si>
  <si>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</si>
  <si>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</si>
  <si>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</si>
  <si>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</si>
  <si>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</si>
  <si>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</si>
  <si>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</si>
  <si>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</si>
  <si>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</si>
  <si>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</si>
  <si>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</si>
  <si>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</si>
  <si>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</si>
  <si>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</si>
  <si>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</si>
  <si>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</si>
  <si>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</si>
  <si>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</si>
  <si>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</si>
  <si>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</si>
  <si>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</si>
  <si>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</si>
  <si>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</si>
  <si>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</si>
  <si>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</si>
  <si>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</si>
  <si>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</si>
  <si>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</si>
  <si>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</si>
  <si>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</si>
  <si>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</si>
  <si>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</si>
  <si>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</si>
  <si>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</si>
  <si>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</si>
  <si>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</si>
  <si>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</si>
  <si>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</si>
  <si>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</si>
  <si>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</si>
  <si>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55802080     DDHM - provozní (věcné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</si>
  <si>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</si>
  <si>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</si>
  <si>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</si>
  <si>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</si>
  <si>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</si>
  <si>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</si>
  <si>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</si>
  <si>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</si>
  <si>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</si>
  <si>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</si>
  <si>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</si>
  <si>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</si>
  <si>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</si>
  <si>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</si>
  <si>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</si>
  <si>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</si>
  <si>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</si>
  <si>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</si>
  <si>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</si>
  <si>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</si>
  <si>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</si>
  <si>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</si>
  <si>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</si>
  <si>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</si>
  <si>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</si>
  <si>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</si>
  <si>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</si>
  <si>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</si>
  <si>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</si>
  <si>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</si>
  <si>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</si>
  <si>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</si>
  <si>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</si>
  <si>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</si>
  <si>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</si>
  <si>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</si>
  <si>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</si>
  <si>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</si>
  <si>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</si>
  <si>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</si>
  <si>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</si>
  <si>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</si>
  <si>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</si>
  <si>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</si>
  <si>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</si>
  <si>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</si>
  <si>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</si>
  <si>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</si>
  <si>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</si>
  <si>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</si>
  <si>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</si>
  <si>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</si>
  <si>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</si>
  <si>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</si>
  <si>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</si>
  <si>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</si>
  <si>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</si>
  <si>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</si>
  <si>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</si>
  <si>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</si>
  <si>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</si>
  <si>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59</t>
  </si>
  <si>
    <t>Oddělení intenzivní péče chirurgických oborů</t>
  </si>
  <si>
    <t/>
  </si>
  <si>
    <t>Oddělení intenzivní péče chirurgických oborů Celkem</t>
  </si>
  <si>
    <t>SumaKL</t>
  </si>
  <si>
    <t>5931</t>
  </si>
  <si>
    <t>JIP 51</t>
  </si>
  <si>
    <t>JIP 51 Celkem</t>
  </si>
  <si>
    <t>SumaNS</t>
  </si>
  <si>
    <t>mezeraNS</t>
  </si>
  <si>
    <t>50113001</t>
  </si>
  <si>
    <t>125034</t>
  </si>
  <si>
    <t>25034</t>
  </si>
  <si>
    <t>DORMICUM</t>
  </si>
  <si>
    <t>INJ SOL 10X1ML/5MG</t>
  </si>
  <si>
    <t>132917</t>
  </si>
  <si>
    <t>32917</t>
  </si>
  <si>
    <t>PREDUCTAL MR</t>
  </si>
  <si>
    <t>POR TBL RET 60X35MG</t>
  </si>
  <si>
    <t>142547</t>
  </si>
  <si>
    <t>42547</t>
  </si>
  <si>
    <t>LACTULOSE AL SIRUP</t>
  </si>
  <si>
    <t>POR SIR 1X500ML</t>
  </si>
  <si>
    <t>185160</t>
  </si>
  <si>
    <t>85160</t>
  </si>
  <si>
    <t>PRENESSA 4 MG</t>
  </si>
  <si>
    <t>POR TBL NOB 30X4MG</t>
  </si>
  <si>
    <t>117173</t>
  </si>
  <si>
    <t>17173</t>
  </si>
  <si>
    <t>OLYNTH 0.1%</t>
  </si>
  <si>
    <t>NAS SPR SOL 1X10ML</t>
  </si>
  <si>
    <t>142546</t>
  </si>
  <si>
    <t>42546</t>
  </si>
  <si>
    <t>POR SIR 1X200ML</t>
  </si>
  <si>
    <t>185526</t>
  </si>
  <si>
    <t>85526</t>
  </si>
  <si>
    <t>SUFENTA FORTE I.V.</t>
  </si>
  <si>
    <t>INJ 5X1ML/0.05MG</t>
  </si>
  <si>
    <t>117172</t>
  </si>
  <si>
    <t>17172</t>
  </si>
  <si>
    <t>OLYNTH 0.05%</t>
  </si>
  <si>
    <t>130215</t>
  </si>
  <si>
    <t>30215</t>
  </si>
  <si>
    <t>MIDAZOLAM TORREX 5MG/ML</t>
  </si>
  <si>
    <t>INJ 10X10ML/50MG</t>
  </si>
  <si>
    <t>142952</t>
  </si>
  <si>
    <t>42952</t>
  </si>
  <si>
    <t>XYZAL</t>
  </si>
  <si>
    <t>POR TBL FLM 14X5MG</t>
  </si>
  <si>
    <t>135002</t>
  </si>
  <si>
    <t>ELICEA 5 MG</t>
  </si>
  <si>
    <t>POR TBL FLM 28X5MG</t>
  </si>
  <si>
    <t>191788</t>
  </si>
  <si>
    <t>91788</t>
  </si>
  <si>
    <t>NEUROL 0.25</t>
  </si>
  <si>
    <t>TBL 30X0.25MG</t>
  </si>
  <si>
    <t>198757</t>
  </si>
  <si>
    <t>MIDAZOLAM B. BRAUN 1 MG/ML</t>
  </si>
  <si>
    <t>INJ+RCT SOL 10X50ML</t>
  </si>
  <si>
    <t>169251</t>
  </si>
  <si>
    <t>TROMBEX 75 MG POTAHOVANÉ TABLETY</t>
  </si>
  <si>
    <t>POR TBL FLM 30X75MG</t>
  </si>
  <si>
    <t>132853</t>
  </si>
  <si>
    <t>AULIN</t>
  </si>
  <si>
    <t>POR TBL NOB 30X100MG</t>
  </si>
  <si>
    <t>847627</t>
  </si>
  <si>
    <t>134502</t>
  </si>
  <si>
    <t>ELICEA 10 MG</t>
  </si>
  <si>
    <t>POR TBL FLM 28X10MG</t>
  </si>
  <si>
    <t>127778</t>
  </si>
  <si>
    <t>MIRZATEN ORO TAB 30 MG</t>
  </si>
  <si>
    <t>POR TBL DIS 30X30MG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</si>
  <si>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</si>
  <si>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</si>
  <si>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</si>
  <si>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</si>
  <si>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</si>
  <si>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</si>
  <si>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</si>
  <si>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</si>
  <si>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</si>
  <si>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</si>
  <si>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</si>
  <si>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</si>
  <si>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</si>
  <si>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</si>
  <si>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</si>
  <si>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</si>
  <si>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</si>
  <si>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</si>
  <si>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</si>
  <si>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</si>
  <si>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</si>
  <si>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</si>
  <si>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</si>
  <si>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</si>
  <si>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</si>
  <si>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</si>
  <si>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</si>
  <si>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</si>
  <si>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</si>
  <si>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</si>
  <si>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</si>
  <si>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</si>
  <si>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</si>
  <si>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</si>
  <si>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</si>
  <si>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</si>
  <si>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</si>
  <si>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</si>
  <si>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</si>
  <si>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</si>
  <si>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</si>
  <si>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</si>
  <si>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</si>
  <si>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</si>
  <si>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</si>
  <si>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</si>
  <si>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</si>
  <si>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</si>
  <si>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</si>
  <si>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</si>
  <si>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</si>
  <si>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</si>
  <si>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</si>
  <si>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</si>
  <si>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</si>
  <si>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</si>
  <si>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</si>
  <si>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</si>
  <si>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</si>
  <si>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</si>
  <si>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</si>
  <si>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</si>
  <si>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</si>
  <si>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</si>
  <si>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</si>
  <si>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</si>
  <si>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</si>
  <si>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</si>
  <si>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</si>
  <si>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</si>
  <si>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</si>
  <si>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</si>
  <si>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</si>
  <si>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</si>
  <si>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</si>
  <si>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</si>
  <si>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</si>
  <si>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</si>
  <si>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</si>
  <si>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</si>
  <si>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</si>
  <si>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</si>
  <si>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</si>
  <si>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</si>
  <si>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</si>
  <si>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</si>
  <si>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</si>
  <si>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</si>
  <si>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</si>
  <si>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</si>
  <si>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</si>
  <si>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</si>
  <si>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</si>
  <si>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</si>
  <si>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</si>
  <si>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</si>
  <si>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</si>
  <si>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</si>
  <si>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</si>
  <si>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</si>
  <si>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</si>
  <si>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</si>
  <si>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</si>
  <si>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</si>
  <si>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</si>
  <si>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</si>
  <si>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</si>
  <si>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</si>
  <si>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</si>
  <si>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</si>
  <si>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</si>
  <si>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</si>
  <si>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</si>
  <si>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</si>
  <si>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</si>
  <si>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110252</t>
  </si>
  <si>
    <t>10252</t>
  </si>
  <si>
    <t>CAVINTON FORTE</t>
  </si>
  <si>
    <t>POR TBL NOB 30X10MG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</si>
  <si>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</si>
  <si>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</si>
  <si>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</si>
  <si>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</si>
  <si>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</si>
  <si>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</si>
  <si>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</si>
  <si>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</si>
  <si>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</si>
  <si>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</si>
  <si>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</si>
  <si>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</si>
  <si>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</si>
  <si>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</si>
  <si>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</si>
  <si>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</si>
  <si>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</si>
  <si>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</si>
  <si>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</si>
  <si>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</si>
  <si>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</si>
  <si>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</si>
  <si>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</si>
  <si>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</si>
  <si>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</si>
  <si>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</si>
  <si>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</si>
  <si>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</si>
  <si>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</si>
  <si>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</si>
  <si>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125978</t>
  </si>
  <si>
    <t>25978</t>
  </si>
  <si>
    <t>PROCORALAN 7,5 MG</t>
  </si>
  <si>
    <t>POR TBL FLM 56X7,5MG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</si>
  <si>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</si>
  <si>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</si>
  <si>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</si>
  <si>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</si>
  <si>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</si>
  <si>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</si>
  <si>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</si>
  <si>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132225</t>
  </si>
  <si>
    <t>32225</t>
  </si>
  <si>
    <t>BETALOC ZOK 25 MG</t>
  </si>
  <si>
    <t>TBL RET 28X25MG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</si>
  <si>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</si>
  <si>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</si>
  <si>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</si>
  <si>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</si>
  <si>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</si>
  <si>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</si>
  <si>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</si>
  <si>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</si>
  <si>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</si>
  <si>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</si>
  <si>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</si>
  <si>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</si>
  <si>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</si>
  <si>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</si>
  <si>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</si>
  <si>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</si>
  <si>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147476</t>
  </si>
  <si>
    <t>47476</t>
  </si>
  <si>
    <t>LORADUR</t>
  </si>
  <si>
    <t>POR TBL NOB 50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</si>
  <si>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</si>
  <si>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</si>
  <si>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</si>
  <si>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</si>
  <si>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</si>
  <si>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</si>
  <si>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</si>
  <si>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</si>
  <si>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</si>
  <si>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</si>
  <si>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</si>
  <si>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</si>
  <si>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</si>
  <si>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</si>
  <si>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</si>
  <si>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</si>
  <si>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</si>
  <si>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</si>
  <si>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</si>
  <si>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</si>
  <si>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</si>
  <si>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</si>
  <si>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</si>
  <si>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</si>
  <si>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</si>
  <si>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</si>
  <si>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</si>
  <si>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169654</t>
  </si>
  <si>
    <t>KAPIDIN 20 MG</t>
  </si>
  <si>
    <t>POR TBL FLM 30X20MG</t>
  </si>
  <si>
    <t>176496</t>
  </si>
  <si>
    <t>76496</t>
  </si>
  <si>
    <t>BERODUAL</t>
  </si>
  <si>
    <t>INH LIQ 1X20ML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</si>
  <si>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</si>
  <si>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</si>
  <si>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</si>
  <si>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</si>
  <si>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</si>
  <si>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</si>
  <si>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</si>
  <si>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</si>
  <si>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</si>
  <si>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</si>
  <si>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</si>
  <si>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</si>
  <si>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</si>
  <si>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</si>
  <si>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</si>
  <si>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</si>
  <si>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184292</t>
  </si>
  <si>
    <t>CONCOR COMBI 10 MG/5 MG</t>
  </si>
  <si>
    <t>POR TBL NOB 30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</si>
  <si>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</si>
  <si>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</si>
  <si>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</si>
  <si>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</si>
  <si>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</si>
  <si>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</si>
  <si>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</si>
  <si>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</si>
  <si>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</si>
  <si>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</si>
  <si>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</si>
  <si>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</si>
  <si>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</si>
  <si>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</si>
  <si>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</si>
  <si>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</si>
  <si>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</si>
  <si>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</si>
  <si>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</si>
  <si>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</si>
  <si>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</si>
  <si>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</si>
  <si>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</si>
  <si>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</si>
  <si>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</si>
  <si>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</si>
  <si>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</si>
  <si>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</si>
  <si>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</si>
  <si>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</si>
  <si>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</si>
  <si>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</si>
  <si>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</si>
  <si>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</si>
  <si>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</si>
  <si>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</si>
  <si>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</si>
  <si>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</si>
  <si>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</si>
  <si>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</si>
  <si>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</si>
  <si>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</si>
  <si>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</si>
  <si>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</si>
  <si>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</si>
  <si>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</si>
  <si>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</si>
  <si>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</si>
  <si>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</si>
  <si>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</si>
  <si>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</si>
  <si>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</si>
  <si>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</si>
  <si>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</si>
  <si>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</si>
  <si>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</si>
  <si>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</si>
  <si>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</si>
  <si>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</si>
  <si>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</si>
  <si>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</si>
  <si>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</si>
  <si>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</si>
  <si>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</si>
  <si>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</si>
  <si>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</si>
  <si>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</si>
  <si>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</si>
  <si>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</si>
  <si>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</si>
  <si>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</si>
  <si>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</si>
  <si>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</si>
  <si>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</si>
  <si>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</si>
  <si>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</si>
  <si>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</si>
  <si>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</si>
  <si>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</si>
  <si>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</si>
  <si>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</si>
  <si>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</si>
  <si>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</si>
  <si>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DETRALEX</t>
  </si>
  <si>
    <t>TBL OBD 30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</si>
  <si>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</si>
  <si>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</si>
  <si>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</si>
  <si>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</si>
  <si>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</si>
  <si>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</si>
  <si>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</si>
  <si>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500618</t>
  </si>
  <si>
    <t>125753</t>
  </si>
  <si>
    <t xml:space="preserve">Essentiale Forte N </t>
  </si>
  <si>
    <t>por.cps.dur.100</t>
  </si>
  <si>
    <t>840220</t>
  </si>
  <si>
    <t>0</t>
  </si>
  <si>
    <t>Lactobacillus acidophil.cps.75 bez laktózy</t>
  </si>
  <si>
    <t>840464</t>
  </si>
  <si>
    <t>Vitar Soda tbl.150</t>
  </si>
  <si>
    <t>neleč.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</si>
  <si>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</si>
  <si>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</si>
  <si>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</si>
  <si>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</si>
  <si>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</si>
  <si>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</si>
  <si>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</si>
  <si>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</si>
  <si>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</si>
  <si>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</si>
  <si>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</si>
  <si>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</si>
  <si>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</si>
  <si>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</si>
  <si>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</si>
  <si>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</si>
  <si>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</si>
  <si>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</si>
  <si>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</si>
  <si>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</si>
  <si>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</si>
  <si>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</si>
  <si>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</si>
  <si>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</si>
  <si>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</si>
  <si>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</si>
  <si>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</si>
  <si>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</si>
  <si>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</si>
  <si>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</si>
  <si>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</si>
  <si>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</si>
  <si>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</si>
  <si>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</si>
  <si>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</si>
  <si>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</si>
  <si>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</si>
  <si>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</si>
  <si>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</si>
  <si>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</si>
  <si>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</si>
  <si>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</si>
  <si>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</si>
  <si>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</si>
  <si>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</si>
  <si>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</si>
  <si>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</si>
  <si>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</si>
  <si>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</si>
  <si>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</si>
  <si>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</si>
  <si>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</si>
  <si>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</si>
  <si>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</si>
  <si>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849941</t>
  </si>
  <si>
    <t>162142</t>
  </si>
  <si>
    <t>PARALEN 500</t>
  </si>
  <si>
    <t>POR TBL NOB 24X500MG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</si>
  <si>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</si>
  <si>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</si>
  <si>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</si>
  <si>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</si>
  <si>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</si>
  <si>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</si>
  <si>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</si>
  <si>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</si>
  <si>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</si>
  <si>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</si>
  <si>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988466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</si>
  <si>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</si>
  <si>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</si>
  <si>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</si>
  <si>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</si>
  <si>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</si>
  <si>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</si>
  <si>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</si>
  <si>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</si>
  <si>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</si>
  <si>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</si>
  <si>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</si>
  <si>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</si>
  <si>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</si>
  <si>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</si>
  <si>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</si>
  <si>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</si>
  <si>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</si>
  <si>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</si>
  <si>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</si>
  <si>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</si>
  <si>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</si>
  <si>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</si>
  <si>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</si>
  <si>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</si>
  <si>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</si>
  <si>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</si>
  <si>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</si>
  <si>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</si>
  <si>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</si>
  <si>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</si>
  <si>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</si>
  <si>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</si>
  <si>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</si>
  <si>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</si>
  <si>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</si>
  <si>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</si>
  <si>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</si>
  <si>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111337</t>
  </si>
  <si>
    <t>52421</t>
  </si>
  <si>
    <t>GERATAM 3 G</t>
  </si>
  <si>
    <t>INJ SOL 4X15ML/3GM</t>
  </si>
  <si>
    <t>118305</t>
  </si>
  <si>
    <t>18305</t>
  </si>
  <si>
    <t>INF SOL10X1000ML PE</t>
  </si>
  <si>
    <t>125362</t>
  </si>
  <si>
    <t>25362</t>
  </si>
  <si>
    <t>HELICID 10 ZENTIVA</t>
  </si>
  <si>
    <t>POR CPS ETD 28X10MG</t>
  </si>
  <si>
    <t>128216</t>
  </si>
  <si>
    <t>28216</t>
  </si>
  <si>
    <t>LYRICA 75 MG</t>
  </si>
  <si>
    <t>POR CPSDUR14X75MG</t>
  </si>
  <si>
    <t>145981</t>
  </si>
  <si>
    <t>45981</t>
  </si>
  <si>
    <t>CERNEVIT</t>
  </si>
  <si>
    <t>INJ PLV SOL10X750MG</t>
  </si>
  <si>
    <t>153487</t>
  </si>
  <si>
    <t>53487</t>
  </si>
  <si>
    <t>COSOPT</t>
  </si>
  <si>
    <t>GTT OPH 1X5ML</t>
  </si>
  <si>
    <t>153642</t>
  </si>
  <si>
    <t>53642</t>
  </si>
  <si>
    <t>DIROTON 10MG</t>
  </si>
  <si>
    <t>TBL 28X10MG</t>
  </si>
  <si>
    <t>157866</t>
  </si>
  <si>
    <t>57866</t>
  </si>
  <si>
    <t>TOBRADEX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</si>
  <si>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</si>
  <si>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</si>
  <si>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</si>
  <si>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</si>
  <si>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</si>
  <si>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</si>
  <si>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</si>
  <si>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</si>
  <si>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</si>
  <si>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</si>
  <si>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SMECTA</t>
  </si>
  <si>
    <t>PLV POR 1X10SACKU</t>
  </si>
  <si>
    <t>172564</t>
  </si>
  <si>
    <t>72564</t>
  </si>
  <si>
    <t>SEROPRAM</t>
  </si>
  <si>
    <t>INF 5X0.5ML/20MG</t>
  </si>
  <si>
    <t>184319</t>
  </si>
  <si>
    <t>ATIMOS 12 MCG</t>
  </si>
  <si>
    <t>INH SOL PSS 100X12RG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</si>
  <si>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</si>
  <si>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</si>
  <si>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</si>
  <si>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</si>
  <si>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</si>
  <si>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</si>
  <si>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</si>
  <si>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</si>
  <si>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</si>
  <si>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</si>
  <si>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</si>
  <si>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</si>
  <si>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</si>
  <si>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</si>
  <si>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</si>
  <si>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</si>
  <si>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</si>
  <si>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</si>
  <si>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</si>
  <si>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</si>
  <si>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</si>
  <si>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</si>
  <si>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</si>
  <si>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</si>
  <si>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</si>
  <si>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</si>
  <si>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</si>
  <si>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</si>
  <si>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</si>
  <si>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</si>
  <si>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394130</t>
  </si>
  <si>
    <t>B-komplex Zentiva 30drg</t>
  </si>
  <si>
    <t>841541</t>
  </si>
  <si>
    <t>MENALIND Mycí emulze 500ml</t>
  </si>
  <si>
    <t>845329</t>
  </si>
  <si>
    <t>Biopron9 tob.60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</si>
  <si>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</si>
  <si>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</si>
  <si>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</si>
  <si>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</si>
  <si>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</si>
  <si>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</si>
  <si>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</si>
  <si>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</si>
  <si>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</si>
  <si>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</si>
  <si>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</si>
  <si>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</si>
  <si>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</si>
  <si>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</si>
  <si>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</si>
  <si>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</si>
  <si>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</si>
  <si>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</si>
  <si>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165633</t>
  </si>
  <si>
    <t>165751</t>
  </si>
  <si>
    <t>GELASPAN 4% EBI20x500 ml</t>
  </si>
  <si>
    <t>INF SOL20X500ML VAK</t>
  </si>
  <si>
    <t>47706</t>
  </si>
  <si>
    <t>GLUKÓZA 20 BRAUN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</si>
  <si>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</si>
  <si>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</si>
  <si>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</si>
  <si>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</si>
  <si>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</si>
  <si>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</si>
  <si>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</si>
  <si>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</si>
  <si>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</si>
  <si>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</si>
  <si>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118175</t>
  </si>
  <si>
    <t>18175</t>
  </si>
  <si>
    <t>PROPOFOL 1% MCT/LCT FRESENIUS</t>
  </si>
  <si>
    <t>INJ EML 10X100ML</t>
  </si>
  <si>
    <t>119757</t>
  </si>
  <si>
    <t>19757</t>
  </si>
  <si>
    <t>BELODERM</t>
  </si>
  <si>
    <t>DRM UNG1X30GM 0.05%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</si>
  <si>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</si>
  <si>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</si>
  <si>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</si>
  <si>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</si>
  <si>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</si>
  <si>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</si>
  <si>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</si>
  <si>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</si>
  <si>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</si>
  <si>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</si>
  <si>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</si>
  <si>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</si>
  <si>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</si>
  <si>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</si>
  <si>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</si>
  <si>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</si>
  <si>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</si>
  <si>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</si>
  <si>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</si>
  <si>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</si>
  <si>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</si>
  <si>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</si>
  <si>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</si>
  <si>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</si>
  <si>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500280</t>
  </si>
  <si>
    <t>159836</t>
  </si>
  <si>
    <t>Propanorm 35mg/10ml inj.10 x 10 ml/35mg</t>
  </si>
  <si>
    <t>843740</t>
  </si>
  <si>
    <t>AVIRIL Dětský zásyp s azulenem sypačka</t>
  </si>
  <si>
    <t>902087</t>
  </si>
  <si>
    <t>IR  CITRALYSAT K2 5000 ml</t>
  </si>
  <si>
    <t>dialys.rozt.</t>
  </si>
  <si>
    <t>921458</t>
  </si>
  <si>
    <t>KL ETHER 200G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</si>
  <si>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</si>
  <si>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</si>
  <si>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</si>
  <si>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</si>
  <si>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</si>
  <si>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</si>
  <si>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</si>
  <si>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</si>
  <si>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</si>
  <si>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</si>
  <si>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</si>
  <si>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</si>
  <si>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</si>
  <si>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</si>
  <si>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</si>
  <si>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</si>
  <si>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</si>
  <si>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</si>
  <si>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</si>
  <si>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</si>
  <si>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</si>
  <si>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</si>
  <si>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</si>
  <si>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</si>
  <si>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</si>
  <si>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</si>
  <si>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</si>
  <si>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</si>
  <si>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</si>
  <si>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</si>
  <si>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900321</t>
  </si>
  <si>
    <t>KL PRIPRAVEK</t>
  </si>
  <si>
    <t>100512</t>
  </si>
  <si>
    <t>512</t>
  </si>
  <si>
    <t>INJ 10X5ML 10%</t>
  </si>
  <si>
    <t>101127</t>
  </si>
  <si>
    <t>1127</t>
  </si>
  <si>
    <t>INJ 10X2ML/20MG</t>
  </si>
  <si>
    <t>102957</t>
  </si>
  <si>
    <t>2957</t>
  </si>
  <si>
    <t>PRESID 5 MG</t>
  </si>
  <si>
    <t>TBL RET 30X5MG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</si>
  <si>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</si>
  <si>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</si>
  <si>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</si>
  <si>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</si>
  <si>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</si>
  <si>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</si>
  <si>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</si>
  <si>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</si>
  <si>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</si>
  <si>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</si>
  <si>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</si>
  <si>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</si>
  <si>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</si>
  <si>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</si>
  <si>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</si>
  <si>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</si>
  <si>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149024</t>
  </si>
  <si>
    <t>164999</t>
  </si>
  <si>
    <t>IMURAN 50 MG</t>
  </si>
  <si>
    <t>POR TBL FLM 100X50MG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</si>
  <si>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</si>
  <si>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</si>
  <si>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</si>
  <si>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</si>
  <si>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</si>
  <si>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</si>
  <si>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</si>
  <si>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</si>
  <si>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</si>
  <si>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</si>
  <si>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</si>
  <si>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</si>
  <si>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</si>
  <si>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</si>
  <si>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</si>
  <si>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</si>
  <si>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</si>
  <si>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</si>
  <si>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</si>
  <si>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</si>
  <si>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</si>
  <si>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</si>
  <si>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</si>
  <si>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</si>
  <si>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</si>
  <si>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</si>
  <si>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790011</t>
  </si>
  <si>
    <t>Emspoma M 500g/chladivá</t>
  </si>
  <si>
    <t>799062</t>
  </si>
  <si>
    <t>MENALIND Ošetřující olej 500ml</t>
  </si>
  <si>
    <t>850235</t>
  </si>
  <si>
    <t>160806</t>
  </si>
  <si>
    <t>PICOPREP PRÁŠEK PRO PŘÍPRAVU PERORÁLNÍHO ROZTOKU</t>
  </si>
  <si>
    <t>POR PLV SOL 2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</si>
  <si>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</si>
  <si>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</si>
  <si>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</si>
  <si>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</si>
  <si>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</si>
  <si>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</si>
  <si>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</si>
  <si>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</si>
  <si>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103065</t>
  </si>
  <si>
    <t>ZOVIRAX</t>
  </si>
  <si>
    <t>DRM CRM 1X2GM/100MG</t>
  </si>
  <si>
    <t>104160</t>
  </si>
  <si>
    <t>4160</t>
  </si>
  <si>
    <t>TRIAMCINOLON S LECIVA</t>
  </si>
  <si>
    <t>UNG 30GM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</si>
  <si>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</si>
  <si>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</si>
  <si>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</si>
  <si>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</si>
  <si>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</si>
  <si>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</si>
  <si>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</si>
  <si>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</si>
  <si>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</si>
  <si>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</si>
  <si>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</si>
  <si>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</si>
  <si>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</si>
  <si>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</si>
  <si>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</si>
  <si>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</si>
  <si>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155426</t>
  </si>
  <si>
    <t>55426</t>
  </si>
  <si>
    <t>FLAREX</t>
  </si>
  <si>
    <t>GTT OPH 1X5ML 0.1%</t>
  </si>
  <si>
    <t>159358</t>
  </si>
  <si>
    <t>59358</t>
  </si>
  <si>
    <t>INF 10X1000ML(LDPE)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</si>
  <si>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</si>
  <si>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</si>
  <si>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</si>
  <si>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</si>
  <si>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</si>
  <si>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</si>
  <si>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</si>
  <si>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</si>
  <si>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199138</t>
  </si>
  <si>
    <t>99138</t>
  </si>
  <si>
    <t>AKTIFERRIN</t>
  </si>
  <si>
    <t>GTT 1X30ML</t>
  </si>
  <si>
    <t>199466</t>
  </si>
  <si>
    <t>BURONIL 25 MG</t>
  </si>
  <si>
    <t>POR TBL OBD 50X25MG</t>
  </si>
  <si>
    <t>843217</t>
  </si>
  <si>
    <t>CATAPRES 0,15MG INJ-MIMOŘÁDNÝ DOVOZ!!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</si>
  <si>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</si>
  <si>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</si>
  <si>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</si>
  <si>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</si>
  <si>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</si>
  <si>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</si>
  <si>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</si>
  <si>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</si>
  <si>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</si>
  <si>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</si>
  <si>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</si>
  <si>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</si>
  <si>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</si>
  <si>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850308</t>
  </si>
  <si>
    <t>130719</t>
  </si>
  <si>
    <t>Espumisan kapky 100mg/ml por. gtt.30ml</t>
  </si>
  <si>
    <t>920356</t>
  </si>
  <si>
    <t>KL SOL.BORGLYCEROLI  3% 100 G</t>
  </si>
  <si>
    <t>501065</t>
  </si>
  <si>
    <t>KL SIGNATURY</t>
  </si>
  <si>
    <t>100750</t>
  </si>
  <si>
    <t>162390</t>
  </si>
  <si>
    <t>CHAMOMILLA TEVA</t>
  </si>
  <si>
    <t>114711</t>
  </si>
  <si>
    <t>14711</t>
  </si>
  <si>
    <t>TARDYFERON</t>
  </si>
  <si>
    <t>TBL RET 30</t>
  </si>
  <si>
    <t>196974</t>
  </si>
  <si>
    <t>96974</t>
  </si>
  <si>
    <t>CERUCAL</t>
  </si>
  <si>
    <t>POR TBL NOB 50X10MG</t>
  </si>
  <si>
    <t>840333</t>
  </si>
  <si>
    <t>Vincentka přírod.0.7l-nevrat.láhev</t>
  </si>
  <si>
    <t>845813</t>
  </si>
  <si>
    <t>Deca durabolin 50mg amp.1x1ml - MIMOŘÁDNÝ DOVOZ!!</t>
  </si>
  <si>
    <t>900881</t>
  </si>
  <si>
    <t>KL BALS.VISNEVSKI 100G</t>
  </si>
  <si>
    <t>921184</t>
  </si>
  <si>
    <t>KL UNGUENTUM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</si>
  <si>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</si>
  <si>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</si>
  <si>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</si>
  <si>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</si>
  <si>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</si>
  <si>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</si>
  <si>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</si>
  <si>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</si>
  <si>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114808</t>
  </si>
  <si>
    <t>14808</t>
  </si>
  <si>
    <t>COAXIL</t>
  </si>
  <si>
    <t>TBL OBD 90X12.5MG</t>
  </si>
  <si>
    <t>151581</t>
  </si>
  <si>
    <t>DONEPEZIL ACTAVIS 5 MG</t>
  </si>
  <si>
    <t>175025</t>
  </si>
  <si>
    <t>75025</t>
  </si>
  <si>
    <t>THIAMIN LECIVA</t>
  </si>
  <si>
    <t>TBL 20X50MG(BLISTR)</t>
  </si>
  <si>
    <t>841314</t>
  </si>
  <si>
    <t>MENALIND Ochranná pěna 100ml</t>
  </si>
  <si>
    <t>847962</t>
  </si>
  <si>
    <t>AESCIN 30mg tbl.60 VULM</t>
  </si>
  <si>
    <t>790001</t>
  </si>
  <si>
    <t>TRAUMACEL P 2G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</si>
  <si>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</si>
  <si>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</si>
  <si>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</si>
  <si>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</si>
  <si>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</si>
  <si>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</si>
  <si>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</si>
  <si>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500629</t>
  </si>
  <si>
    <t>180173</t>
  </si>
  <si>
    <t>Canesten Gyn 1 den</t>
  </si>
  <si>
    <t>vag.tbl.1x500mg</t>
  </si>
  <si>
    <t>500686</t>
  </si>
  <si>
    <t xml:space="preserve">DZ PRONTODERM SHOWER GEL  100ML </t>
  </si>
  <si>
    <t>strong</t>
  </si>
  <si>
    <t>152225</t>
  </si>
  <si>
    <t>52225</t>
  </si>
  <si>
    <t>THIOCTACID 600 T</t>
  </si>
  <si>
    <t>INJ SOL 5X24ML/600MG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</si>
  <si>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</si>
  <si>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</si>
  <si>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</si>
  <si>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</si>
  <si>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</si>
  <si>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</si>
  <si>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</si>
  <si>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850729</t>
  </si>
  <si>
    <t>157875</t>
  </si>
  <si>
    <t>PARACETAMOL KABI 10MG/ML</t>
  </si>
  <si>
    <t>INF SOL 10X100ML/1000MG</t>
  </si>
  <si>
    <t>900873</t>
  </si>
  <si>
    <t>KL VASELINUM ALBUM, 100G</t>
  </si>
  <si>
    <t>102439</t>
  </si>
  <si>
    <t>2439</t>
  </si>
  <si>
    <t>MARCAINE 0.5%</t>
  </si>
  <si>
    <t>INJ SOL5X20ML/100MG</t>
  </si>
  <si>
    <t>155911</t>
  </si>
  <si>
    <t>55911</t>
  </si>
  <si>
    <t>PEROXID VODÍKU 3% COO</t>
  </si>
  <si>
    <t>DRM SOL 1X100ML 3%</t>
  </si>
  <si>
    <t>702489</t>
  </si>
  <si>
    <t>Emspoma M 300ml/chladivá</t>
  </si>
  <si>
    <t>920154</t>
  </si>
  <si>
    <t>DZ PRONTODERM PENA 200ml</t>
  </si>
  <si>
    <t>920358</t>
  </si>
  <si>
    <t>KL SOL.BORGLYCEROLI 3% 200 G</t>
  </si>
  <si>
    <t>119188</t>
  </si>
  <si>
    <t>19188</t>
  </si>
  <si>
    <t>SUBCUVIA</t>
  </si>
  <si>
    <t>INJ SOL 1X10ML</t>
  </si>
  <si>
    <t>121393</t>
  </si>
  <si>
    <t>21393</t>
  </si>
  <si>
    <t>PATENTBLAU V - MIMOŘ.DOVOZ!!!</t>
  </si>
  <si>
    <t>INJ 5X2ML/50MG</t>
  </si>
  <si>
    <t>127657</t>
  </si>
  <si>
    <t>27657</t>
  </si>
  <si>
    <t>STALEVO 150MG/37.5MG/200MG</t>
  </si>
  <si>
    <t>POR TBL FLM 100</t>
  </si>
  <si>
    <t>168096</t>
  </si>
  <si>
    <t>IFIRMACOMBI 150 MG/12,5 MG</t>
  </si>
  <si>
    <t>POR TBL FLM 28</t>
  </si>
  <si>
    <t>2584</t>
  </si>
  <si>
    <t>GLUKÓZA 40 BRAUN</t>
  </si>
  <si>
    <t>844242</t>
  </si>
  <si>
    <t>105937</t>
  </si>
  <si>
    <t>TETRASPAN 6%</t>
  </si>
  <si>
    <t>100584</t>
  </si>
  <si>
    <t>584</t>
  </si>
  <si>
    <t>PYRIDOXIN LECIVA</t>
  </si>
  <si>
    <t>INJ 5X1ML 50MG</t>
  </si>
  <si>
    <t>128309</t>
  </si>
  <si>
    <t>28309</t>
  </si>
  <si>
    <t>MIMPARA 30 MG</t>
  </si>
  <si>
    <t>POR TBL FLM 28X30MG</t>
  </si>
  <si>
    <t>130229</t>
  </si>
  <si>
    <t>30229</t>
  </si>
  <si>
    <t>PARALEN PLUS</t>
  </si>
  <si>
    <t>TBL OBD 24</t>
  </si>
  <si>
    <t>843996</t>
  </si>
  <si>
    <t>100191</t>
  </si>
  <si>
    <t>VOLUVEN  6%</t>
  </si>
  <si>
    <t>INF SOL 20X500MLVAK+P</t>
  </si>
  <si>
    <t>846116</t>
  </si>
  <si>
    <t>125226</t>
  </si>
  <si>
    <t>NORETHISTERON ZENTIVA</t>
  </si>
  <si>
    <t>900012</t>
  </si>
  <si>
    <t>KL SOL.HYD.PEROX.3% 200G</t>
  </si>
  <si>
    <t>187000</t>
  </si>
  <si>
    <t>87000</t>
  </si>
  <si>
    <t>ARDEAOSMOSOL MA 20 (Mannitol)</t>
  </si>
  <si>
    <t>790012</t>
  </si>
  <si>
    <t>Emspoma O 500g/hřejivá</t>
  </si>
  <si>
    <t>850638</t>
  </si>
  <si>
    <t>500886</t>
  </si>
  <si>
    <t>IFIRMASTA 150 MG</t>
  </si>
  <si>
    <t>POR TBL FLM 28X150MG</t>
  </si>
  <si>
    <t>132082</t>
  </si>
  <si>
    <t>32082</t>
  </si>
  <si>
    <t>IBALGIN 400 (IBUPROFEN 400)</t>
  </si>
  <si>
    <t>TBL OBD 100X400MG</t>
  </si>
  <si>
    <t>146475</t>
  </si>
  <si>
    <t>46475</t>
  </si>
  <si>
    <t>DILCEREN PRO INFUSIONE</t>
  </si>
  <si>
    <t>INF 1X50ML/10MG</t>
  </si>
  <si>
    <t>187906</t>
  </si>
  <si>
    <t>87906</t>
  </si>
  <si>
    <t>KORYLAN</t>
  </si>
  <si>
    <t>TBL 10</t>
  </si>
  <si>
    <t>188860</t>
  </si>
  <si>
    <t>154078</t>
  </si>
  <si>
    <t>NIMOTOP S</t>
  </si>
  <si>
    <t>POR TBL FLM 100X30MG</t>
  </si>
  <si>
    <t>100699</t>
  </si>
  <si>
    <t>699</t>
  </si>
  <si>
    <t>CHOLAGOL</t>
  </si>
  <si>
    <t>GTT 1X10ML</t>
  </si>
  <si>
    <t>100812</t>
  </si>
  <si>
    <t>812</t>
  </si>
  <si>
    <t>SANORIN</t>
  </si>
  <si>
    <t>LIQ 10ML 0.1%</t>
  </si>
  <si>
    <t>130508</t>
  </si>
  <si>
    <t>30508</t>
  </si>
  <si>
    <t>ARGOFAN 75 SR</t>
  </si>
  <si>
    <t>POR TBL PRO 30X75MG</t>
  </si>
  <si>
    <t>192414</t>
  </si>
  <si>
    <t>92414</t>
  </si>
  <si>
    <t>SEPTONEX</t>
  </si>
  <si>
    <t>SPR 1X45ML</t>
  </si>
  <si>
    <t>396754</t>
  </si>
  <si>
    <t>DZ PRONTODERM NASAL GEL  30ML</t>
  </si>
  <si>
    <t>850680</t>
  </si>
  <si>
    <t>120407</t>
  </si>
  <si>
    <t>THIOPENTAL VUAB INJ. PLV. SOL. 1,0 G</t>
  </si>
  <si>
    <t>INJ PLV SOL 1X1GM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</si>
  <si>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</si>
  <si>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</si>
  <si>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</si>
  <si>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</si>
  <si>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</si>
  <si>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</si>
  <si>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</si>
  <si>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</si>
  <si>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101845</t>
  </si>
  <si>
    <t>1845</t>
  </si>
  <si>
    <t>INJ 10X1ML/25MG</t>
  </si>
  <si>
    <t>115643</t>
  </si>
  <si>
    <t>15643</t>
  </si>
  <si>
    <t>SANDIMMUN</t>
  </si>
  <si>
    <t>INF CNC SOL 10X5ML</t>
  </si>
  <si>
    <t>149990</t>
  </si>
  <si>
    <t>49990</t>
  </si>
  <si>
    <t>EXACYL</t>
  </si>
  <si>
    <t>INJ 5X5ML/500MG</t>
  </si>
  <si>
    <t>155939</t>
  </si>
  <si>
    <t>HERPESIN 250</t>
  </si>
  <si>
    <t>INJ SIC 10X250MG</t>
  </si>
  <si>
    <t>187073</t>
  </si>
  <si>
    <t>87073</t>
  </si>
  <si>
    <t>POR PLV SOL 20X225MG</t>
  </si>
  <si>
    <t>187825</t>
  </si>
  <si>
    <t>87825</t>
  </si>
  <si>
    <t>ARDEAELYTOSOL NA.HYDR.CARB.8.4%</t>
  </si>
  <si>
    <t>190484</t>
  </si>
  <si>
    <t>NEPRESOL 25 MG-MIMOŘÁDNÝ DOVOZ!!</t>
  </si>
  <si>
    <t>INJ SIC 5X25MG+SOLV</t>
  </si>
  <si>
    <t>395850</t>
  </si>
  <si>
    <t>OptiLube lubrikační gel</t>
  </si>
  <si>
    <t>tuba 113g</t>
  </si>
  <si>
    <t>500396</t>
  </si>
  <si>
    <t>Diffusil H forte B85 150ml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</si>
  <si>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</si>
  <si>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</si>
  <si>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</si>
  <si>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</si>
  <si>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</si>
  <si>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</si>
  <si>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900539</t>
  </si>
  <si>
    <t>KL MAST NA SPALENINY, 100G</t>
  </si>
  <si>
    <t>921231</t>
  </si>
  <si>
    <t>KL MAST NA SPALENINY, 20G</t>
  </si>
  <si>
    <t>169726</t>
  </si>
  <si>
    <t>69726</t>
  </si>
  <si>
    <t>ARDEAELYTOSOL NATRIUMCHLOR.5.85</t>
  </si>
  <si>
    <t>INF 1X80ML</t>
  </si>
  <si>
    <t>799044</t>
  </si>
  <si>
    <t>Herbacos Rybilka dětská mast</t>
  </si>
  <si>
    <t>844716</t>
  </si>
  <si>
    <t>107676</t>
  </si>
  <si>
    <t>ISOPRINOSINE</t>
  </si>
  <si>
    <t>POR TBL NOB 50X500MG</t>
  </si>
  <si>
    <t>921135</t>
  </si>
  <si>
    <t>KL UNG.ICHT.2G,CaCO3 10G,ZnO 6G,VAS.LEN. AA AD</t>
  </si>
  <si>
    <t>100G, 2% ichtamolu</t>
  </si>
  <si>
    <t>146899</t>
  </si>
  <si>
    <t>46899</t>
  </si>
  <si>
    <t>MUNDISAL</t>
  </si>
  <si>
    <t>GEL 1X8GM</t>
  </si>
  <si>
    <t>848273</t>
  </si>
  <si>
    <t>125298</t>
  </si>
  <si>
    <t>CALCIUMFOLINAT EBEWE 10 MG/ML</t>
  </si>
  <si>
    <t>INJ SOL 1X10ML/100MG</t>
  </si>
  <si>
    <t>847025</t>
  </si>
  <si>
    <t>137119</t>
  </si>
  <si>
    <t>CALCIUM 500 MG PHARMAVIT</t>
  </si>
  <si>
    <t>POR TBL EFF 20X500MG</t>
  </si>
  <si>
    <t>121856</t>
  </si>
  <si>
    <t>21856</t>
  </si>
  <si>
    <t>CORYOL 3.125</t>
  </si>
  <si>
    <t>PORTBLNOB30X3.125MG</t>
  </si>
  <si>
    <t>900034</t>
  </si>
  <si>
    <t>KL POLYSAN, OL.HELIANTHI AA AD 100G</t>
  </si>
  <si>
    <t>500989</t>
  </si>
  <si>
    <t>KL MS HYDROG.PEROX. 3% 1000g</t>
  </si>
  <si>
    <t>846024</t>
  </si>
  <si>
    <t>100097</t>
  </si>
  <si>
    <t>VOLTAREN EMULGEL</t>
  </si>
  <si>
    <t>DRM GEL 1X100GM LAM</t>
  </si>
  <si>
    <t>125132</t>
  </si>
  <si>
    <t>OPH GTT SOL 3X5ML</t>
  </si>
  <si>
    <t>849975</t>
  </si>
  <si>
    <t>136004</t>
  </si>
  <si>
    <t xml:space="preserve">TAFLOTAN 15 MCG/ML </t>
  </si>
  <si>
    <t>OPH GTT SOL 30X0.3ML</t>
  </si>
  <si>
    <t>850403</t>
  </si>
  <si>
    <t>163305</t>
  </si>
  <si>
    <t>TIMOLOL-POS 0,5%</t>
  </si>
  <si>
    <t>145087</t>
  </si>
  <si>
    <t>45087</t>
  </si>
  <si>
    <t>ARUFIL</t>
  </si>
  <si>
    <t>OPH GTT SOL 1X10ML</t>
  </si>
  <si>
    <t>125918</t>
  </si>
  <si>
    <t>25918</t>
  </si>
  <si>
    <t>ZYPREXA VELOTAB 5 MG</t>
  </si>
  <si>
    <t>POR TBL DIS 28X5MG</t>
  </si>
  <si>
    <t>988071</t>
  </si>
  <si>
    <t>500874</t>
  </si>
  <si>
    <t>ZYPADHERA 405 MG</t>
  </si>
  <si>
    <t>INJ PLQ SUS PRO 1X405MG</t>
  </si>
  <si>
    <t>930673</t>
  </si>
  <si>
    <t>KL CHLORHEXIDINI SOL. 0,1% 200g</t>
  </si>
  <si>
    <t>v sirokohrdle lahvi</t>
  </si>
  <si>
    <t>849920</t>
  </si>
  <si>
    <t>144615</t>
  </si>
  <si>
    <t>UNILAT 50 MIKROGRAMŮ/ML, OČNÍ KAPKY, ROZTOK</t>
  </si>
  <si>
    <t>OPH GTT SOL 1X2.5ML</t>
  </si>
  <si>
    <t>844016</t>
  </si>
  <si>
    <t>27440</t>
  </si>
  <si>
    <t>CELLCEPT 500 MG</t>
  </si>
  <si>
    <t>INF PLV SOL 4X500MG</t>
  </si>
  <si>
    <t>107812</t>
  </si>
  <si>
    <t>BRUFEN 400</t>
  </si>
  <si>
    <t>500553</t>
  </si>
  <si>
    <t>Lapis tyčinka na bradavice</t>
  </si>
  <si>
    <t>157123</t>
  </si>
  <si>
    <t>METHOTREXAT EBEWE 10 MG TABLETY</t>
  </si>
  <si>
    <t>157871</t>
  </si>
  <si>
    <t>PARACETAMOL KABI 10 MG/ML</t>
  </si>
  <si>
    <t>INF SOL 10X50ML/500MG</t>
  </si>
  <si>
    <t>26249</t>
  </si>
  <si>
    <t>AZOPT</t>
  </si>
  <si>
    <t>OPH GTT SUS 3X5ML</t>
  </si>
  <si>
    <t>158892</t>
  </si>
  <si>
    <t>58892</t>
  </si>
  <si>
    <t>XALATAN</t>
  </si>
  <si>
    <t>GTT OPH 3X2.5ML</t>
  </si>
  <si>
    <t>200600</t>
  </si>
  <si>
    <t>LUXFEN, 2 MG/ML OČNÍ KAPKY, ROZTOK</t>
  </si>
  <si>
    <t>OPH GTT SOL 1X5ML</t>
  </si>
  <si>
    <t>921331</t>
  </si>
  <si>
    <t>KL ETHANOLUM 70% 400G</t>
  </si>
  <si>
    <t>921132</t>
  </si>
  <si>
    <t>KL UNG.AC.BORICI 3%, 100G</t>
  </si>
  <si>
    <t>842703</t>
  </si>
  <si>
    <t>Hypromeloza -P 10ml</t>
  </si>
  <si>
    <t>844955</t>
  </si>
  <si>
    <t>18761</t>
  </si>
  <si>
    <t>SELENASE INJEKČNÍ ROZTOK 500 MCG</t>
  </si>
  <si>
    <t>INJ SOL 10X10ML</t>
  </si>
  <si>
    <t>176954</t>
  </si>
  <si>
    <t>ALGIFEN NEO</t>
  </si>
  <si>
    <t>POR GTT SOL 1X50ML</t>
  </si>
  <si>
    <t>843709</t>
  </si>
  <si>
    <t>103386</t>
  </si>
  <si>
    <t>XALACOM</t>
  </si>
  <si>
    <t>OPH GTT SOL 3X2.5ML</t>
  </si>
  <si>
    <t>200863</t>
  </si>
  <si>
    <t>OPH GTT SOL 1X10ML PLAST</t>
  </si>
  <si>
    <t>162305</t>
  </si>
  <si>
    <t>TIMO-COMOD 0,5%</t>
  </si>
  <si>
    <t>OPH GTT SOL 2X10ML</t>
  </si>
  <si>
    <t>394153</t>
  </si>
  <si>
    <t>Calcium pantotenicum mast 30g Generica</t>
  </si>
  <si>
    <t>395712</t>
  </si>
  <si>
    <t>HBF Calcium panthotenát mast 30g</t>
  </si>
  <si>
    <t>201992</t>
  </si>
  <si>
    <t>POR TBL FLM 120X500MG</t>
  </si>
  <si>
    <t>501346</t>
  </si>
  <si>
    <t>KL UNG.SEPT1,0gDEX 0,125gPROPYLENGL.12,5g, AMBID.</t>
  </si>
  <si>
    <t>500g</t>
  </si>
  <si>
    <t>114675</t>
  </si>
  <si>
    <t>200934</t>
  </si>
  <si>
    <t>DOBEXIL H UNG</t>
  </si>
  <si>
    <t>RCT UNG 1X20GM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</si>
  <si>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</si>
  <si>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</si>
  <si>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</si>
  <si>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</si>
  <si>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</si>
  <si>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</si>
  <si>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</si>
  <si>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</si>
  <si>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171031</t>
  </si>
  <si>
    <t>NASIVIN SENSITIVE 0,05%</t>
  </si>
  <si>
    <t>NAS SPR SOL 1X10ML/5MG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</si>
  <si>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</si>
  <si>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</si>
  <si>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</si>
  <si>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</si>
  <si>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</si>
  <si>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</si>
  <si>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23987</t>
  </si>
  <si>
    <t>DZ OCTENISEPT drm. sol. 250 ml</t>
  </si>
  <si>
    <t>DRM SOL 1X250ML</t>
  </si>
  <si>
    <t>920235</t>
  </si>
  <si>
    <t>15880</t>
  </si>
  <si>
    <t>DZ BRAUNOL 500 ML</t>
  </si>
  <si>
    <t>59551</t>
  </si>
  <si>
    <t>TEVETEN 600 MG</t>
  </si>
  <si>
    <t>POR TBL FLM 28X600MG</t>
  </si>
  <si>
    <t>190973</t>
  </si>
  <si>
    <t>TRIPLIXAM 10 MG/2,5 MG/10 MG</t>
  </si>
  <si>
    <t>POR TBL FLM 30</t>
  </si>
  <si>
    <t>989656</t>
  </si>
  <si>
    <t>Calcium pantothenicum mast Generica 100g</t>
  </si>
  <si>
    <t>137275</t>
  </si>
  <si>
    <t>CALCIUM RESONIUM</t>
  </si>
  <si>
    <t>POR+RCT PLV SUS 300GM</t>
  </si>
  <si>
    <t>988837</t>
  </si>
  <si>
    <t>Calcium pantothenicum krém Generica  30g</t>
  </si>
  <si>
    <t>500088</t>
  </si>
  <si>
    <t>DZ PRONTORAL 250ML</t>
  </si>
  <si>
    <t>203092</t>
  </si>
  <si>
    <t>LIDOCAIN EGIS 10 %</t>
  </si>
  <si>
    <t>DRM SPR SOL 1X38GM</t>
  </si>
  <si>
    <t>844041</t>
  </si>
  <si>
    <t>Emspoma U základní 300g/bílá</t>
  </si>
  <si>
    <t>203323</t>
  </si>
  <si>
    <t>DRM UNG 1X100GM 10%</t>
  </si>
  <si>
    <t>902048</t>
  </si>
  <si>
    <t>IR  Ci-Ca DIALYSAT K2</t>
  </si>
  <si>
    <t>IR DIALYSACNI RPZT.</t>
  </si>
  <si>
    <t>202405</t>
  </si>
  <si>
    <t>INEGY 10 MG/10 MG TABLETY</t>
  </si>
  <si>
    <t>214902</t>
  </si>
  <si>
    <t>EUPHYLLIN CR N 100</t>
  </si>
  <si>
    <t>POR CPS PRO 50X100MG</t>
  </si>
  <si>
    <t>161371</t>
  </si>
  <si>
    <t>SUXAMETHONIUM CHLORID VUAB 100 MG</t>
  </si>
  <si>
    <t>182374</t>
  </si>
  <si>
    <t>MONOPOST 50 MIKROGRAMŮ/ML</t>
  </si>
  <si>
    <t>OPH GTT SOL 30X0.2ML/10RG</t>
  </si>
  <si>
    <t>203954</t>
  </si>
  <si>
    <t>BISEPTOL 480</t>
  </si>
  <si>
    <t>POR TBL NOB 28X480MG</t>
  </si>
  <si>
    <t>202891</t>
  </si>
  <si>
    <t>CLARINASE REPETABS</t>
  </si>
  <si>
    <t>POR TBL PRO 7 II</t>
  </si>
  <si>
    <t>134821</t>
  </si>
  <si>
    <t>ISOLYTE  FFX - VAK</t>
  </si>
  <si>
    <t>INF SOL 10X1000ML Freeflex</t>
  </si>
  <si>
    <t>214745</t>
  </si>
  <si>
    <t>THIOGAMMA TURBO SET 600 MG</t>
  </si>
  <si>
    <t>INJ SOL 10X50ML</t>
  </si>
  <si>
    <t>215473</t>
  </si>
  <si>
    <t>EBRANTIL I.V. 25</t>
  </si>
  <si>
    <t>INJ SOL 5X5ML/25MG</t>
  </si>
  <si>
    <t>215474</t>
  </si>
  <si>
    <t>EBRANTIL I.V.50</t>
  </si>
  <si>
    <t>INJ SOL 5X10ML/50MG</t>
  </si>
  <si>
    <t>214616</t>
  </si>
  <si>
    <t>162083</t>
  </si>
  <si>
    <t>ENTEROL</t>
  </si>
  <si>
    <t>POR CPS DUR 50X250MG</t>
  </si>
  <si>
    <t>501555</t>
  </si>
  <si>
    <t>KL SOL.HYPERMANGAN 4%</t>
  </si>
  <si>
    <t>115318</t>
  </si>
  <si>
    <t>POR CPS ETD 90X20MG</t>
  </si>
  <si>
    <t>990927</t>
  </si>
  <si>
    <t>Klysma salinické 135ml</t>
  </si>
  <si>
    <t>119685</t>
  </si>
  <si>
    <t>NASIVIN 0,025%</t>
  </si>
  <si>
    <t>NAS GTT SOL 10ML</t>
  </si>
  <si>
    <t>187659</t>
  </si>
  <si>
    <t>INJ SOL 100X10ML II</t>
  </si>
  <si>
    <t>216104</t>
  </si>
  <si>
    <t>POR TBL PRO 14 II</t>
  </si>
  <si>
    <t>848462</t>
  </si>
  <si>
    <t>Paranit prevent.sprej proti vším 100 ml</t>
  </si>
  <si>
    <t>501567</t>
  </si>
  <si>
    <t>KL UNG.FRAMYKOIN</t>
  </si>
  <si>
    <t>10G</t>
  </si>
  <si>
    <t>132522</t>
  </si>
  <si>
    <t>EGILOK 25 MG</t>
  </si>
  <si>
    <t>TBL 60X25MG</t>
  </si>
  <si>
    <t>185625</t>
  </si>
  <si>
    <t>POR TBL FLM 30X400MG</t>
  </si>
  <si>
    <t>187660</t>
  </si>
  <si>
    <t>INJ SOL 100X20ML II</t>
  </si>
  <si>
    <t>215168</t>
  </si>
  <si>
    <t>KREON 10 000</t>
  </si>
  <si>
    <t>POR CPS ETD 50</t>
  </si>
  <si>
    <t>116285</t>
  </si>
  <si>
    <t>16285</t>
  </si>
  <si>
    <t>STILNOX</t>
  </si>
  <si>
    <t>POR TBL FLM 10X10MG</t>
  </si>
  <si>
    <t>216199</t>
  </si>
  <si>
    <t>KLACID 500</t>
  </si>
  <si>
    <t>POR TBL FLM 14X500MG</t>
  </si>
  <si>
    <t>197323</t>
  </si>
  <si>
    <t>ADDAVEN</t>
  </si>
  <si>
    <t>IVN INF CNC SOL 20X10ML</t>
  </si>
  <si>
    <t>846099</t>
  </si>
  <si>
    <t>Ostropestřec mariánský plod LEROS</t>
  </si>
  <si>
    <t>150g sypaný</t>
  </si>
  <si>
    <t>988431</t>
  </si>
  <si>
    <t>HBF Rybilka NEO 100ml</t>
  </si>
  <si>
    <t>216900</t>
  </si>
  <si>
    <t>NORADRENALIN LÉČIVA</t>
  </si>
  <si>
    <t>IVN INF CNC SOL 5X5ML</t>
  </si>
  <si>
    <t>132718</t>
  </si>
  <si>
    <t>MOVALIS 15 MG</t>
  </si>
  <si>
    <t>POR TBL NOB 20X15MG</t>
  </si>
  <si>
    <t>215606</t>
  </si>
  <si>
    <t>185546</t>
  </si>
  <si>
    <t>BRUFEDOL 400 MG ŠUMIVÉ GRANULE</t>
  </si>
  <si>
    <t>POR GRA EFF 30X400MG</t>
  </si>
  <si>
    <t>29938</t>
  </si>
  <si>
    <t>KEPPRA 100 MG/ML</t>
  </si>
  <si>
    <t>INF CNC SOL 10X5ML II</t>
  </si>
  <si>
    <t>215851</t>
  </si>
  <si>
    <t>TRANSMETIL 500 MG TABLETY</t>
  </si>
  <si>
    <t>POR TBL ENT 10X500MG</t>
  </si>
  <si>
    <t>142451</t>
  </si>
  <si>
    <t>42451</t>
  </si>
  <si>
    <t>MINIRIN 0.1 MG TABLETY</t>
  </si>
  <si>
    <t>POR TBL NOB30X0.1MG</t>
  </si>
  <si>
    <t>215605</t>
  </si>
  <si>
    <t>991662</t>
  </si>
  <si>
    <t>216232</t>
  </si>
  <si>
    <t>GLYVENOL 400</t>
  </si>
  <si>
    <t>POR CPS MOL 60X400MG</t>
  </si>
  <si>
    <t>846738</t>
  </si>
  <si>
    <t>Biopron Forte 10 tob.</t>
  </si>
  <si>
    <t>125115</t>
  </si>
  <si>
    <t>PANZYNORM FORTE-N</t>
  </si>
  <si>
    <t>POR TBL ENT 30X20000UT</t>
  </si>
  <si>
    <t>215612</t>
  </si>
  <si>
    <t>SEVELAMER CARBONATE HEATON 800 MG</t>
  </si>
  <si>
    <t>POR TBL FLM 180X800MG</t>
  </si>
  <si>
    <t>190518</t>
  </si>
  <si>
    <t>90518</t>
  </si>
  <si>
    <t>LAXYGAL</t>
  </si>
  <si>
    <t>GTT 1X10ML/75MG</t>
  </si>
  <si>
    <t>187159</t>
  </si>
  <si>
    <t>ANESIA 20 MG/ML INJEKČNÍ/INFUZNÍ EMULZE</t>
  </si>
  <si>
    <t>INJ+INF EML 10X50MLX20MG/ML</t>
  </si>
  <si>
    <t>P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</si>
  <si>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</si>
  <si>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</si>
  <si>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</si>
  <si>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</si>
  <si>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</si>
  <si>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</si>
  <si>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</si>
  <si>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112892</t>
  </si>
  <si>
    <t>12892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</si>
  <si>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</si>
  <si>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</si>
  <si>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</si>
  <si>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</si>
  <si>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</si>
  <si>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</si>
  <si>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</si>
  <si>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</si>
  <si>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</si>
  <si>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</si>
  <si>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</si>
  <si>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</si>
  <si>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</si>
  <si>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</si>
  <si>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</si>
  <si>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</si>
  <si>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</si>
  <si>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</si>
  <si>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117433</t>
  </si>
  <si>
    <t>17433</t>
  </si>
  <si>
    <t>CITALEC 20 ZENTIVA</t>
  </si>
  <si>
    <t>POR TBL FLM 60X20MG</t>
  </si>
  <si>
    <t>140368</t>
  </si>
  <si>
    <t>40368</t>
  </si>
  <si>
    <t>MEDROL 4 MG</t>
  </si>
  <si>
    <t>POR TBL NOB30X4MG-L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</si>
  <si>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</si>
  <si>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</si>
  <si>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</si>
  <si>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</si>
  <si>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</si>
  <si>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</si>
  <si>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</si>
  <si>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</si>
  <si>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</si>
  <si>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</si>
  <si>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</si>
  <si>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</si>
  <si>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</si>
  <si>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</si>
  <si>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</si>
  <si>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</si>
  <si>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</si>
  <si>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</si>
  <si>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</si>
  <si>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</si>
  <si>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</si>
  <si>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</si>
  <si>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</si>
  <si>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</si>
  <si>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</si>
  <si>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</si>
  <si>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</si>
  <si>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</si>
  <si>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</si>
  <si>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</si>
  <si>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</si>
  <si>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</si>
  <si>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</si>
  <si>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</si>
  <si>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</si>
  <si>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</si>
  <si>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</si>
  <si>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</si>
  <si>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</si>
  <si>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</si>
  <si>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</si>
  <si>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191280</t>
  </si>
  <si>
    <t>91280</t>
  </si>
  <si>
    <t>RANITAL</t>
  </si>
  <si>
    <t>TBL 30X150MG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</si>
  <si>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</si>
  <si>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</si>
  <si>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</si>
  <si>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</si>
  <si>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</si>
  <si>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</si>
  <si>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</si>
  <si>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</si>
  <si>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POR TBL FLM 90X5MG</t>
  </si>
  <si>
    <t>848765</t>
  </si>
  <si>
    <t>107938</t>
  </si>
  <si>
    <t>INJ SOL 6X3ML/150MG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</si>
  <si>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</si>
  <si>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</si>
  <si>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</si>
  <si>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</si>
  <si>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</si>
  <si>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</si>
  <si>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</si>
  <si>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850078</t>
  </si>
  <si>
    <t>102608</t>
  </si>
  <si>
    <t>CARVESAN 25</t>
  </si>
  <si>
    <t>POR TBL NOB 30X25MG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</si>
  <si>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</si>
  <si>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</si>
  <si>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</si>
  <si>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</si>
  <si>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</si>
  <si>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</si>
  <si>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</si>
  <si>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</si>
  <si>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</si>
  <si>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</si>
  <si>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</si>
  <si>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131934</t>
  </si>
  <si>
    <t>31934</t>
  </si>
  <si>
    <t>VENTOLIN INHALER N</t>
  </si>
  <si>
    <t>INHSUSPSS200X100RG</t>
  </si>
  <si>
    <t>145215</t>
  </si>
  <si>
    <t>45215</t>
  </si>
  <si>
    <t>ZOXON 4</t>
  </si>
  <si>
    <t>TBL 30X4MG</t>
  </si>
  <si>
    <t>183099</t>
  </si>
  <si>
    <t>83099</t>
  </si>
  <si>
    <t>XANAX SR</t>
  </si>
  <si>
    <t>TBL RET 30X0.5MG</t>
  </si>
  <si>
    <t>193019</t>
  </si>
  <si>
    <t>93019</t>
  </si>
  <si>
    <t>SORTIS 40MG</t>
  </si>
  <si>
    <t>TBL OBD 30X40MG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</si>
  <si>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</si>
  <si>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</si>
  <si>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</si>
  <si>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</si>
  <si>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</si>
  <si>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</si>
  <si>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</si>
  <si>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848947</t>
  </si>
  <si>
    <t>135928</t>
  </si>
  <si>
    <t>ESOPREX 10 MG</t>
  </si>
  <si>
    <t>126789</t>
  </si>
  <si>
    <t>26789</t>
  </si>
  <si>
    <t>NOVORAPID PENFILL 100 U/ML</t>
  </si>
  <si>
    <t>INJ SOL 5X3ML</t>
  </si>
  <si>
    <t>153951</t>
  </si>
  <si>
    <t>53951</t>
  </si>
  <si>
    <t>ZOLOFT 100MG</t>
  </si>
  <si>
    <t>TBL OBD 28X100MG</t>
  </si>
  <si>
    <t>848477</t>
  </si>
  <si>
    <t>124346</t>
  </si>
  <si>
    <t>CEZERA 5 MG</t>
  </si>
  <si>
    <t>112354</t>
  </si>
  <si>
    <t>12354</t>
  </si>
  <si>
    <t>146692</t>
  </si>
  <si>
    <t>46692</t>
  </si>
  <si>
    <t>EUTHYROX 75</t>
  </si>
  <si>
    <t>TBL 100X75RG</t>
  </si>
  <si>
    <t>190959</t>
  </si>
  <si>
    <t>90959</t>
  </si>
  <si>
    <t>TBL 30X0.5MG</t>
  </si>
  <si>
    <t>845219</t>
  </si>
  <si>
    <t>101233</t>
  </si>
  <si>
    <t>POR TBL FLM 90X10MG</t>
  </si>
  <si>
    <t>848895</t>
  </si>
  <si>
    <t>151056</t>
  </si>
  <si>
    <t>LAMICTAL 100 MG</t>
  </si>
  <si>
    <t>POR TBL NOB 42X100MG</t>
  </si>
  <si>
    <t>117431</t>
  </si>
  <si>
    <t>17431</t>
  </si>
  <si>
    <t>POR TBL FLM30X20MG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</si>
  <si>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</si>
  <si>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</si>
  <si>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</si>
  <si>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</si>
  <si>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</si>
  <si>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</si>
  <si>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</si>
  <si>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</si>
  <si>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</si>
  <si>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</si>
  <si>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166760</t>
  </si>
  <si>
    <t>KINITO 50 MG, POTAHOVANÉ TABLETY</t>
  </si>
  <si>
    <t>115245</t>
  </si>
  <si>
    <t>15245</t>
  </si>
  <si>
    <t>SANDOSTATIN 0.1 MG/ML</t>
  </si>
  <si>
    <t>INJ SOL 5X1ML/0.1MG</t>
  </si>
  <si>
    <t>147466</t>
  </si>
  <si>
    <t>EUTHYROX 137 MIKROGRAMŮ</t>
  </si>
  <si>
    <t>POR TBL NOB 100X137RG II</t>
  </si>
  <si>
    <t>176193</t>
  </si>
  <si>
    <t>REQUIP-MODUTAB 4 MG</t>
  </si>
  <si>
    <t>POR TBL PRO 28X4MG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</si>
  <si>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</si>
  <si>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</si>
  <si>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</si>
  <si>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</si>
  <si>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</si>
  <si>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</si>
  <si>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</si>
  <si>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</si>
  <si>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184095</t>
  </si>
  <si>
    <t>MIDAZOLAM ACCORD 5 MG/ML</t>
  </si>
  <si>
    <t>INJ+INF SOL 10X10ML</t>
  </si>
  <si>
    <t>117135</t>
  </si>
  <si>
    <t>17135</t>
  </si>
  <si>
    <t>LAMICTAL 25 MG</t>
  </si>
  <si>
    <t>POR TBL NOB 42X25MG</t>
  </si>
  <si>
    <t>180081</t>
  </si>
  <si>
    <t>SYMBICORT TURBUHALER 400 MIKROGRAMŮ/12 MIKROGRAMŮ/</t>
  </si>
  <si>
    <t>INH PLV 1X60DÁV</t>
  </si>
  <si>
    <t>844243</t>
  </si>
  <si>
    <t>112561</t>
  </si>
  <si>
    <t>RECOXA 15</t>
  </si>
  <si>
    <t>POR TBL NOB 30X15MG</t>
  </si>
  <si>
    <t>500570</t>
  </si>
  <si>
    <t>ZARZIO 48 MU/0,5 ML</t>
  </si>
  <si>
    <t>INJ+INF SOL 5X0.5ML</t>
  </si>
  <si>
    <t>849578</t>
  </si>
  <si>
    <t>149480</t>
  </si>
  <si>
    <t>ZYLLT 75 MG</t>
  </si>
  <si>
    <t>POR TBL FLM 28X75MG</t>
  </si>
  <si>
    <t>180087</t>
  </si>
  <si>
    <t>SYMBICORT TURBUHALER 200 MIKROGRAMŮ/ 6 MIKROGRAMŮ/</t>
  </si>
  <si>
    <t>INH PLV 1X120DÁV</t>
  </si>
  <si>
    <t>187425</t>
  </si>
  <si>
    <t>LETROX 50</t>
  </si>
  <si>
    <t>POR TBL NOB 100X50RG II</t>
  </si>
  <si>
    <t>193552</t>
  </si>
  <si>
    <t>SEEBRI BREEZHALER 44 MCG</t>
  </si>
  <si>
    <t>INH PLV CPS DUR 30X1X44RG+INH</t>
  </si>
  <si>
    <t>184245</t>
  </si>
  <si>
    <t>LETROX 75</t>
  </si>
  <si>
    <t>POR TBL NOB 100X75MCG II</t>
  </si>
  <si>
    <t>169714</t>
  </si>
  <si>
    <t>LETROX 125</t>
  </si>
  <si>
    <t>POR TBL NOB 100X125MCG</t>
  </si>
  <si>
    <t>187607</t>
  </si>
  <si>
    <t>ONDANSETRON B. BRAUN 2 MG/ML</t>
  </si>
  <si>
    <t>INJ SOL 20X4ML/8MG LDPE</t>
  </si>
  <si>
    <t>213480</t>
  </si>
  <si>
    <t>FRAXIPARINE FORTE</t>
  </si>
  <si>
    <t>INJ SOL 10X0.6ML</t>
  </si>
  <si>
    <t>213477</t>
  </si>
  <si>
    <t>213494</t>
  </si>
  <si>
    <t>FRAXIPARINE</t>
  </si>
  <si>
    <t>INJ SOL 10X0.4ML</t>
  </si>
  <si>
    <t>214427</t>
  </si>
  <si>
    <t>CONTROLOC I.V.</t>
  </si>
  <si>
    <t>INJ PLV SOL 1X40MG</t>
  </si>
  <si>
    <t>213487</t>
  </si>
  <si>
    <t>INJ SOL 10X0.3ML</t>
  </si>
  <si>
    <t>213489</t>
  </si>
  <si>
    <t>132689</t>
  </si>
  <si>
    <t>214526</t>
  </si>
  <si>
    <t>CONTROLOC 40 MG</t>
  </si>
  <si>
    <t>POR TBL ENT 100X40MG I</t>
  </si>
  <si>
    <t>187427</t>
  </si>
  <si>
    <t>LETROX 100</t>
  </si>
  <si>
    <t>POR TBL NOB 100X100RG II</t>
  </si>
  <si>
    <t>195941</t>
  </si>
  <si>
    <t>SERTRALIN APOTEX 50 MG POTAHOVANÉ TABLETY</t>
  </si>
  <si>
    <t>204690</t>
  </si>
  <si>
    <t>TORVACARD NEO 40 MG</t>
  </si>
  <si>
    <t>POR TBL FLM 30X40MG</t>
  </si>
  <si>
    <t>127736</t>
  </si>
  <si>
    <t>MIDAZOLAM ACCORD 1 MG/ML</t>
  </si>
  <si>
    <t>INJ+INF SOL 10X5MLX1MG/ML</t>
  </si>
  <si>
    <t>50113006</t>
  </si>
  <si>
    <t>846327</t>
  </si>
  <si>
    <t>33404</t>
  </si>
  <si>
    <t>Calogen Neutral por.eml. 1x200ml</t>
  </si>
  <si>
    <t>217007</t>
  </si>
  <si>
    <t>NUTRICOMP SOUP MIX</t>
  </si>
  <si>
    <t>POR SOL 24X200ML</t>
  </si>
  <si>
    <t>33564</t>
  </si>
  <si>
    <t>NUTRILAC COFFEE S-Objednávat po 18ks!</t>
  </si>
  <si>
    <t>POR SOL 1X200ML</t>
  </si>
  <si>
    <t>33567</t>
  </si>
  <si>
    <t>NUTRILAC VANILKA S-Objednávat po 18ks!</t>
  </si>
  <si>
    <t>33561</t>
  </si>
  <si>
    <t>NUTRILAC NATURAL PLUS-Objednávat po 18ks!</t>
  </si>
  <si>
    <t>33570</t>
  </si>
  <si>
    <t>NUTRILAC BANÁN S-Objednávat po 18 ks!</t>
  </si>
  <si>
    <t>841569</t>
  </si>
  <si>
    <t>Fresubin hepa 15x500ml</t>
  </si>
  <si>
    <t>846016</t>
  </si>
  <si>
    <t>Nutrison Advanced Protison 500ml</t>
  </si>
  <si>
    <t>1X500ML</t>
  </si>
  <si>
    <t>988740</t>
  </si>
  <si>
    <t>Nutrison Advanced Diason 1000ml</t>
  </si>
  <si>
    <t>990223</t>
  </si>
  <si>
    <t>NEPRO HP 500ml vanilková</t>
  </si>
  <si>
    <t>990658</t>
  </si>
  <si>
    <t xml:space="preserve">Nutricomp Glutamine Plus MB 500ml </t>
  </si>
  <si>
    <t>991213</t>
  </si>
  <si>
    <t>NutrilaC Natural 1 000 ml-Objednávat po 8ks!!</t>
  </si>
  <si>
    <t>33900</t>
  </si>
  <si>
    <t>NUTRISEN VANILKA 200 ML-Objednávat po 18ks!</t>
  </si>
  <si>
    <t>33901</t>
  </si>
  <si>
    <t>NUTRISEN ČOKOLÁDA 200 ML-Objednávat po 18ks!</t>
  </si>
  <si>
    <t>501627</t>
  </si>
  <si>
    <t>Nutricomp intensiv</t>
  </si>
  <si>
    <t>15x500ml</t>
  </si>
  <si>
    <t>991356</t>
  </si>
  <si>
    <t>Calogen Neutral 4x200ml</t>
  </si>
  <si>
    <t>217054</t>
  </si>
  <si>
    <t>NUTRISON</t>
  </si>
  <si>
    <t>POR SOL 8X1000ML</t>
  </si>
  <si>
    <t>217058</t>
  </si>
  <si>
    <t>NUTRISON PROTEIN PLUS MULTI FIBRE</t>
  </si>
  <si>
    <t>POR SOL 8X500ML</t>
  </si>
  <si>
    <t>133339</t>
  </si>
  <si>
    <t>33339</t>
  </si>
  <si>
    <t>DIASIP S PŘÍCHUTÍ JAHODOVOU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</si>
  <si>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</si>
  <si>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</si>
  <si>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</si>
  <si>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</si>
  <si>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</si>
  <si>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</si>
  <si>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133343</t>
  </si>
  <si>
    <t>33343</t>
  </si>
  <si>
    <t>CUBITAN S PŘÍCHUTÍ JAHODOVOU (SOL)</t>
  </si>
  <si>
    <t>33740</t>
  </si>
  <si>
    <t>NUTRIDRINK COMPACT PROTEIN S PŘÍCHUTÍ KÁVY</t>
  </si>
  <si>
    <t>POR SOL 4X125ML</t>
  </si>
  <si>
    <t>33527</t>
  </si>
  <si>
    <t>POR SOL 1X500ML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</si>
  <si>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</si>
  <si>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</si>
  <si>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</si>
  <si>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</si>
  <si>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</si>
  <si>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</si>
  <si>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</si>
  <si>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</si>
  <si>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33526</t>
  </si>
  <si>
    <t>POR SOL 1X1000ML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</si>
  <si>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</si>
  <si>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</si>
  <si>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</si>
  <si>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</si>
  <si>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</si>
  <si>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</si>
  <si>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</si>
  <si>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</si>
  <si>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</si>
  <si>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</si>
  <si>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</si>
  <si>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</si>
  <si>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</si>
  <si>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</si>
  <si>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</si>
  <si>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33848</t>
  </si>
  <si>
    <t>NUTRIDRINK S PŘÍCHUTÍ ČOKOLÁDOVOU</t>
  </si>
  <si>
    <t>POR SOL 4X200ML</t>
  </si>
  <si>
    <t>33847</t>
  </si>
  <si>
    <t>NUTRIDRINK S PŘÍCHUTÍ VANILKOVOU</t>
  </si>
  <si>
    <t>33859</t>
  </si>
  <si>
    <t>NUTRIDRINK JUICE STYLE S PŘÍCHUTÍ JABLEČNOU</t>
  </si>
  <si>
    <t>33936</t>
  </si>
  <si>
    <t>NUTRIDRINK S PŘÍCHUTÍ BANÁNOVOU</t>
  </si>
  <si>
    <t>990352</t>
  </si>
  <si>
    <t>33935</t>
  </si>
  <si>
    <t>NUTRIDRINK S PŘÍCHUTÍ JAHODOVOU</t>
  </si>
  <si>
    <t>50113007</t>
  </si>
  <si>
    <t>162464</t>
  </si>
  <si>
    <t>62464</t>
  </si>
  <si>
    <t>HAEMOCOMPLETTAN P</t>
  </si>
  <si>
    <t>INF PLV SOL1X1000MG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</si>
  <si>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</si>
  <si>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</si>
  <si>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</si>
  <si>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</si>
  <si>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</si>
  <si>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</si>
  <si>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</si>
  <si>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</si>
  <si>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</si>
  <si>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</si>
  <si>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</si>
  <si>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103708</t>
  </si>
  <si>
    <t>3708</t>
  </si>
  <si>
    <t>ZYVOXID</t>
  </si>
  <si>
    <t>INF SOL 10X300ML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</si>
  <si>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</si>
  <si>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</si>
  <si>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</si>
  <si>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</si>
  <si>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</si>
  <si>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</si>
  <si>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</si>
  <si>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</si>
  <si>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</si>
  <si>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</si>
  <si>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</si>
  <si>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</si>
  <si>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</si>
  <si>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</si>
  <si>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</si>
  <si>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</si>
  <si>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</si>
  <si>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</si>
  <si>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</si>
  <si>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</si>
  <si>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</si>
  <si>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</si>
  <si>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</si>
  <si>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168998</t>
  </si>
  <si>
    <t>68998</t>
  </si>
  <si>
    <t>AMPICILIN 1,0 BIOTIKA</t>
  </si>
  <si>
    <t>INJ PLV SOL 10X1000MG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</si>
  <si>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</si>
  <si>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</si>
  <si>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</si>
  <si>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</si>
  <si>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</si>
  <si>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</si>
  <si>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</si>
  <si>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</si>
  <si>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117041</t>
  </si>
  <si>
    <t>17041</t>
  </si>
  <si>
    <t>CEFOBID 1 G</t>
  </si>
  <si>
    <t>INJ SIC 1X1GM</t>
  </si>
  <si>
    <t>117170</t>
  </si>
  <si>
    <t>17170</t>
  </si>
  <si>
    <t>BELOGENT KRÉM</t>
  </si>
  <si>
    <t>CRM 1X30GM</t>
  </si>
  <si>
    <t>131656</t>
  </si>
  <si>
    <t>CEFTAZIDIM KABI 2 GM</t>
  </si>
  <si>
    <t>INJ+INF PLV SOL 10X2GM</t>
  </si>
  <si>
    <t>148261</t>
  </si>
  <si>
    <t>48261</t>
  </si>
  <si>
    <t>PLV ADS 1X20GM</t>
  </si>
  <si>
    <t>849206</t>
  </si>
  <si>
    <t>162809</t>
  </si>
  <si>
    <t>Avelox 400mg/250ml inf.sol.1x250ml/400mg</t>
  </si>
  <si>
    <t>103952</t>
  </si>
  <si>
    <t>3952</t>
  </si>
  <si>
    <t>AMIKIN</t>
  </si>
  <si>
    <t>INJ 1X2ML/500MG</t>
  </si>
  <si>
    <t>111706</t>
  </si>
  <si>
    <t>11706</t>
  </si>
  <si>
    <t>INJ 10X5ML</t>
  </si>
  <si>
    <t>141515</t>
  </si>
  <si>
    <t>41515</t>
  </si>
  <si>
    <t>PIMAFUCORT</t>
  </si>
  <si>
    <t>CRM 1X15GM</t>
  </si>
  <si>
    <t>192490</t>
  </si>
  <si>
    <t>92490</t>
  </si>
  <si>
    <t>MACMIROR COMPLEX 500</t>
  </si>
  <si>
    <t>SUP VAG 8</t>
  </si>
  <si>
    <t>72973</t>
  </si>
  <si>
    <t>AMOKSIKLAV 600 MG</t>
  </si>
  <si>
    <t>INJ PLV SOL 5X600MG</t>
  </si>
  <si>
    <t>168999</t>
  </si>
  <si>
    <t>68999</t>
  </si>
  <si>
    <t>AMPICILIN 0,5 BIOTIKA</t>
  </si>
  <si>
    <t>INJ PLV SOL 10X500MG</t>
  </si>
  <si>
    <t>105113</t>
  </si>
  <si>
    <t>5113</t>
  </si>
  <si>
    <t>TARGOCID 400MG</t>
  </si>
  <si>
    <t>INJ SIC 1X400MG+SOL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</si>
  <si>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</si>
  <si>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</si>
  <si>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</si>
  <si>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</si>
  <si>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</si>
  <si>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</si>
  <si>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</si>
  <si>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175754</t>
  </si>
  <si>
    <t>75754</t>
  </si>
  <si>
    <t>ROVAMYCINE 3MU</t>
  </si>
  <si>
    <t>TBL OBD 10X3MU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</si>
  <si>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</si>
  <si>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</si>
  <si>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</si>
  <si>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</si>
  <si>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</si>
  <si>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</si>
  <si>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</si>
  <si>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</si>
  <si>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</si>
  <si>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183926</t>
  </si>
  <si>
    <t>AZEPO 1 G</t>
  </si>
  <si>
    <t>INJ+INF PLV SOL 10X1GM</t>
  </si>
  <si>
    <t>202911</t>
  </si>
  <si>
    <t>DILIZOLEN 2 MG/ML</t>
  </si>
  <si>
    <t>INF SOL 10X300ML/600MG</t>
  </si>
  <si>
    <t>137499</t>
  </si>
  <si>
    <t>KLACID I.V.</t>
  </si>
  <si>
    <t>INF PLV SOL 1X500MG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</si>
  <si>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</si>
  <si>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</si>
  <si>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</si>
  <si>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</si>
  <si>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</si>
  <si>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</si>
  <si>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</si>
  <si>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</si>
  <si>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</si>
  <si>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</si>
  <si>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</si>
  <si>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</si>
  <si>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</si>
  <si>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</si>
  <si>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</si>
  <si>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</si>
  <si>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</si>
  <si>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</si>
  <si>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</si>
  <si>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</si>
  <si>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</si>
  <si>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</si>
  <si>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201970</t>
  </si>
  <si>
    <t>PAMYCON NA PŘÍPRAVU KAPEK</t>
  </si>
  <si>
    <t>DRM PLV SOL 1X1LAH</t>
  </si>
  <si>
    <t>207116</t>
  </si>
  <si>
    <t>OFLOXIN INF</t>
  </si>
  <si>
    <t>INF SOL 10X100ML</t>
  </si>
  <si>
    <t>201967</t>
  </si>
  <si>
    <t>VULMIZOLIN 1,0</t>
  </si>
  <si>
    <t>201961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</si>
  <si>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</si>
  <si>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</si>
  <si>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</si>
  <si>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</si>
  <si>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</si>
  <si>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</si>
  <si>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</si>
  <si>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</si>
  <si>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203855</t>
  </si>
  <si>
    <t>IMS+IVN INJ PLV SOL 10X1GM</t>
  </si>
  <si>
    <t>201958</t>
  </si>
  <si>
    <t>105951</t>
  </si>
  <si>
    <t>5951</t>
  </si>
  <si>
    <t>AMOKSIKLAV 1G</t>
  </si>
  <si>
    <t>TBL OBD 14X1GM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</si>
  <si>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</si>
  <si>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</si>
  <si>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</si>
  <si>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</si>
  <si>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</si>
  <si>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</si>
  <si>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</si>
  <si>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</si>
  <si>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</si>
  <si>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</si>
  <si>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</si>
  <si>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</si>
  <si>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</si>
  <si>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</si>
  <si>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</si>
  <si>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</si>
  <si>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</si>
  <si>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</si>
  <si>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</si>
  <si>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50113014</t>
  </si>
  <si>
    <t>126902</t>
  </si>
  <si>
    <t>26902</t>
  </si>
  <si>
    <t>VFEND 200 MG</t>
  </si>
  <si>
    <t>INF PLV SOL 1X200MG</t>
  </si>
  <si>
    <t>126889</t>
  </si>
  <si>
    <t>26889</t>
  </si>
  <si>
    <t>POR TBL OBD14X200MG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</si>
  <si>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</si>
  <si>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</si>
  <si>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</si>
  <si>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</si>
  <si>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</si>
  <si>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</si>
  <si>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</si>
  <si>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</si>
  <si>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</si>
  <si>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</si>
  <si>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</si>
  <si>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</si>
  <si>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</si>
  <si>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</si>
  <si>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</si>
  <si>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</si>
  <si>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</si>
  <si>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</si>
  <si>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</si>
  <si>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164407</t>
  </si>
  <si>
    <t>INF SOL 10X200ML/400MG</t>
  </si>
  <si>
    <t>64942</t>
  </si>
  <si>
    <t>DIFLUCAN 100 MG</t>
  </si>
  <si>
    <t>POR CPS DUR 28X100MG</t>
  </si>
  <si>
    <t>196852</t>
  </si>
  <si>
    <t>VORIKONAZOL SANDOZ 200 MG PRÁŠEK PRO INFUZNÍ ROZTO</t>
  </si>
  <si>
    <t>50113008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</si>
  <si>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</si>
  <si>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</si>
  <si>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</si>
  <si>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</si>
  <si>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</si>
  <si>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</si>
  <si>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26042</t>
  </si>
  <si>
    <t>KIOVIG 10 g CZ Baxter</t>
  </si>
  <si>
    <t>0062464</t>
  </si>
  <si>
    <t>Haemocomplettan P 1000mg</t>
  </si>
  <si>
    <t>0138455</t>
  </si>
  <si>
    <t>ALBUNORM 20%</t>
  </si>
  <si>
    <t>200G/L INF SOL 1X100ML</t>
  </si>
  <si>
    <t>6480</t>
  </si>
  <si>
    <t>Ocplex 20ml 500 I.U. Phoenix</t>
  </si>
  <si>
    <t>0129056</t>
  </si>
  <si>
    <t>ATENATIV 500 I.U. Phoenix</t>
  </si>
  <si>
    <t>0062465</t>
  </si>
  <si>
    <t>2000MG INJ+INF PLV SOL 1X2000MG</t>
  </si>
  <si>
    <t>50113011</t>
  </si>
  <si>
    <t>87240</t>
  </si>
  <si>
    <t>Fanhdi 100 I.U/ml(1000 I.U.)GRIFOLS</t>
  </si>
  <si>
    <t>87239</t>
  </si>
  <si>
    <t>Fanhdi 50 I.U./ml(500 I.U) GRIFOLS</t>
  </si>
  <si>
    <t>50113002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</si>
  <si>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</si>
  <si>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</si>
  <si>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</si>
  <si>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</si>
  <si>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</si>
  <si>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</si>
  <si>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</si>
  <si>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</si>
  <si>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</si>
  <si>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</si>
  <si>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</si>
  <si>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</si>
  <si>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</si>
  <si>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</si>
  <si>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</si>
  <si>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</si>
  <si>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</si>
  <si>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</si>
  <si>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</si>
  <si>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</si>
  <si>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</si>
  <si>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</si>
  <si>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</si>
  <si>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</si>
  <si>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</si>
  <si>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</si>
  <si>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</si>
  <si>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</si>
  <si>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</si>
  <si>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</si>
  <si>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</si>
  <si>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</si>
  <si>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</si>
  <si>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</si>
  <si>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</si>
  <si>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</si>
  <si>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394774</t>
  </si>
  <si>
    <t>157118</t>
  </si>
  <si>
    <t>OLIMEL N9</t>
  </si>
  <si>
    <t>116338</t>
  </si>
  <si>
    <t>16338</t>
  </si>
  <si>
    <t>INFEML10X500ML-SKLO</t>
  </si>
  <si>
    <t>396920</t>
  </si>
  <si>
    <t>100152</t>
  </si>
  <si>
    <t>AMINOPLASMAL 15%</t>
  </si>
  <si>
    <t>INF 10X500ML</t>
  </si>
  <si>
    <t>396914</t>
  </si>
  <si>
    <t>52301</t>
  </si>
  <si>
    <t>AMINOPLASMAL HEPA-10%</t>
  </si>
  <si>
    <t>397303</t>
  </si>
  <si>
    <t>152193</t>
  </si>
  <si>
    <t>NUTRIFLEX OMEGA SPECIAL</t>
  </si>
  <si>
    <t>INF EML 5X625ML</t>
  </si>
  <si>
    <t>397371</t>
  </si>
  <si>
    <t>157110</t>
  </si>
  <si>
    <t>OLIMEL N9E</t>
  </si>
  <si>
    <t>INF EML6x1000 ML</t>
  </si>
  <si>
    <t>95639</t>
  </si>
  <si>
    <t>NUTRIFLEX LIPID PERI</t>
  </si>
  <si>
    <t>INF EML 5X1250ML</t>
  </si>
  <si>
    <t>Oddělení int. péče chirurg. oborů</t>
  </si>
  <si>
    <t>IPCHO: JIP 51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</si>
  <si>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</si>
  <si>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</si>
  <si>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</si>
  <si>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</si>
  <si>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</si>
  <si>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</si>
  <si>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</si>
  <si>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parenter. výživa</t>
  </si>
  <si>
    <t>5931 - IPCHO: JIP 51</t>
  </si>
  <si>
    <t>J02AC03 - Vorikonazol</t>
  </si>
  <si>
    <t>N01AH03 - Sufentanyl</t>
  </si>
  <si>
    <t>N05CD08 - Midazolam</t>
  </si>
  <si>
    <t>V06XX - Potraviny pro zvláštní lékařské účely (PZLÚ)</t>
  </si>
  <si>
    <t>J01GB03 - Gentamicin</t>
  </si>
  <si>
    <t>J01DD01 - Cefotaxim</t>
  </si>
  <si>
    <t>J01CR01 - Ampicilin a enzymový inhibitor</t>
  </si>
  <si>
    <t>A06AD11 - Laktulóza</t>
  </si>
  <si>
    <t>J01DB04 - Cefazolin</t>
  </si>
  <si>
    <t>J01GB06 - Amikacin</t>
  </si>
  <si>
    <t>R01AA07 - Xylometazolin</t>
  </si>
  <si>
    <t>C01EB15 - Trimetazidin</t>
  </si>
  <si>
    <t>B01AC04 - Klopidogrel</t>
  </si>
  <si>
    <t>N06AB10 - Escitalopram</t>
  </si>
  <si>
    <t>N06AX11 - Mirtazapin</t>
  </si>
  <si>
    <t>R06AE09 - Levocetirizin</t>
  </si>
  <si>
    <t>M01AX17 - Nimesulid</t>
  </si>
  <si>
    <t>N05BA12 - Alprazolam</t>
  </si>
  <si>
    <t>C09AA04 - Perindopril</t>
  </si>
  <si>
    <t>C09AA05 - Ramipril</t>
  </si>
  <si>
    <t>J01MA03 - Pefloxacin</t>
  </si>
  <si>
    <t>N06AB04 - Citalopram</t>
  </si>
  <si>
    <t>C09CA01 - Losartan</t>
  </si>
  <si>
    <t>J02AC01 - Flukonazol</t>
  </si>
  <si>
    <t>C09DA01 - Losartan a diuretika</t>
  </si>
  <si>
    <t>N03AX12 - Gabapentin</t>
  </si>
  <si>
    <t>C10AA05 - Atorvastatin</t>
  </si>
  <si>
    <t>C07AG02 - Karvedilol</t>
  </si>
  <si>
    <t>C10AA07 - Rosuvastatin</t>
  </si>
  <si>
    <t>J01XB01 - Kolistin</t>
  </si>
  <si>
    <t>G04CA02 - Tamsulosin</t>
  </si>
  <si>
    <t>L03AA02 - Filgrastim</t>
  </si>
  <si>
    <t>H01CB02 - Oktreotid</t>
  </si>
  <si>
    <t>N03AG01 - Kyselina valproová</t>
  </si>
  <si>
    <t>H02AB04 - Methylprednisolon</t>
  </si>
  <si>
    <t>C09BA04 - Perindopril a diuretika</t>
  </si>
  <si>
    <t>H03AA01 - Levothyroxin, sodná sůl</t>
  </si>
  <si>
    <t>C07AB05 - Betaxolol</t>
  </si>
  <si>
    <t>J01AA12 - Tigecyklin</t>
  </si>
  <si>
    <t>C02CA04 - Doxazosin</t>
  </si>
  <si>
    <t>J01CA01 - Ampicilin</t>
  </si>
  <si>
    <t>J01XA01 - Vankomycin</t>
  </si>
  <si>
    <t>A04AA01 - Ondansetron</t>
  </si>
  <si>
    <t>J01XD01 - Metronidazol</t>
  </si>
  <si>
    <t>J01CR02 - Amoxicilin a enzymový inhibitor</t>
  </si>
  <si>
    <t>A10BA02 - Metformin</t>
  </si>
  <si>
    <t>J01CR05 - Piperacilin a enzymový inhibitor</t>
  </si>
  <si>
    <t>M01AC06 - Meloxikam</t>
  </si>
  <si>
    <t>R03AK07 - Formoterol a budesonid</t>
  </si>
  <si>
    <t>A10BB12 - Glimepirid</t>
  </si>
  <si>
    <t>A03FA07 - Itopridum</t>
  </si>
  <si>
    <t>N03AX09 - Lamotrigin</t>
  </si>
  <si>
    <t>A02BC02 - Pantoprazol</t>
  </si>
  <si>
    <t>N04BC04 - Ropinirol</t>
  </si>
  <si>
    <t>R06AE07 - Cetirizin</t>
  </si>
  <si>
    <t>B01AB06 - Nadroparin</t>
  </si>
  <si>
    <t>C02AC05 - Moxonidin</t>
  </si>
  <si>
    <t>N06AB06 - Sertralin</t>
  </si>
  <si>
    <t>C01BD01 - Amiodaron</t>
  </si>
  <si>
    <t>C07AB07 - Bisoprolol</t>
  </si>
  <si>
    <t>R03AC02 - Salbutamol</t>
  </si>
  <si>
    <t>C09BB04 - Perindopril a amlodipin</t>
  </si>
  <si>
    <t>A10AB05 - Inzulin aspart</t>
  </si>
  <si>
    <t>J01FF01 - Klindamycin</t>
  </si>
  <si>
    <t>J01DD02 - Ceftazidim</t>
  </si>
  <si>
    <t>R03BB06 - Glykopyrronium-bromid</t>
  </si>
  <si>
    <t>J01DH02 - Meropenem</t>
  </si>
  <si>
    <t>J01FA09 - Klarithromycin</t>
  </si>
  <si>
    <t>A02BA02 - Ranitidin</t>
  </si>
  <si>
    <t>J01DC02 - Cefuroxim</t>
  </si>
  <si>
    <t>A02BA02</t>
  </si>
  <si>
    <t>150MG TBL FLM 30</t>
  </si>
  <si>
    <t>A02BC02</t>
  </si>
  <si>
    <t>40MG INJ PLV SOL 1</t>
  </si>
  <si>
    <t>CONTROLOC</t>
  </si>
  <si>
    <t>40MG TBL ENT 100 I</t>
  </si>
  <si>
    <t>A03FA07</t>
  </si>
  <si>
    <t>KINITO</t>
  </si>
  <si>
    <t>50MG TBL FLM 100</t>
  </si>
  <si>
    <t>A04AA01</t>
  </si>
  <si>
    <t>ONDANSETRON B. BRAUN</t>
  </si>
  <si>
    <t>2MG/ML INJ SOL 20X4ML II</t>
  </si>
  <si>
    <t>A06AD11</t>
  </si>
  <si>
    <t>LACTULOSE AL</t>
  </si>
  <si>
    <t>0,667G/ML SIR 1X200ML</t>
  </si>
  <si>
    <t>0,667G/ML SIR 1X500ML</t>
  </si>
  <si>
    <t>A10AB05</t>
  </si>
  <si>
    <t>NOVORAPID</t>
  </si>
  <si>
    <t>100U/ML INJ SOL 1X10ML</t>
  </si>
  <si>
    <t>NOVORAPID PENFILL</t>
  </si>
  <si>
    <t>100U/ML INJ SOL 5X3ML</t>
  </si>
  <si>
    <t>A10BA02</t>
  </si>
  <si>
    <t>500MG TBL FLM 120 I</t>
  </si>
  <si>
    <t>500MG TBL FLM 60 I</t>
  </si>
  <si>
    <t>A10BB12</t>
  </si>
  <si>
    <t>AMARYL</t>
  </si>
  <si>
    <t>2MG TBL NOB 30</t>
  </si>
  <si>
    <t>B01AB06</t>
  </si>
  <si>
    <t>9500IU/ML INJ SOL 10X5ML</t>
  </si>
  <si>
    <t>19000IU/ML INJ SOL ISP 10X0,6ML</t>
  </si>
  <si>
    <t>9500IU/ML INJ SOL ISP 10X0,3ML</t>
  </si>
  <si>
    <t>9500IU/ML INJ SOL ISP 10X0,6ML</t>
  </si>
  <si>
    <t>9500IU/ML INJ SOL ISP 10X0,4ML</t>
  </si>
  <si>
    <t>B01AC04</t>
  </si>
  <si>
    <t>ZYLLT</t>
  </si>
  <si>
    <t>75MG TBL FLM 28</t>
  </si>
  <si>
    <t>TROMBEX</t>
  </si>
  <si>
    <t>75MG TBL FLM 30</t>
  </si>
  <si>
    <t>C01BD01</t>
  </si>
  <si>
    <t>50MG/ML INJ SOL 6X3ML</t>
  </si>
  <si>
    <t>200MG TBL NOB 30</t>
  </si>
  <si>
    <t>200MG TBL NOB 60</t>
  </si>
  <si>
    <t>C01EB15</t>
  </si>
  <si>
    <t>35MG TBL RET 60</t>
  </si>
  <si>
    <t>C02AC05</t>
  </si>
  <si>
    <t>MOXOSTAD</t>
  </si>
  <si>
    <t>0,3MG TBL FLM 30</t>
  </si>
  <si>
    <t>C02CA04</t>
  </si>
  <si>
    <t>4MG TBL NOB 30</t>
  </si>
  <si>
    <t>C07AB05</t>
  </si>
  <si>
    <t>LOKREN</t>
  </si>
  <si>
    <t>20MG TBL FLM 28</t>
  </si>
  <si>
    <t>C07AB07</t>
  </si>
  <si>
    <t>5MG TBL FLM 30</t>
  </si>
  <si>
    <t>10MG TBL FLM 30</t>
  </si>
  <si>
    <t>C07AG02</t>
  </si>
  <si>
    <t>25MG TBL NOB 30</t>
  </si>
  <si>
    <t>C09AA04</t>
  </si>
  <si>
    <t>5MG TBL FLM 90</t>
  </si>
  <si>
    <t>10MG TBL FLM 90</t>
  </si>
  <si>
    <t>PRENESSA</t>
  </si>
  <si>
    <t>C09AA05</t>
  </si>
  <si>
    <t>TRITACE</t>
  </si>
  <si>
    <t>1,25MG TBL NOB 20</t>
  </si>
  <si>
    <t>5MG TBL NOB 30</t>
  </si>
  <si>
    <t>C09BA04</t>
  </si>
  <si>
    <t>PRESTARIUM NEO COMBI</t>
  </si>
  <si>
    <t>10MG/2,5MG TBL FLM 30</t>
  </si>
  <si>
    <t>C09BB04</t>
  </si>
  <si>
    <t>PRESTANCE</t>
  </si>
  <si>
    <t>10MG/5MG TBL NOB 30</t>
  </si>
  <si>
    <t>C09CA01</t>
  </si>
  <si>
    <t>LOZAP 12,5 ZENTIVA</t>
  </si>
  <si>
    <t>12,5MG TBL FLM 30 PVC</t>
  </si>
  <si>
    <t>C09DA01</t>
  </si>
  <si>
    <t>50MG/12,5MG TBL FLM 30</t>
  </si>
  <si>
    <t>C10AA05</t>
  </si>
  <si>
    <t>TORVACARD NEO</t>
  </si>
  <si>
    <t>40MG TBL FLM 30</t>
  </si>
  <si>
    <t>SORTIS</t>
  </si>
  <si>
    <t>C10AA07</t>
  </si>
  <si>
    <t>ROSUCARD</t>
  </si>
  <si>
    <t>G04CA02</t>
  </si>
  <si>
    <t>0,4MG CPS RDR 30</t>
  </si>
  <si>
    <t>H01CB02</t>
  </si>
  <si>
    <t>SANDOSTATIN</t>
  </si>
  <si>
    <t>0,1MG/ML INJ+INF SOL 5X1ML</t>
  </si>
  <si>
    <t>H02AB04</t>
  </si>
  <si>
    <t>MEDROL</t>
  </si>
  <si>
    <t>4MG TBL NOB 30 I</t>
  </si>
  <si>
    <t>40MG/ML INJ PSO LQF 40MG+1ML</t>
  </si>
  <si>
    <t>H03AA01</t>
  </si>
  <si>
    <t>EUTHYROX</t>
  </si>
  <si>
    <t>137MCG TBL NOB 100 II</t>
  </si>
  <si>
    <t>125MCG TBL NOB 100 II</t>
  </si>
  <si>
    <t>75MCG TBL NOB 100 II</t>
  </si>
  <si>
    <t>50MCG TBL NOB 100 II</t>
  </si>
  <si>
    <t>100MCG TBL NOB 100 II</t>
  </si>
  <si>
    <t>75MCG TBL NOB 100</t>
  </si>
  <si>
    <t>J01AA12</t>
  </si>
  <si>
    <t>TYGACIL</t>
  </si>
  <si>
    <t>50MG INF PLV SOL 10</t>
  </si>
  <si>
    <t>J01CA01</t>
  </si>
  <si>
    <t>0,5G INJ PLV SOL 10</t>
  </si>
  <si>
    <t>J01CR01</t>
  </si>
  <si>
    <t>AMPICILLIN AND SULBACTAM IBI 1 G + 500 MG PRÁŠEK PRO INJEKČNÍ ROZTOK</t>
  </si>
  <si>
    <t>1G/0,5G INJ PLV SOL 10 LAH (20 ML)</t>
  </si>
  <si>
    <t>1G/0,5G INJ PLV SOL 1</t>
  </si>
  <si>
    <t>J01CR02</t>
  </si>
  <si>
    <t>AMOKSIKLAV 1 G</t>
  </si>
  <si>
    <t>875MG/125MG TBL FLM 14</t>
  </si>
  <si>
    <t>AMOKSIKLAV 1,2 G</t>
  </si>
  <si>
    <t>1000MG/200MG INJ+INF PLV SOL 5</t>
  </si>
  <si>
    <t>J01CR05</t>
  </si>
  <si>
    <t>PIPERACILLIN/TAZOBACTAM KABI</t>
  </si>
  <si>
    <t>4G/0,5G INF PLV SOL 10</t>
  </si>
  <si>
    <t>J01DB04</t>
  </si>
  <si>
    <t>AZEPO</t>
  </si>
  <si>
    <t>1G INJ+INF PLV SOL 10</t>
  </si>
  <si>
    <t>1G INJ PLV SOL 10</t>
  </si>
  <si>
    <t>J01DC02</t>
  </si>
  <si>
    <t>CEFUROXIM KABI</t>
  </si>
  <si>
    <t>1500MG INJ+INF PLV SOL 10</t>
  </si>
  <si>
    <t>J01DD01</t>
  </si>
  <si>
    <t>CEFOTAXIME LEK</t>
  </si>
  <si>
    <t>1G INJ PLV SOL 1</t>
  </si>
  <si>
    <t>J01DD02</t>
  </si>
  <si>
    <t>CEFTAZIDIM KABI</t>
  </si>
  <si>
    <t>2G INJ+INF PLV SOL 10</t>
  </si>
  <si>
    <t>J01DH02</t>
  </si>
  <si>
    <t>ARCHIFAR</t>
  </si>
  <si>
    <t>J01FA09</t>
  </si>
  <si>
    <t>500MG INF PLV SOL 1</t>
  </si>
  <si>
    <t>J01FF01</t>
  </si>
  <si>
    <t>CLINDAMYCIN KABI</t>
  </si>
  <si>
    <t>150MG/ML INJ SOL 10X2ML</t>
  </si>
  <si>
    <t>150MG/ML INJ SOL 10X4ML</t>
  </si>
  <si>
    <t>J01GB03</t>
  </si>
  <si>
    <t>GENTAMICIN B.BRAUN</t>
  </si>
  <si>
    <t>3MG/ML INF SOL 20X80ML</t>
  </si>
  <si>
    <t>40MG/ML INJ+INF SOL 10X2ML</t>
  </si>
  <si>
    <t>J01GB06</t>
  </si>
  <si>
    <t>250MG/ML INJ+INF SOL 10X2ML</t>
  </si>
  <si>
    <t>AMIKIN 500 MG</t>
  </si>
  <si>
    <t>250MG/ML INJ SOL 1X2ML</t>
  </si>
  <si>
    <t>J01MA03</t>
  </si>
  <si>
    <t>ABAKTAL 400 MG/5 ML</t>
  </si>
  <si>
    <t>80MG/ML INF SOL 10X5ML</t>
  </si>
  <si>
    <t>J01XA01</t>
  </si>
  <si>
    <t>VANCOMYCIN MYLAN</t>
  </si>
  <si>
    <t>1000MG INF PLV SOL 1</t>
  </si>
  <si>
    <t>J01XB01</t>
  </si>
  <si>
    <t>COLOMYCIN INJEKCE 1 000 000 MEZINÁRODNÍCH JEDNOTEK</t>
  </si>
  <si>
    <t>1000000IU INJ PLV SOL+SOL NEB 10X1MIU</t>
  </si>
  <si>
    <t>J01XD01</t>
  </si>
  <si>
    <t>METRONIDAZOLE 0,5%-POLPHARMA</t>
  </si>
  <si>
    <t>5MG/ML INF SOL 1X100ML</t>
  </si>
  <si>
    <t>J02AC01</t>
  </si>
  <si>
    <t>FLUCONAZOL KABI</t>
  </si>
  <si>
    <t>2MG/ML INF SOL 10X100ML</t>
  </si>
  <si>
    <t>2MG/ML INF SOL 10X200ML</t>
  </si>
  <si>
    <t>DIFLUCAN</t>
  </si>
  <si>
    <t>100MG CPS DUR 28 I</t>
  </si>
  <si>
    <t>J02AC03</t>
  </si>
  <si>
    <t>VORIKONAZOL SANDOZ</t>
  </si>
  <si>
    <t>200MG INF PLV SOL 1</t>
  </si>
  <si>
    <t>VFEND</t>
  </si>
  <si>
    <t>200MG TBL FLM 14</t>
  </si>
  <si>
    <t>L03AA02</t>
  </si>
  <si>
    <t>ZARZIO</t>
  </si>
  <si>
    <t>48MU/0,5ML INJ+INF SOL ISP 5X0,5ML I</t>
  </si>
  <si>
    <t>M01AC06</t>
  </si>
  <si>
    <t>15MG TBL NOB 30</t>
  </si>
  <si>
    <t>M01AX17</t>
  </si>
  <si>
    <t>100MG TBL NOB 30</t>
  </si>
  <si>
    <t>N01AH03</t>
  </si>
  <si>
    <t>SUFENTANIL TORREX</t>
  </si>
  <si>
    <t>50MCG/ML INJ SOL 5X5ML</t>
  </si>
  <si>
    <t>SUFENTA FORTE</t>
  </si>
  <si>
    <t>50MCG/ML INJ SOL 5X1ML</t>
  </si>
  <si>
    <t>N03AG01</t>
  </si>
  <si>
    <t>100MG/ML INJ PSO LQF 4+4X4ML</t>
  </si>
  <si>
    <t>DEPAKINE CHRONO 300 MG SÉCABLE</t>
  </si>
  <si>
    <t>300MG TBL RET 100</t>
  </si>
  <si>
    <t>N03AX09</t>
  </si>
  <si>
    <t>LAMICTAL</t>
  </si>
  <si>
    <t>100MG TBL NOB 42</t>
  </si>
  <si>
    <t>25MG TBL NOB 42</t>
  </si>
  <si>
    <t>N03AX12</t>
  </si>
  <si>
    <t>NEURONTIN</t>
  </si>
  <si>
    <t>100MG CPS DUR 20</t>
  </si>
  <si>
    <t>100MG CPS DUR 100</t>
  </si>
  <si>
    <t>300MG CPS DUR 50</t>
  </si>
  <si>
    <t>N04BC04</t>
  </si>
  <si>
    <t>REQUIP-MODUTAB</t>
  </si>
  <si>
    <t>4MG TBL PRO 28 II</t>
  </si>
  <si>
    <t>N05BA12</t>
  </si>
  <si>
    <t>0,5MG TBL PRO 30</t>
  </si>
  <si>
    <t>0,25MG TBL NOB 30</t>
  </si>
  <si>
    <t>0,5MG TBL NOB 30</t>
  </si>
  <si>
    <t>NEUROL 0,25</t>
  </si>
  <si>
    <t>N05CD08</t>
  </si>
  <si>
    <t>MIDAZOLAM ACCORD</t>
  </si>
  <si>
    <t>1MG/ML INJ+INF SOL 10X5ML</t>
  </si>
  <si>
    <t>7,5MG TBL FLM 10</t>
  </si>
  <si>
    <t>5MG/ML INJ+INF SOL 10X10ML</t>
  </si>
  <si>
    <t>MIDAZOLAM B. BRAUN</t>
  </si>
  <si>
    <t>1MG/ML INJ+INF+RCT SOL 10X50ML</t>
  </si>
  <si>
    <t>5MG/ML INJ SOL 10X1ML</t>
  </si>
  <si>
    <t>MIDAZOLAM TORREX</t>
  </si>
  <si>
    <t>5MG/ML INJ SOL 10X10ML</t>
  </si>
  <si>
    <t>N06AB04</t>
  </si>
  <si>
    <t>20MG TBL FLM 60</t>
  </si>
  <si>
    <t>20MG TBL FLM 30</t>
  </si>
  <si>
    <t>N06AB06</t>
  </si>
  <si>
    <t>SERTRALIN APOTEX</t>
  </si>
  <si>
    <t>ZOLOFT</t>
  </si>
  <si>
    <t>100MG TBL FLM 28</t>
  </si>
  <si>
    <t>N06AB10</t>
  </si>
  <si>
    <t>ELICEA</t>
  </si>
  <si>
    <t>10MG TBL FLM 28</t>
  </si>
  <si>
    <t>5MG TBL FLM 28</t>
  </si>
  <si>
    <t>ESOPREX</t>
  </si>
  <si>
    <t>N06AX11</t>
  </si>
  <si>
    <t>MIRZATEN ORO TAB</t>
  </si>
  <si>
    <t>30MG POR TBL DIS 30</t>
  </si>
  <si>
    <t>R01AA07</t>
  </si>
  <si>
    <t>OLYNTH 0,05%</t>
  </si>
  <si>
    <t>0,5MG/ML NAS SPR SOL 1X10ML</t>
  </si>
  <si>
    <t>R03AC02</t>
  </si>
  <si>
    <t>100MCG/DÁV INH SUS PSS 200DÁV</t>
  </si>
  <si>
    <t>VENTOLIN</t>
  </si>
  <si>
    <t>5MG/ML INH SOL 1X20ML</t>
  </si>
  <si>
    <t>R03AK07</t>
  </si>
  <si>
    <t>SYMBICORT TURBUHALER 400 MIKROGRAMŮ/12 MIKROGRAMŮ/INHALACE</t>
  </si>
  <si>
    <t>320MCG/9MCG INH PLV 1X60DÁV</t>
  </si>
  <si>
    <t>R03BB06</t>
  </si>
  <si>
    <t>SEEBRI BREEZHALER</t>
  </si>
  <si>
    <t>44MCG INH PLV CPS DUR 30X1+1INH</t>
  </si>
  <si>
    <t>R06AE07</t>
  </si>
  <si>
    <t>R06AE09</t>
  </si>
  <si>
    <t>CEZERA</t>
  </si>
  <si>
    <t>5MG TBL FLM 90 I</t>
  </si>
  <si>
    <t>5MG TBL FLM 14</t>
  </si>
  <si>
    <t>V06XX</t>
  </si>
  <si>
    <t>POR SOL 1X225G</t>
  </si>
  <si>
    <t>CUBITAN S PŘÍCHUTÍ VANILKOVOU</t>
  </si>
  <si>
    <t>CUBITAN S PŘÍCHUTÍ JAHODOVOU</t>
  </si>
  <si>
    <t>CALOGEN NEUTRAL</t>
  </si>
  <si>
    <t>POR EML 1X200ML</t>
  </si>
  <si>
    <t>NUTRILAC NATURAL PLUS</t>
  </si>
  <si>
    <t>NUTRILAC COFFEE S</t>
  </si>
  <si>
    <t>NUTRILAC VANILKA S</t>
  </si>
  <si>
    <t>NUTRILAC BANÁN S</t>
  </si>
  <si>
    <t>POR SOL 4X125G</t>
  </si>
  <si>
    <t>NUTRIDRINK CREME S PŘÍCHUTÍ LESNÍHO OVOCE</t>
  </si>
  <si>
    <t>Přehled plnění pozitivního listu - spotřeba léčivých přípravků - orientační přehled</t>
  </si>
  <si>
    <t>59 - Oddělení intenzivní péče chirurgických oborů</t>
  </si>
  <si>
    <t>5931 - JIP 51</t>
  </si>
  <si>
    <t>ZA006</t>
  </si>
  <si>
    <t>Obvaz elastický síťový pruban č. 8 427308</t>
  </si>
  <si>
    <t>ZA007</t>
  </si>
  <si>
    <t>Obvaz elastický síťový pruban č. 9 427309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</si>
  <si>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</si>
  <si>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</si>
  <si>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</si>
  <si>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</si>
  <si>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</si>
  <si>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</si>
  <si>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</si>
  <si>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</si>
  <si>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</si>
  <si>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</si>
  <si>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</si>
  <si>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</si>
  <si>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</si>
  <si>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</si>
  <si>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ZA339</t>
  </si>
  <si>
    <t>Obinadlo hydrofilní   8 cm x   5 m 13006</t>
  </si>
  <si>
    <t>ZA340</t>
  </si>
  <si>
    <t>Obinadlo hydrofilní 12 cm x   5 m 13008</t>
  </si>
  <si>
    <t>ZA418</t>
  </si>
  <si>
    <t>Náplast metaline pod TS 8 x 9 cm 23094</t>
  </si>
  <si>
    <t>ZA419</t>
  </si>
  <si>
    <t>Náplast octacare cotton tape- betaplast 10 cm x 5 m (510W) 10510</t>
  </si>
  <si>
    <t>ZA425</t>
  </si>
  <si>
    <t>Obinadlo hydrofilní 10 cm x   5 m 13007</t>
  </si>
  <si>
    <t>ZA436</t>
  </si>
  <si>
    <t>Obvaz elastický síťový pruban č. 12 427312</t>
  </si>
  <si>
    <t>ZA444</t>
  </si>
  <si>
    <t>Tampon nesterilní stáčený 20 x 19 cm bez RTG nití bal. á 100 ks 1320300404</t>
  </si>
  <si>
    <t>ZA446</t>
  </si>
  <si>
    <t>Vata buničitá přířezy 20 x 30 cm 1230200129</t>
  </si>
  <si>
    <t>ZA451</t>
  </si>
  <si>
    <t>Náplast omniplast 5,0 cm x 9,2 m 9004540 (900429)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</si>
  <si>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</si>
  <si>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</si>
  <si>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</si>
  <si>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</si>
  <si>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</si>
  <si>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</si>
  <si>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ZA466</t>
  </si>
  <si>
    <t>Tyčinka vatová sterilní 14 cm bal. á 200 ks 9679501</t>
  </si>
  <si>
    <t>ZA467</t>
  </si>
  <si>
    <t>Tyčinka vatová nesterilní 15 cm bal. á 100 ks 9679369</t>
  </si>
  <si>
    <t>ZA478</t>
  </si>
  <si>
    <t>Krytí actisorb plus 10,5 x 10,5 cm bal. á 10 ks s aktivním uhlím SYSMAP105EE</t>
  </si>
  <si>
    <t>ZA530</t>
  </si>
  <si>
    <t>Vložky hygienické samu 7162212</t>
  </si>
  <si>
    <t>ZA537</t>
  </si>
  <si>
    <t>Krytí mepilex heel 13 x 20 cm bal. á 5 ks 288100-01</t>
  </si>
  <si>
    <t>ZA539</t>
  </si>
  <si>
    <t>Kompresa NT 10 x 10 cm nesterilní 06103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</si>
  <si>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</si>
  <si>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</si>
  <si>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</si>
  <si>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</si>
  <si>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</si>
  <si>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</si>
  <si>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</si>
  <si>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hydrogelové nu-gel 25 g bal. á 6 ks MNG425</t>
  </si>
  <si>
    <t>ZA558</t>
  </si>
  <si>
    <t>Tampon-gazin sterilní bal. á 125 ks 14962</t>
  </si>
  <si>
    <t>ZA561</t>
  </si>
  <si>
    <t>Kompresa AB 20 x 40 cm/1 ks sterilní NT savá 1230114051</t>
  </si>
  <si>
    <t>ZA562</t>
  </si>
  <si>
    <t>Náplast cosmopor i. v. 6 x 8 cm bal. á 50 ks 9008054</t>
  </si>
  <si>
    <t>ZA563</t>
  </si>
  <si>
    <t>Kompresa AB 20 x 20 cm/1 ks sterilní NT savá 1230114041</t>
  </si>
  <si>
    <t>ZA617</t>
  </si>
  <si>
    <t>Tampon TC-OC k ošetření dutiny ústní á 250 ks 12240</t>
  </si>
  <si>
    <t>ZA643</t>
  </si>
  <si>
    <t>Kompresa vliwasoft 10 x 20 nesterilní á 100 ks 12070</t>
  </si>
  <si>
    <t>ZA664</t>
  </si>
  <si>
    <t>Krytí gelové hydrokoloidní Flamigel 250 ml FLAM250</t>
  </si>
  <si>
    <t>Krytí gelové hydrokoloidní Flamigel 250 ml 1002-C</t>
  </si>
  <si>
    <t>ZB084</t>
  </si>
  <si>
    <t>Náplast transpore 2,50 cm x 9,14 m 1527-1</t>
  </si>
  <si>
    <t>ZC100</t>
  </si>
  <si>
    <t>Vata buničitá dělená 2 role / 500 ks 40 x 50 mm 1230200310</t>
  </si>
  <si>
    <t>ZC506</t>
  </si>
  <si>
    <t>Kompresa NT 10 x 10 cm/5 ks sterilní 1325020275</t>
  </si>
  <si>
    <t>ZC550</t>
  </si>
  <si>
    <t>Krytí mepilex silikonový Ag 10 x 10 cm bal. á 5 ks 287110-00</t>
  </si>
  <si>
    <t>ZC702</t>
  </si>
  <si>
    <t>Náplast tegaderm 6,0 cm x 7,0 cm bal. á 100 ks 1624W</t>
  </si>
  <si>
    <t>ZC845</t>
  </si>
  <si>
    <t>Kompresa NT 10 x 20 cm/5 ks sterilní 26621</t>
  </si>
  <si>
    <t>ZC846</t>
  </si>
  <si>
    <t>Kompresa AB 15 x 25 cm/1 ks sterilní NT savá 1230114031</t>
  </si>
  <si>
    <t>ZC885</t>
  </si>
  <si>
    <t>Náplast omnifix E 10 cm x 10 m 900650</t>
  </si>
  <si>
    <t>ZD631</t>
  </si>
  <si>
    <t>Krytí pharmafoam-trach. s výřezem 8 x 8 cm bal. á 10 ks P-Tracheo 808</t>
  </si>
  <si>
    <t>ZD668</t>
  </si>
  <si>
    <t>Kompresa gáza 10 x 10 cm/5 ks sterilní 1325019275</t>
  </si>
  <si>
    <t>ZE748</t>
  </si>
  <si>
    <t>Krytí melgisorb Ag alginátové absorpční 10 x 10 cm bal. á 10 ks 256100-00</t>
  </si>
  <si>
    <t>ZH012</t>
  </si>
  <si>
    <t>Náplast micropore 2,50 cm x 9,10 m 840W-1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</si>
  <si>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</si>
  <si>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</si>
  <si>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</si>
  <si>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</si>
  <si>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</si>
  <si>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</si>
  <si>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</si>
  <si>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</si>
  <si>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</si>
  <si>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</si>
  <si>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</si>
  <si>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</si>
  <si>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ZK352</t>
  </si>
  <si>
    <t>Krytí - rotok Hyiodine na chronické rány bal. á 50 ml HYIODINE</t>
  </si>
  <si>
    <t>ZK404</t>
  </si>
  <si>
    <t>Krytí prontosan roztok 350 ml 400416</t>
  </si>
  <si>
    <t>ZK405</t>
  </si>
  <si>
    <t>Krytí gelitaspon standard 80 x 50 mm x 10 mm bal. á 10 ks A2107861</t>
  </si>
  <si>
    <t>ZA437</t>
  </si>
  <si>
    <t>Obvaz elastický síťový pruban č. 14 427314</t>
  </si>
  <si>
    <t>ZA442</t>
  </si>
  <si>
    <t>Steh náplasťový Steri-strip 6 x 75 mm bal. á 50 ks R1541</t>
  </si>
  <si>
    <t>ZB086</t>
  </si>
  <si>
    <t>Krytí surgicel standard 10 x 20,0 cm bal. á 24 ks 1902GB</t>
  </si>
  <si>
    <t>ZL410</t>
  </si>
  <si>
    <t>Krytí gelové Hemagel 100 g A2681147</t>
  </si>
  <si>
    <t>ZL664</t>
  </si>
  <si>
    <t>Krytí mastný tyl pharmatull 10 x 20 cm bal. á 10 ks P-Tull1020</t>
  </si>
  <si>
    <t>ZK087</t>
  </si>
  <si>
    <t>Krém cavilon ochranný bariérový á 28 g bal. á 12 ks 3391E</t>
  </si>
  <si>
    <t>ZL973</t>
  </si>
  <si>
    <t>Pěna renasys-F střední set (M) 66800795</t>
  </si>
  <si>
    <t>ZL974</t>
  </si>
  <si>
    <t>Pěna renasys-F velký set (L) 66800796</t>
  </si>
  <si>
    <t>ZL999</t>
  </si>
  <si>
    <t>Rychloobvaz 8 x 4 cm / 3 ks 001445510</t>
  </si>
  <si>
    <t>ZF042</t>
  </si>
  <si>
    <t>Krytí mastný tyl jelonet 10 x 10 cm á 10 ks 7404</t>
  </si>
  <si>
    <t>ZA065</t>
  </si>
  <si>
    <t>Verba č. 5 - břišní pás 105 - 115 cm 932535</t>
  </si>
  <si>
    <t>ZD819</t>
  </si>
  <si>
    <t>Krytí debrisoft 10 x 10 cm bal. á 5 ks 31222</t>
  </si>
  <si>
    <t>ZF749</t>
  </si>
  <si>
    <t>Fixace nosních katetrů nasofix niko S střední bal. á 100 ks 49-625-S(625M-S)</t>
  </si>
  <si>
    <t>Fixace nosních katetrů nasofix niko střední S+M, bal. á 100 ks 49-625-S-M</t>
  </si>
  <si>
    <t>ZE894</t>
  </si>
  <si>
    <t>Krytí mepilex transfer Ag 7,5 x 8,5 cm bal. á 10 ks 394000</t>
  </si>
  <si>
    <t>ZA545</t>
  </si>
  <si>
    <t>Krytí hydrogelové nu-gel s algin. 15 g bal. á 10 ks SYSMNG415EE AKCE 1 + 1</t>
  </si>
  <si>
    <t>ZA066</t>
  </si>
  <si>
    <t>Verba č. 4 - břišní pás 95 - 105 cm 932534</t>
  </si>
  <si>
    <t>ZM769</t>
  </si>
  <si>
    <t>Ubrousky cavilon pro péči při inkontinenci 8 ubrousků 20 x 30 cm bal. á 96 ks 9274 DH888843488</t>
  </si>
  <si>
    <t>ZA067</t>
  </si>
  <si>
    <t>Verba č. 3 - břišní pás 85 - 95 cm 932533</t>
  </si>
  <si>
    <t>ZD632</t>
  </si>
  <si>
    <t>Krytí pharmapore silver-polšt. se stříbrem 8 x 10 cm bal. á 100 ks P8010S</t>
  </si>
  <si>
    <t>ZN467</t>
  </si>
  <si>
    <t>Náplast elastpore+pad i. v. 6 x 8 cm steril. 1320113503</t>
  </si>
  <si>
    <t>ZN477</t>
  </si>
  <si>
    <t>Obinadlo elastické universal 12 cm x 5 m 1323100314</t>
  </si>
  <si>
    <t>ZN476</t>
  </si>
  <si>
    <t>Obinadlo elastické universal 15 cm x 5 m 1323100315</t>
  </si>
  <si>
    <t>ZN478</t>
  </si>
  <si>
    <t>Obinadlo elastické universal 10 cm x 5 m 1323100313</t>
  </si>
  <si>
    <t>ZN475</t>
  </si>
  <si>
    <t>Obinadlo elastické universal   8 cm x 5 m 1323100312</t>
  </si>
  <si>
    <t>ZN815</t>
  </si>
  <si>
    <t>Krytí roztok k čištění a hojenní ran ActiMaris Forte 300 ml 3098077</t>
  </si>
  <si>
    <t>ZN816</t>
  </si>
  <si>
    <t>Krytí roztok k výplachu a čištění ran ActiMaris Sensitiv 300 ml 3098093</t>
  </si>
  <si>
    <t>ZN895</t>
  </si>
  <si>
    <t>Krytí reston nesterilní 10,0 cm x 5,0 cm x 5 m role 1563L</t>
  </si>
  <si>
    <t>ZA564</t>
  </si>
  <si>
    <t>Náplast curagard SP 7,5 cm x 6 cm á 100 ks 30117</t>
  </si>
  <si>
    <t>ZA543</t>
  </si>
  <si>
    <t>Krytí tielle pěnové   7 x  9 cm bal. á 10 ks SYS MTL100 EE</t>
  </si>
  <si>
    <t>ZA479</t>
  </si>
  <si>
    <t>Krytí tielle pěnové 11 x 11 cm bal. á 10 ks SYS MTL101 EE</t>
  </si>
  <si>
    <t>ZO458</t>
  </si>
  <si>
    <t>Krytí mepilex transfer Ag 10 x 12,5 cm bal. á 5 ks 394100-00</t>
  </si>
  <si>
    <t>ZA119</t>
  </si>
  <si>
    <t>Trokar hrudní 18F 30 cm 636,18</t>
  </si>
  <si>
    <t>ZA206</t>
  </si>
  <si>
    <t>Set perkutální PEG-24-PULL-I-S</t>
  </si>
  <si>
    <t>ZA688</t>
  </si>
  <si>
    <t>Sáček močový curity s hod. diurézou 400 ml hadička 150 cm 8150</t>
  </si>
  <si>
    <t>ZA691</t>
  </si>
  <si>
    <t>Rampa 3 kohouty discofix 16600C/4085434/</t>
  </si>
  <si>
    <t>ZA713</t>
  </si>
  <si>
    <t>Měřič žilního tlaku 01 646992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</si>
  <si>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</si>
  <si>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</si>
  <si>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</si>
  <si>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</si>
  <si>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</si>
  <si>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</si>
  <si>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</si>
  <si>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</si>
  <si>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</si>
  <si>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</si>
  <si>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</si>
  <si>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</si>
  <si>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</si>
  <si>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</si>
  <si>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</si>
  <si>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</si>
  <si>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</si>
  <si>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</si>
  <si>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</si>
  <si>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</si>
  <si>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</si>
  <si>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</si>
  <si>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</si>
  <si>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sterilní vyplachovací MRG564</t>
  </si>
  <si>
    <t>Stříkačka janett 3-dílná 60 ml sterilní vyplachovací 050ML3CZ-CEW (MRG564)</t>
  </si>
  <si>
    <t>ZA967</t>
  </si>
  <si>
    <t>Flocare 800 Pack set Transition nový pro enter. vaky ( APA 3227171) 586511</t>
  </si>
  <si>
    <t>ZB006</t>
  </si>
  <si>
    <t>Teploměr digitální thermoval basic 9250391</t>
  </si>
  <si>
    <t>ZB249</t>
  </si>
  <si>
    <t>Sáček močový s křížovou výpustí 2000 ml ZAR-TNU201601</t>
  </si>
  <si>
    <t>ZB295</t>
  </si>
  <si>
    <t>Filtr iso-gard hepa čistý bal. á 20 ks 28012</t>
  </si>
  <si>
    <t>ZB314</t>
  </si>
  <si>
    <t>Kanyla TS 8,0 s manžetou bal. á 2 ks 100/523/080</t>
  </si>
  <si>
    <t>ZB361</t>
  </si>
  <si>
    <t>Láhev respiflo 1000 ml 21000</t>
  </si>
  <si>
    <t>ZB387</t>
  </si>
  <si>
    <t>Kanyla ET 8,0 s manžetou 9480E</t>
  </si>
  <si>
    <t>ZB388</t>
  </si>
  <si>
    <t>Kanyla ET 8,5 s manžetou 9485E</t>
  </si>
  <si>
    <t>ZB414</t>
  </si>
  <si>
    <t>Kanyla ET 6,0 s manžetou 9460E</t>
  </si>
  <si>
    <t>ZB439</t>
  </si>
  <si>
    <t>Odstraňovač náplastí Convacare á 100 ks 0011279 37443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</si>
  <si>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</si>
  <si>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</si>
  <si>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</si>
  <si>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</si>
  <si>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</si>
  <si>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G05206</t>
  </si>
  <si>
    <t>Souprava odběrová tracheální na odběr sekretu G05206</t>
  </si>
  <si>
    <t>ZB598</t>
  </si>
  <si>
    <t>Spojka symetrická přímá 7 x 7 mm 60.23.00 (120 430)</t>
  </si>
  <si>
    <t>ZB621</t>
  </si>
  <si>
    <t>Adaptér respiflo MN 1072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</si>
  <si>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</si>
  <si>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</si>
  <si>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</si>
  <si>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</si>
  <si>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</si>
  <si>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</si>
  <si>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</si>
  <si>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</si>
  <si>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</si>
  <si>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</si>
  <si>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</si>
  <si>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</si>
  <si>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</si>
  <si>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</si>
  <si>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</si>
  <si>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</si>
  <si>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</si>
  <si>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</si>
  <si>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</si>
  <si>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</si>
  <si>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</si>
  <si>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</si>
  <si>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</si>
  <si>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</si>
  <si>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</si>
  <si>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</si>
  <si>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ZB780</t>
  </si>
  <si>
    <t>Kontejner 120 ml sterilní á 50 ks FLME25035</t>
  </si>
  <si>
    <t>ZB804</t>
  </si>
  <si>
    <t>Regulátor průtoku infúze dosicair DF 100</t>
  </si>
  <si>
    <t>ZB893</t>
  </si>
  <si>
    <t>Stříkačka inzulinová omnican 0,5 ml 100j s jehlou 30 G 9151125S</t>
  </si>
  <si>
    <t>ZB948</t>
  </si>
  <si>
    <t>Mikronebulizér MicroMist bal. á 50 ks 41891</t>
  </si>
  <si>
    <t>ZC059</t>
  </si>
  <si>
    <t>Láhev redon drenofast 400 ml-kompletní bal. á 40 ks 28 400</t>
  </si>
  <si>
    <t>ZC074</t>
  </si>
  <si>
    <t>Nebulizátor Typ 753 pro dospělé 01.000.08.753</t>
  </si>
  <si>
    <t>ZC648</t>
  </si>
  <si>
    <t>Elektroda EKG pěnová pr. 55 mm pro dospělé H-108002</t>
  </si>
  <si>
    <t>ZC738</t>
  </si>
  <si>
    <t>Husí krk Expandi-flex 22362</t>
  </si>
  <si>
    <t>Husí krk Expandi-flex bal. á 25 ks 22362</t>
  </si>
  <si>
    <t>ZC755</t>
  </si>
  <si>
    <t>Čepelka skalpelová 22 BB522</t>
  </si>
  <si>
    <t>ZC756</t>
  </si>
  <si>
    <t>Čepelka skalpelová 23 BB523</t>
  </si>
  <si>
    <t>ZC906</t>
  </si>
  <si>
    <t>Škrtidlo se sponou pro dospělé 25 x 500 mm KVS25500</t>
  </si>
  <si>
    <t>ZC948</t>
  </si>
  <si>
    <t>Páska bepa clip pro TS kanylu s háčky 31-43 cm á 12 ks NKS:200443</t>
  </si>
  <si>
    <t>ZD190</t>
  </si>
  <si>
    <t>Kyveta CO2 pro dospělé á 10 ks MP01062</t>
  </si>
  <si>
    <t>ZD462</t>
  </si>
  <si>
    <t>Nos umělý termotrach bal. á 50 ks 038-41-250</t>
  </si>
  <si>
    <t>ZD650</t>
  </si>
  <si>
    <t>Aquapak - sterilní voda 340 ml s adaptérem bal. á 20 ks 400340</t>
  </si>
  <si>
    <t>ZD702</t>
  </si>
  <si>
    <t>Kit Multifiltrate Ci-Ca CVVHD 1000 5039011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</si>
  <si>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</si>
  <si>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</si>
  <si>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</si>
  <si>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</si>
  <si>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</si>
  <si>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</si>
  <si>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ZE146</t>
  </si>
  <si>
    <t>Souprava nebulizační uzavřená In-Line-Neb Tee Kit  bal. á 50 ks 41745</t>
  </si>
  <si>
    <t>ZE159</t>
  </si>
  <si>
    <t>Nádoba na kontaminovaný odpad 2 l 15-0003</t>
  </si>
  <si>
    <t>ZF233</t>
  </si>
  <si>
    <t>Stříkačka injekční arteriální 3 ml bez jehly line draw L/S bal. á 200 ks 4043E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</si>
  <si>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</si>
  <si>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</si>
  <si>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</si>
  <si>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</si>
  <si>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</si>
  <si>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</si>
  <si>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</si>
  <si>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</si>
  <si>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</si>
  <si>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</si>
  <si>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</si>
  <si>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</si>
  <si>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</si>
  <si>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</si>
  <si>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</si>
  <si>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</si>
  <si>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</si>
  <si>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</si>
  <si>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</si>
  <si>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</si>
  <si>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</si>
  <si>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</si>
  <si>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</si>
  <si>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</si>
  <si>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ZK435</t>
  </si>
  <si>
    <t>Rampa 5 kohoutů discofix bal. á 40 ks 16608C (4085450)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</si>
  <si>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</si>
  <si>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</si>
  <si>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</si>
  <si>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</si>
  <si>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</si>
  <si>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</si>
  <si>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</si>
  <si>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</si>
  <si>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</si>
  <si>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</si>
  <si>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</si>
  <si>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</si>
  <si>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</si>
  <si>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</si>
  <si>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ZL333</t>
  </si>
  <si>
    <t>Systém odsávací uzavřený ET Comfortsoft CH 14 55 cm 72 hod. 02-011-11</t>
  </si>
  <si>
    <t>ZB038</t>
  </si>
  <si>
    <t>Medisize hydrovent S filt./HM</t>
  </si>
  <si>
    <t>ZB056</t>
  </si>
  <si>
    <t>Kanyla TS 8,5 s manžetou bal. á 10 ks 100/800/085</t>
  </si>
  <si>
    <t>ZB303</t>
  </si>
  <si>
    <t>Spojka asymetrická 4 x 7 mm 60.21.00 (120 420)</t>
  </si>
  <si>
    <t>ZB533</t>
  </si>
  <si>
    <t>Zkumavka na kovy 6 ml 456080</t>
  </si>
  <si>
    <t>ZB557</t>
  </si>
  <si>
    <t>Přechodka adapter combifix rekord - luer 4090306</t>
  </si>
  <si>
    <t>ZB632</t>
  </si>
  <si>
    <t>Ventil expirační jednorázový á 10 ks 8414776</t>
  </si>
  <si>
    <t>ZB647</t>
  </si>
  <si>
    <t>Minitrach seldinger kit 100/461/000</t>
  </si>
  <si>
    <t>ZB666</t>
  </si>
  <si>
    <t>Spojka Y 9 x 9 x 9 mm symetrická bal. á 100 ks 12049</t>
  </si>
  <si>
    <t>ZD151</t>
  </si>
  <si>
    <t>Ambuvak pro dospělé vak 1,5 l 7152000</t>
  </si>
  <si>
    <t>ZF512</t>
  </si>
  <si>
    <t>Páska bepa clip vario pro TS kanylu 30/V á 6 ks NKS:200602</t>
  </si>
  <si>
    <t>ZI347</t>
  </si>
  <si>
    <t>Podložka natura flexibilní 57 mm bal. á 5 ks 0086766 125903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</si>
  <si>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</si>
  <si>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</si>
  <si>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</si>
  <si>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</si>
  <si>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</si>
  <si>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ZL952</t>
  </si>
  <si>
    <t>Stříkačka injekční 50 ml LL light protected bal.á 60 ks 2022920A</t>
  </si>
  <si>
    <t>ZL951</t>
  </si>
  <si>
    <t>Hadička prodlužovací PVC 150 cm pro světlocitlivé léky NO DOP bal. á 20  ks V686423</t>
  </si>
  <si>
    <t>ZL954</t>
  </si>
  <si>
    <t>Rampa 5 cestná - 5 x konektor s BV NO PVC V696425</t>
  </si>
  <si>
    <t>ZF425</t>
  </si>
  <si>
    <t>Podložka almarys pr. 80 mm bal. á 10 ks 036280U</t>
  </si>
  <si>
    <t>ZB505</t>
  </si>
  <si>
    <t>Tubo-fix pro ET rourky á 8 ks komplet NKS:20-10</t>
  </si>
  <si>
    <t>ZB899</t>
  </si>
  <si>
    <t>Senzor spirologický bal. á 5 ks 8403735-03</t>
  </si>
  <si>
    <t>ZI346</t>
  </si>
  <si>
    <t>Podložka natura flexibilní 70 mm bal. á 5 ks 0086767 125904</t>
  </si>
  <si>
    <t>ZE195</t>
  </si>
  <si>
    <t>Manžeta TK k monitoru Mindray a další jednohadičková s vložkou 25 - 35 cm dospělá MEC 1200 NIBPHPA</t>
  </si>
  <si>
    <t>ZA685</t>
  </si>
  <si>
    <t>Sonda pro tamponádu jícnu č.7 699021PHX</t>
  </si>
  <si>
    <t>ZB389</t>
  </si>
  <si>
    <t>Kanyla ET 9,0 s manžetou bal. á 10 ks 9590E</t>
  </si>
  <si>
    <t>ZJ672</t>
  </si>
  <si>
    <t>Pohár na moč 250 ml UH GAMA204809</t>
  </si>
  <si>
    <t>ZB054</t>
  </si>
  <si>
    <t>Láhev 2,00 l šroubový uzávěr 000-030-000 (111-888-200)</t>
  </si>
  <si>
    <t>ZA753</t>
  </si>
  <si>
    <t>Sonda flocare PUR CH8/110 cm enlock 2778398</t>
  </si>
  <si>
    <t>ZD254</t>
  </si>
  <si>
    <t>Souprava flexi seal FMS pro fekální inkont. Signál akce 2+1 418000</t>
  </si>
  <si>
    <t>ZJ673</t>
  </si>
  <si>
    <t>Pohár na moč 100 ml UH GAMA204808</t>
  </si>
  <si>
    <t>ZB507</t>
  </si>
  <si>
    <t>Páska fixační SOFT FIX, set-4druhy, 9 rolí NKS:30-05</t>
  </si>
  <si>
    <t>ZM513</t>
  </si>
  <si>
    <t>Konektor ventil jednocestný back check valve 8502802</t>
  </si>
  <si>
    <t>ZJ194</t>
  </si>
  <si>
    <t>Sáček výpustný natura 57 mm průhledný urostomický bal. á 10 ks 401536</t>
  </si>
  <si>
    <t>ZA937</t>
  </si>
  <si>
    <t>Ambuvak pro dospělé PVC ( set ) P04223</t>
  </si>
  <si>
    <t>ZL953</t>
  </si>
  <si>
    <t>Rampa 3 cestná - 3 x konektor s BV NO PVC V696423</t>
  </si>
  <si>
    <t>ZA978</t>
  </si>
  <si>
    <t>Houbička odsávací s reg. vakua 2201</t>
  </si>
  <si>
    <t>ZA799</t>
  </si>
  <si>
    <t>Trokar hrudní redax F20 s ostrým koncem bal. á 10 ks 11220</t>
  </si>
  <si>
    <t>ZB966</t>
  </si>
  <si>
    <t>Nůžky rovné chirurgické hrotnaté 150 mm B397113920005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</si>
  <si>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</si>
  <si>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</si>
  <si>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</si>
  <si>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</si>
  <si>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</si>
  <si>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</si>
  <si>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ZI345</t>
  </si>
  <si>
    <t>Sáček výpustný natura 70 mm průhledný urostomický bal. á 10 ks 401537</t>
  </si>
  <si>
    <t>ZJ277</t>
  </si>
  <si>
    <t>Ventil jednorázový expirační V500 á 10 ks MP01060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</si>
  <si>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</si>
  <si>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</si>
  <si>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</si>
  <si>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</si>
  <si>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</si>
  <si>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</si>
  <si>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</si>
  <si>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</si>
  <si>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</si>
  <si>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</si>
  <si>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ZI789</t>
  </si>
  <si>
    <t>Sáček výpustný natura urostomický průhledný standard 45 mm á 10 ks 401535</t>
  </si>
  <si>
    <t>ZN426</t>
  </si>
  <si>
    <t>Podložka natura flexibilní 45 mm bal. á 5 ks 125902</t>
  </si>
  <si>
    <t>ZB963</t>
  </si>
  <si>
    <t>Pinzeta anatomická úzká 145 mm B397114920019</t>
  </si>
  <si>
    <t>ZF442</t>
  </si>
  <si>
    <t>Vak dýchací 2000 ml 2820</t>
  </si>
  <si>
    <t>ZN598</t>
  </si>
  <si>
    <t>Set odsávací jednorázový starset vak 2000 ml odsávací hadice 180 cm přerušovač sání bal. á 25 ks ZMF 160 203 PS</t>
  </si>
  <si>
    <t>ZN646</t>
  </si>
  <si>
    <t>Fonendoskop oboustranný různé barvy 710045-s</t>
  </si>
  <si>
    <t>ZN618</t>
  </si>
  <si>
    <t>Brýle kyslíkové pro dospělé bal. á 100 ks A0100</t>
  </si>
  <si>
    <t>ZC842</t>
  </si>
  <si>
    <t>Sáček výpustný+ invisiclose natura 100 mm béžový standard bal. á 10 ks 0082656 416472</t>
  </si>
  <si>
    <t>ZB812</t>
  </si>
  <si>
    <t>Manžeta fixační Ute-Fix bal. á 30 ks NKS:40-05</t>
  </si>
  <si>
    <t>ZD611</t>
  </si>
  <si>
    <t>Rampa 3 kohouty - 4 x konektor HQ-H2376 H1149</t>
  </si>
  <si>
    <t>ZN854</t>
  </si>
  <si>
    <t>Stříkačka injekční arteriální 3 ml bez jehly s heparinem bal. á 100 ks safePICO Aspirator 956-622</t>
  </si>
  <si>
    <t>ZD814</t>
  </si>
  <si>
    <t>Manžeta TK k monitoru Philips obézní 17 x 60 cm KVS M1 6ZOM</t>
  </si>
  <si>
    <t>ZA364</t>
  </si>
  <si>
    <t>Sáček kolostomický draina S mini 75 mm á 30 ks H08560U</t>
  </si>
  <si>
    <t>ZH871</t>
  </si>
  <si>
    <t>Kanyla TS 10,0 s manžetou bal. á 10 ks 100/800/100</t>
  </si>
  <si>
    <t>ZB548</t>
  </si>
  <si>
    <t>Kanyla TS 9,0 s manžetou bal. á 10 ks 100/800/090</t>
  </si>
  <si>
    <t>ZN580</t>
  </si>
  <si>
    <t>Nůžky převazové Lister 200 mm P03138</t>
  </si>
  <si>
    <t>ZB364</t>
  </si>
  <si>
    <t>Nůžky převazové lister 180 mm P01120</t>
  </si>
  <si>
    <t>ZH278</t>
  </si>
  <si>
    <t>Nůžky oční zahnuté hrotnaté 105 mm B397113920045</t>
  </si>
  <si>
    <t>ZM550</t>
  </si>
  <si>
    <t>Peán zahnutý mosqito 125 mm B397115910082</t>
  </si>
  <si>
    <t>ZF283</t>
  </si>
  <si>
    <t>Držák pro zásobník katetrů N077.1030</t>
  </si>
  <si>
    <t>ZO010</t>
  </si>
  <si>
    <t>Pinzeta chirurgická Standard rovná 1 x 2 zuby 140 mm 1141113014</t>
  </si>
  <si>
    <t>ZG893</t>
  </si>
  <si>
    <t>Rouška prošívaná na popáleniny 40 x 60 cm karton á 30 ks 28510</t>
  </si>
  <si>
    <t>ZN044</t>
  </si>
  <si>
    <t>Hadička spojovací PE červená 2,0 x 2000 mm LL bal. á 200 ks 12003200E</t>
  </si>
  <si>
    <t>ZD228</t>
  </si>
  <si>
    <t>Ambuvak kompletní silikonový 51.500.00.301</t>
  </si>
  <si>
    <t>ZM923</t>
  </si>
  <si>
    <t>Nůžky oční rovné 110 mm PL81048T</t>
  </si>
  <si>
    <t>ZB637</t>
  </si>
  <si>
    <t>Nůžky zahnuté chirurgické hrotnatotupé 130 mm B397113080410</t>
  </si>
  <si>
    <t>ZH776</t>
  </si>
  <si>
    <t>Lžíce laryngoskopu č.3 jednorázová bal. á 10 ks LS-78130</t>
  </si>
  <si>
    <t>ZE884</t>
  </si>
  <si>
    <t>Sáček výpustný+ invisiclose natura 57 mm béžový standard bal. á 10 ks 0082654 416420</t>
  </si>
  <si>
    <t>ZB298</t>
  </si>
  <si>
    <t>Trokar hrudní Argyle Ch16/25 cm bal. á 10 ks 8888561035</t>
  </si>
  <si>
    <t>ZD273</t>
  </si>
  <si>
    <t>Sonda Freka PEG žaludeční CH15 TR/F 7980111</t>
  </si>
  <si>
    <t>ZE203</t>
  </si>
  <si>
    <t>Manžeta TK k monitoru Mindray a další jednohadičková s vložkou 18 - 26 cm dětská MEC 1200 NIBPHPD</t>
  </si>
  <si>
    <t>ZB582</t>
  </si>
  <si>
    <t>Rampa 5 kohoutů discofix proset - 5 x konektor,bal. 50 ks,  4085450SF</t>
  </si>
  <si>
    <t>ZH274</t>
  </si>
  <si>
    <t>Nůžky zahnuté chirurgické hrotnaté 150 mm B397113920026</t>
  </si>
  <si>
    <t>ZB656</t>
  </si>
  <si>
    <t>Senzor flotrac set 152 cm MHD6R</t>
  </si>
  <si>
    <t>ZJ028</t>
  </si>
  <si>
    <t>Helma castar R vel. M CP211M/2R</t>
  </si>
  <si>
    <t>ZF985</t>
  </si>
  <si>
    <t>Katetr močový foley 24CH bal. á 12 ks 1620-02</t>
  </si>
  <si>
    <t>ZL671</t>
  </si>
  <si>
    <t>Sonda Freka CH/FR 12, 120cm LL 7981811</t>
  </si>
  <si>
    <t>ZD998</t>
  </si>
  <si>
    <t>Spojka Y 8-10 ster. 884.08</t>
  </si>
  <si>
    <t>ZO372</t>
  </si>
  <si>
    <t>Konektor bezjehlový OptiSyte JIM:JSM4001</t>
  </si>
  <si>
    <t>ZN045</t>
  </si>
  <si>
    <t>Hadička spojovací PE zelená 2,0 x 2000 mm LL bal. á 200 ks 12003200E</t>
  </si>
  <si>
    <t>ZD995</t>
  </si>
  <si>
    <t>Spojka symetrická 4-4 nest. bal. á 50 ks 881,44D (86051572)</t>
  </si>
  <si>
    <t>ZK735</t>
  </si>
  <si>
    <t>Konektor bezjehlový caresite bal. á 200 ks dohodnutá cena 10,- Kč bez DPH 415122</t>
  </si>
  <si>
    <t>ZC054</t>
  </si>
  <si>
    <t>Válec odměrný vysoký sklo 100 ml d713880</t>
  </si>
  <si>
    <t>ZD933</t>
  </si>
  <si>
    <t>Listerine 1,0 l 450669</t>
  </si>
  <si>
    <t>ZC615</t>
  </si>
  <si>
    <t>Katetr CVC 3 lumen 7 Fr x 20 cm certofix trio V720 bal. á 10 ks 4163214P</t>
  </si>
  <si>
    <t>ZC637</t>
  </si>
  <si>
    <t>Arteriofix bal. á 20 ks 20G 5206324</t>
  </si>
  <si>
    <t>ZD827</t>
  </si>
  <si>
    <t>Katetr CVC 3 lumen 7 Fr x 20 cm certofix trio SB720 bal. á 10 ks 4163206E</t>
  </si>
  <si>
    <t>ZD909</t>
  </si>
  <si>
    <t>Katetr CVC 2 lumen 7 Fr x 20 cm certofix duo ECO 720 á 10 ks 4162200E</t>
  </si>
  <si>
    <t>ZE069</t>
  </si>
  <si>
    <t>Katetr CVC 1 lumen 5 Fr x 20 cm certofix mono ECO 320 bal. á 10 ks 4160258E</t>
  </si>
  <si>
    <t>ZJ759</t>
  </si>
  <si>
    <t>Katetr dialyzační 3 lumen 13,0 Fr x 20 cm KFE-TTL-1320-K</t>
  </si>
  <si>
    <t>ZA715</t>
  </si>
  <si>
    <t>Set infuzní intrafix primeline classic 150 cm 4062957</t>
  </si>
  <si>
    <t>ZB715</t>
  </si>
  <si>
    <t>Set kangaro univ. pro enterální výživu bal. á 30 ks  S777403</t>
  </si>
  <si>
    <t>ZE079</t>
  </si>
  <si>
    <t>Set transfúzní non PVC s odvzdušněním a bakteriálním filtrem ZAR-I-TS</t>
  </si>
  <si>
    <t>ZC393</t>
  </si>
  <si>
    <t>Set pro enterální výživu applix smart/vision á 30 ks 7751691</t>
  </si>
  <si>
    <t>ZB220</t>
  </si>
  <si>
    <t>Šití safil fialový 3/0 (2) bal. á 36 ks C1048046</t>
  </si>
  <si>
    <t>ZB834</t>
  </si>
  <si>
    <t>Šití nurolon bk 2-0 bal. á 36 ks EH6604H</t>
  </si>
  <si>
    <t>ZC135</t>
  </si>
  <si>
    <t>Šití safil fialový 2/0 (3) bal. á 36 ks C1048031</t>
  </si>
  <si>
    <t>ZF937</t>
  </si>
  <si>
    <t>Šití premicron zelený 3/0 (2) bal. á 36 ks C0026553</t>
  </si>
  <si>
    <t>ZA963</t>
  </si>
  <si>
    <t>Šití merslen gr 3 bal. á 36 ks EH6418H</t>
  </si>
  <si>
    <t>Šití mersilene gr 3 bal. á 36 ks EH6418H</t>
  </si>
  <si>
    <t>ZA911</t>
  </si>
  <si>
    <t>Šití dafilon modrý 2/0 (3) bal. á 36 ks C0932477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</si>
  <si>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</si>
  <si>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</si>
  <si>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</si>
  <si>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</si>
  <si>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</si>
  <si>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</si>
  <si>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</si>
  <si>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</si>
  <si>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ZA836</t>
  </si>
  <si>
    <t>Jehla injekční 0,9 x 70 mm žlutá 4665791</t>
  </si>
  <si>
    <t>ZB204</t>
  </si>
  <si>
    <t>Jehla chirurgická G11</t>
  </si>
  <si>
    <t>ZB479</t>
  </si>
  <si>
    <t>Jehla chirurgická B12</t>
  </si>
  <si>
    <t>ZB481</t>
  </si>
  <si>
    <t>Jehla chirurgická 0,7 x 25 B13</t>
  </si>
  <si>
    <t>ZB556</t>
  </si>
  <si>
    <t>Jehla injekční 1,2 x 40 mm růžová 4665120</t>
  </si>
  <si>
    <t>ZB768</t>
  </si>
  <si>
    <t>Jehla vakuová 216/38 mm zelená 450076</t>
  </si>
  <si>
    <t>ZB769</t>
  </si>
  <si>
    <t>Jehla vakuová 206/38 mm žlutá 450077</t>
  </si>
  <si>
    <t>ZB781</t>
  </si>
  <si>
    <t>Jehla cytocan žlutá bal. á 25 ks 4439767</t>
  </si>
  <si>
    <t>ZB466</t>
  </si>
  <si>
    <t>Jehla chirurgická B14</t>
  </si>
  <si>
    <t>ZK500</t>
  </si>
  <si>
    <t>Rukavice operační gammex PFXP cytostatické vel. 7,0 latex chemo bal. á 50 párů 330054070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</si>
  <si>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</si>
  <si>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</si>
  <si>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</si>
  <si>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</si>
  <si>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</si>
  <si>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</si>
  <si>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</si>
  <si>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</si>
  <si>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</si>
  <si>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gammex ansell PF bez pudru 6,5 330048065</t>
  </si>
  <si>
    <t>Rukavice operační gammex latex PF bez pudru 6,5 330048065</t>
  </si>
  <si>
    <t>ZN126</t>
  </si>
  <si>
    <t>Rukavice operační gammex ansell PF bez pudru 7,0 330048070</t>
  </si>
  <si>
    <t>Rukavice operační gammex latex PF bez pudru 7,0 330048070</t>
  </si>
  <si>
    <t>ZN108</t>
  </si>
  <si>
    <t>Rukavice operační gammex latex PF bez pudru 8,0 330048080</t>
  </si>
  <si>
    <t>ZN125</t>
  </si>
  <si>
    <t>Rukavice operační gammex ansell PF bez pudru 7,5 330048075</t>
  </si>
  <si>
    <t>Rukavice operační gammex latex PF bez pudru 7,5 330048075</t>
  </si>
  <si>
    <t>ZN040</t>
  </si>
  <si>
    <t>Rukavice operační gammex ansell PF bez pudru 8,5 330048085</t>
  </si>
  <si>
    <t>ZK792</t>
  </si>
  <si>
    <t>Rukavice operační gammex PFXP cytostatické vel. 7,5 latex chemo bal. á 50 párů 330054075</t>
  </si>
  <si>
    <t>DG382</t>
  </si>
  <si>
    <t>Bactec Plus Aerobic</t>
  </si>
  <si>
    <t>DG385</t>
  </si>
  <si>
    <t>Bactec Plus Anaerobic</t>
  </si>
  <si>
    <t>DA002</t>
  </si>
  <si>
    <t>PROUZKY TETRAPHAN DIA  KATALOGO</t>
  </si>
  <si>
    <t>DG395</t>
  </si>
  <si>
    <t>Diagnostická souprava AB0 set monoklonální na 30</t>
  </si>
  <si>
    <t>DD075</t>
  </si>
  <si>
    <t>MEMBRÁNOVÁ SOUPRAVA REF.</t>
  </si>
  <si>
    <t>DC515</t>
  </si>
  <si>
    <t>Čistící roztok k dekontaminaci 100 ml  (HYPOCHLORID.ROZTOK,S5362)</t>
  </si>
  <si>
    <t>DC320</t>
  </si>
  <si>
    <t>AUTOCHECK TM5+/LEVEL3/S7755</t>
  </si>
  <si>
    <t>DA001</t>
  </si>
  <si>
    <t>PROUZKY DIAPHAN pro samotestování 50ks</t>
  </si>
  <si>
    <t>DF171</t>
  </si>
  <si>
    <t>KALIBRAČNÍ ROZTOK 1  S1820 (ABL 825)</t>
  </si>
  <si>
    <t>DB942</t>
  </si>
  <si>
    <t>MEMBRÁNOVÁ SOUPRAVA pCO2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</si>
  <si>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</si>
  <si>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</si>
  <si>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</si>
  <si>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</si>
  <si>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</si>
  <si>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</si>
  <si>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</si>
  <si>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</si>
  <si>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</si>
  <si>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</si>
  <si>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</si>
  <si>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</si>
  <si>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</si>
  <si>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</si>
  <si>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</si>
  <si>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</si>
  <si>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</si>
  <si>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</si>
  <si>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</si>
  <si>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</si>
  <si>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</si>
  <si>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</si>
  <si>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DD268</t>
  </si>
  <si>
    <t>MEMBRÁNOVÁ SOUPRAVA Ca</t>
  </si>
  <si>
    <t>DD076</t>
  </si>
  <si>
    <t>MEMBRÁNOVÁ SOUPRAVA pO2</t>
  </si>
  <si>
    <t>DD269</t>
  </si>
  <si>
    <t>MEMBRÁNOVÁ SOUPRAVA Cl</t>
  </si>
  <si>
    <t>DC634</t>
  </si>
  <si>
    <t>THB KALIBRAČNÍ ROZTOK,S7770</t>
  </si>
  <si>
    <t>DC959</t>
  </si>
  <si>
    <t>MEMBRÁNOVÁ SOUPRAVA  Na+</t>
  </si>
  <si>
    <t>DD267</t>
  </si>
  <si>
    <t>MEMBRÁNOVÁ SOUPRAVA K+</t>
  </si>
  <si>
    <t>DH594</t>
  </si>
  <si>
    <t>Cartridge complete</t>
  </si>
  <si>
    <t>DA702</t>
  </si>
  <si>
    <t>Zaslepovací elektroda</t>
  </si>
  <si>
    <t>ZB232</t>
  </si>
  <si>
    <t>Maska anesteziologická č.4 EcoMask ( s proužky ) 7094</t>
  </si>
  <si>
    <t>ZB750</t>
  </si>
  <si>
    <t>Hadice vrapovaná metráž dělitelná po 400 mm á 50 m 1574000/W</t>
  </si>
  <si>
    <t>ZB751</t>
  </si>
  <si>
    <t>Hadice PVC 8/12 á 30 m P00468</t>
  </si>
  <si>
    <t>ZB867</t>
  </si>
  <si>
    <t>Maska anesteziologická č.3 7193</t>
  </si>
  <si>
    <t>ZC366</t>
  </si>
  <si>
    <t>Převodník tlakový PX260 150 cm 1 linka bal. á 20 ks T100209A</t>
  </si>
  <si>
    <t>Převodník tlakový PX260 150 cm 1 linka bal. á 10 ks (T100209A) T100209B</t>
  </si>
  <si>
    <t>ZC367</t>
  </si>
  <si>
    <t>Převodník tlakový dvoukomorový 150 cm set 2 linky bal. á 10 ks T001650A</t>
  </si>
  <si>
    <t>ZJ051</t>
  </si>
  <si>
    <t>Okruh dýchací jednorázový - set VentStar Oxylog 3000 bal. á 5 ks 5703041(5702871)</t>
  </si>
  <si>
    <t>ZB233</t>
  </si>
  <si>
    <t>Maska anesteziologická č.5 EcoMask ( s proužky ) 7095</t>
  </si>
  <si>
    <t>ZF751</t>
  </si>
  <si>
    <t>Maska anesteziologická č.6 EcoMask ( s proužky ) 7096</t>
  </si>
  <si>
    <t>ZD534</t>
  </si>
  <si>
    <t>Okruh dýchací compact II 2,0 m 2151000</t>
  </si>
  <si>
    <t>ZA905</t>
  </si>
  <si>
    <t>Maska tracheostomická 001305</t>
  </si>
  <si>
    <t>ZN711</t>
  </si>
  <si>
    <t>Maska anesteziologická č.3 EcoMask ( s proužky ) 7093</t>
  </si>
  <si>
    <t>ZN620</t>
  </si>
  <si>
    <t>Maska kyslíková dospělá s nebulizací a hadičkou 2 m bal. á 100 ks A0400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</si>
  <si>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</si>
  <si>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</si>
  <si>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</si>
  <si>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</si>
  <si>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</si>
  <si>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</si>
  <si>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</si>
  <si>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</si>
  <si>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</si>
  <si>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</si>
  <si>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</si>
  <si>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</si>
  <si>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</si>
  <si>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</si>
  <si>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</si>
  <si>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</si>
  <si>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</si>
  <si>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</si>
  <si>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</si>
  <si>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</si>
  <si>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</si>
  <si>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</si>
  <si>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</si>
  <si>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</si>
  <si>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07 - Klinika anesteziologie, resuscitace a intenzivní medicíny</t>
  </si>
  <si>
    <t>07</t>
  </si>
  <si>
    <t>5T1</t>
  </si>
  <si>
    <t>V</t>
  </si>
  <si>
    <t>51021</t>
  </si>
  <si>
    <t>KOMPLEXNÍ VYŠETŘENÍ CHIRURGEM</t>
  </si>
  <si>
    <t>501</t>
  </si>
  <si>
    <t>15401</t>
  </si>
  <si>
    <t>ESOFAGOGASTRODUODENOSKOPIE</t>
  </si>
  <si>
    <t>15445</t>
  </si>
  <si>
    <t xml:space="preserve">POUŽITÍ VIDEOENDOSKOPU PŘI ENDOSKOPICKÉM VÝKONU Á </t>
  </si>
  <si>
    <t>15960</t>
  </si>
  <si>
    <t>ENDOSKOPICKÁ GASTROSTOMIE - PŘIČTI K CENĚ ZÁKLADNÍ</t>
  </si>
  <si>
    <t>5F1</t>
  </si>
  <si>
    <t>51313</t>
  </si>
  <si>
    <t>ZÁCHOVNÉ OPERACE SLEZINY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</si>
  <si>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</si>
  <si>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</si>
  <si>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</si>
  <si>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</si>
  <si>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</si>
  <si>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</si>
  <si>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</si>
  <si>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</si>
  <si>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</si>
  <si>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</si>
  <si>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</si>
  <si>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</si>
  <si>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</si>
  <si>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</si>
  <si>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</si>
  <si>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</si>
  <si>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</si>
  <si>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</si>
  <si>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</si>
  <si>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</si>
  <si>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</si>
  <si>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</si>
  <si>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</si>
  <si>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</si>
  <si>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</si>
  <si>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</si>
  <si>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</si>
  <si>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</si>
  <si>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</si>
  <si>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</si>
  <si>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</si>
  <si>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63589</t>
  </si>
  <si>
    <t>SALPINGEKTOMIE NEBO ADNEXEKTOMIE A NEBO RESEKCE OV</t>
  </si>
  <si>
    <t>71717</t>
  </si>
  <si>
    <t>TRACHEOTOMIE</t>
  </si>
  <si>
    <t>76479</t>
  </si>
  <si>
    <t>NEFREKTOMIE TRANSPERITONEÁLNÍ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</si>
  <si>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</si>
  <si>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</si>
  <si>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</si>
  <si>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</si>
  <si>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</si>
  <si>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</si>
  <si>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</si>
  <si>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</si>
  <si>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</si>
  <si>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</si>
  <si>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</si>
  <si>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</si>
  <si>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</si>
  <si>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</si>
  <si>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</si>
  <si>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</si>
  <si>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</si>
  <si>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</si>
  <si>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07410</t>
  </si>
  <si>
    <t>(VZP) BYPASS FEMORO - PROFUNDÁLNÍ PROTETICKÝ</t>
  </si>
  <si>
    <t>07417</t>
  </si>
  <si>
    <t>(VZP) ENDARTERECTOMIE A. FEMORALIS A JEJÍCH VĚTVÍ</t>
  </si>
  <si>
    <t>07532</t>
  </si>
  <si>
    <t>(VZP) TRANSLUMINÁLNÍ ANGIOPLASTIKA PEROPERAČNÍ</t>
  </si>
  <si>
    <t>07390</t>
  </si>
  <si>
    <t>(VZP) EMBOLECTOMIE A.ILIACA</t>
  </si>
  <si>
    <t>07565</t>
  </si>
  <si>
    <t>(DRG) KATASTROFICKÁ OPERACE KVCH</t>
  </si>
  <si>
    <t>07356</t>
  </si>
  <si>
    <t>(VZP) TROMBECTOMIE BYPASSU BŘIŠNÍ AORTY</t>
  </si>
  <si>
    <t>07351</t>
  </si>
  <si>
    <t>(VZP) TROMBECTOMIE BŘIŠNÍ AORTY</t>
  </si>
  <si>
    <t>07407</t>
  </si>
  <si>
    <t>(VZP) BYPASS FEMORO - POPLITEÁLNÍ DISTÁLNÍ PROTETI</t>
  </si>
  <si>
    <t>07335</t>
  </si>
  <si>
    <t>(VZP) BYPASS AORTO - ILICKÝ NEBO NÁHRADA OBOUSTRAN</t>
  </si>
  <si>
    <t>07197</t>
  </si>
  <si>
    <t>(DRG) ZAVEDENÍ STENTU ČI STENTGRAFTU DO DESCENDENT</t>
  </si>
  <si>
    <t>07322</t>
  </si>
  <si>
    <t>(VZP) REVIZE TEPEN HORNÍCH KONČETIN PRO  KRVÁCENÍ</t>
  </si>
  <si>
    <t>09567</t>
  </si>
  <si>
    <t>(VZP) ZÁKROK NA LEVÉ STRANĚ</t>
  </si>
  <si>
    <t>07420</t>
  </si>
  <si>
    <t>(VZP) ČÁSTEČNÉ ODSTRANĚNÍ PROTETICKÉHO MATERIÁLU V</t>
  </si>
  <si>
    <t>07320</t>
  </si>
  <si>
    <t>(VZP) BYPASS NEBO NÁHRADA TEPEN HORNÍCH KONČETIN A</t>
  </si>
  <si>
    <t>57229</t>
  </si>
  <si>
    <t>PLEUROSTOMIE</t>
  </si>
  <si>
    <t>15404</t>
  </si>
  <si>
    <t>TOTÁLNÍ KOLOSKOPIE</t>
  </si>
  <si>
    <t>07543</t>
  </si>
  <si>
    <t>(DRG) PRIMOOPERACE</t>
  </si>
  <si>
    <t>51396</t>
  </si>
  <si>
    <t>PUNKCE DUTINY BŘIŠNÍ S DRENÁŽÍ EV. LAVAŽÍ</t>
  </si>
  <si>
    <t>15402</t>
  </si>
  <si>
    <t>REKTOSKOPIE</t>
  </si>
  <si>
    <t>54990</t>
  </si>
  <si>
    <t>ODBĚR ŽILNÍHO ŠTĚPU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</si>
  <si>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</si>
  <si>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</si>
  <si>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</si>
  <si>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</si>
  <si>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</si>
  <si>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</si>
  <si>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</si>
  <si>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</si>
  <si>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</si>
  <si>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</si>
  <si>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</si>
  <si>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</si>
  <si>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</si>
  <si>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</si>
  <si>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</si>
  <si>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</si>
  <si>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</si>
  <si>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</si>
  <si>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</si>
  <si>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</si>
  <si>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</si>
  <si>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</si>
  <si>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</si>
  <si>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</si>
  <si>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</si>
  <si>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</si>
  <si>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</si>
  <si>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</si>
  <si>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</si>
  <si>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</si>
  <si>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</si>
  <si>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</si>
  <si>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</si>
  <si>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</si>
  <si>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</si>
  <si>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51511</t>
  </si>
  <si>
    <t>OPERACE KÝLY INQUINÁLNÍ A FEMORÁLNÍ - DOSPĚLÍ, VČE</t>
  </si>
  <si>
    <t>51217</t>
  </si>
  <si>
    <t>EZOFAGEKTOMIE BEZ TORAKOTOMIE S NÁHRADOU JÍCNU ŽAL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</si>
  <si>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</si>
  <si>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</si>
  <si>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</si>
  <si>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</si>
  <si>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</si>
  <si>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</si>
  <si>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</si>
  <si>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</si>
  <si>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</si>
  <si>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</si>
  <si>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</si>
  <si>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</si>
  <si>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</si>
  <si>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</si>
  <si>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</si>
  <si>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</si>
  <si>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</si>
  <si>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</si>
  <si>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</si>
  <si>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</si>
  <si>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</si>
  <si>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</si>
  <si>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</si>
  <si>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</si>
  <si>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51385</t>
  </si>
  <si>
    <t>RESEKCE ŽALUDKU S ANASTOMÓZOU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</si>
  <si>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</si>
  <si>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</si>
  <si>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</si>
  <si>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</si>
  <si>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</si>
  <si>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</si>
  <si>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07469</t>
  </si>
  <si>
    <t>(VZP)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</si>
  <si>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</si>
  <si>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</si>
  <si>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</si>
  <si>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</si>
  <si>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</si>
  <si>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</si>
  <si>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</si>
  <si>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</si>
  <si>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</si>
  <si>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</si>
  <si>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51365</t>
  </si>
  <si>
    <t>UZÁVĚR A ÚPRAVA STOMIÍ NA TLUSTÉM STŘEVĚ</t>
  </si>
  <si>
    <t>54170</t>
  </si>
  <si>
    <t>PROFUNDOPLASTIKA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</si>
  <si>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</si>
  <si>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</si>
  <si>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</si>
  <si>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</si>
  <si>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</si>
  <si>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</si>
  <si>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61131</t>
  </si>
  <si>
    <t>EXCIZE KOŽNÍ LÉZE, SUTURA VÍCE NEŽ 10 CM</t>
  </si>
  <si>
    <t>54310</t>
  </si>
  <si>
    <t>AORTOILICKÝ ÚSEK - ENDARTEREKTOMIE</t>
  </si>
  <si>
    <t>07413</t>
  </si>
  <si>
    <t>(VZP) PLASTIKA A. FEMORALIS A JEJÍCH VĚTVÍ PROTETI</t>
  </si>
  <si>
    <t>07373</t>
  </si>
  <si>
    <t>(VZP) REVIZE V OBLASTI BŘIŠNÍ AORTY PRO  KRVÁCENÍ</t>
  </si>
  <si>
    <t>51381</t>
  </si>
  <si>
    <t>REKONSTRUKČNÍ VÝKON NA ŽLUČOVÝCH CESTÁCH</t>
  </si>
  <si>
    <t>51326</t>
  </si>
  <si>
    <t>DRENÁŽNÍ OPERACE PŘI AKUTNÍ PANKEATITIDĚ, DRENÁŽ A</t>
  </si>
  <si>
    <t>09569</t>
  </si>
  <si>
    <t>(VZP) ZÁKROK NA PRAVÉ STRANĚ</t>
  </si>
  <si>
    <t>51615</t>
  </si>
  <si>
    <t>PEROPERAČNÍ CHOLANGIOGRAFIE /CYSTOGRAFIE A  POD.</t>
  </si>
  <si>
    <t>51127</t>
  </si>
  <si>
    <t>HEMITYROIDEKTOMIE (TOTÁLNÍ LOBEKTOMIE ŠTÍTNÉ ŽLÁZY</t>
  </si>
  <si>
    <t>07514</t>
  </si>
  <si>
    <t>(VZP) ODBĚR A PŘÍPRAVA ŽILNÍHO ŠTĚPU Z POVRCHOVÝCH</t>
  </si>
  <si>
    <t>07424</t>
  </si>
  <si>
    <t>(VZP) EMBOLECTOMIE A. FEMORALIS SUPERFICIALIS</t>
  </si>
  <si>
    <t>57221</t>
  </si>
  <si>
    <t>OPERAČNÍ STABILIZACE HRUDNÍKU PO ÚRAZE - JEDNA STR</t>
  </si>
  <si>
    <t>66915</t>
  </si>
  <si>
    <t>DEKOMPRESE FASCIÁLNÍHO LOŽE</t>
  </si>
  <si>
    <t>07388</t>
  </si>
  <si>
    <t>(VZP) ENDARTERECTOMIE  A.ILIACA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</si>
  <si>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</si>
  <si>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</si>
  <si>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</si>
  <si>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</si>
  <si>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</si>
  <si>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</si>
  <si>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07428</t>
  </si>
  <si>
    <t>(VZP) REVIZE V OBLASTI STEHNA PRO  KRVÁCENÍ</t>
  </si>
  <si>
    <t>07529</t>
  </si>
  <si>
    <t>(VZP) BYPASS CROSS-OVER FEMORO - FEMORÁLNÍ</t>
  </si>
  <si>
    <t>51225</t>
  </si>
  <si>
    <t>INKOMPLETNÍ NEBO KOMPLETNÍ EZOFAGOTOMIE Z TORAKOTO</t>
  </si>
  <si>
    <t>51117</t>
  </si>
  <si>
    <t>KRČNÍ EZOFAGOSTOMIE</t>
  </si>
  <si>
    <t>07347</t>
  </si>
  <si>
    <t>(VZP) REKONSTRUKCE AORTO - MESENTERICKÁ</t>
  </si>
  <si>
    <t>07499</t>
  </si>
  <si>
    <t>(VZP) INTERPOZICE ŽILNÍHO ÚSEKU</t>
  </si>
  <si>
    <t>07535</t>
  </si>
  <si>
    <t>(VZP) JINÝ ENDOVASKULÁRNÍ UZÁVĚR TEPNY PEROPERAČNÍ</t>
  </si>
  <si>
    <t>90952</t>
  </si>
  <si>
    <t>(DRG) EXTRAKCE TROMBU NEBO EMBOLU ENDOVASKULÁRNÍ C</t>
  </si>
  <si>
    <t>90954</t>
  </si>
  <si>
    <t>(DRG) KRITICKÁ KONČETINOVÁ ISCHEMIE</t>
  </si>
  <si>
    <t>07466</t>
  </si>
  <si>
    <t>(VZP) JINÁ REKONSTRUKCE V INFRAPOPLITEÁLNÍ OBLASTI</t>
  </si>
  <si>
    <t>07337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</si>
  <si>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</si>
  <si>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</si>
  <si>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</si>
  <si>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</si>
  <si>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</si>
  <si>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</si>
  <si>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</si>
  <si>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</si>
  <si>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</si>
  <si>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</si>
  <si>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</si>
  <si>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</si>
  <si>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</si>
  <si>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</si>
  <si>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</si>
  <si>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</si>
  <si>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</si>
  <si>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</si>
  <si>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</si>
  <si>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</si>
  <si>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</si>
  <si>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</si>
  <si>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</si>
  <si>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</si>
  <si>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</si>
  <si>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53519</t>
  </si>
  <si>
    <t>SUTURA ČERSTVÉHO PORANĚNÍ VAZIVOVÉHO APARÁTU V OBL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</si>
  <si>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</si>
  <si>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</si>
  <si>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</si>
  <si>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</si>
  <si>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</si>
  <si>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</si>
  <si>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</si>
  <si>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</si>
  <si>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53457</t>
  </si>
  <si>
    <t>ZLOMENINY DOLNÍHO KONCE BÉRCE A HLEZNA S NITROKLOU</t>
  </si>
  <si>
    <t>51861</t>
  </si>
  <si>
    <t>CIRKULÁRNÍ SÁDROVÝ OBVAZ - NOHA, BÉREC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</si>
  <si>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</si>
  <si>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</si>
  <si>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</si>
  <si>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</si>
  <si>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</si>
  <si>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</si>
  <si>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</si>
  <si>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</si>
  <si>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</si>
  <si>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</si>
  <si>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</si>
  <si>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</si>
  <si>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</si>
  <si>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</si>
  <si>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53257</t>
  </si>
  <si>
    <t xml:space="preserve">OTEVŘENÁ REPOZICE A OSTEOSYNTÉZA ZLOMENINY KLÍČNÍ </t>
  </si>
  <si>
    <t>53467</t>
  </si>
  <si>
    <t>ZLOMENINY TIBIÁLNÍHO NEBO FIBULÁRNÍHO PLATEAU TIBI</t>
  </si>
  <si>
    <t>53485</t>
  </si>
  <si>
    <t>ZLOMENINY PÁNEVNÍHO KRUHU - NESTABILNÍ - S OPERAČN</t>
  </si>
  <si>
    <t>62640</t>
  </si>
  <si>
    <t>ODBĚR DERMOEPIDERMÁLNÍHO ŠTĚPU: 1 - 5 % Z PLOCHY P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</si>
  <si>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</si>
  <si>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</si>
  <si>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</si>
  <si>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</si>
  <si>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</si>
  <si>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</si>
  <si>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53451</t>
  </si>
  <si>
    <t>OTEVŘENÁ REPOZICE ZLOMENINY NEBO LUXACE JEDNOHO ME</t>
  </si>
  <si>
    <t>62440</t>
  </si>
  <si>
    <t>ŠTĚP PŘI POPÁLENÍ (A OSTATNÍCH KOŽNÍCH ZTRÁTÁCH) D</t>
  </si>
  <si>
    <t>66921</t>
  </si>
  <si>
    <t>EXKOCHLEACE A SPONGIOPLASTIKA</t>
  </si>
  <si>
    <t>53417</t>
  </si>
  <si>
    <t>53511</t>
  </si>
  <si>
    <t>SUTURA ŠLACHY EXTENZORU - MIMO RUKU A ZÁPĚSTÍ A KO</t>
  </si>
  <si>
    <t>53455</t>
  </si>
  <si>
    <t>OTEVŘENÁ REPOZICE ZLOMENINY KOSTI PATNÍ</t>
  </si>
  <si>
    <t>66415</t>
  </si>
  <si>
    <t>AMPUTACE - RUKA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</si>
  <si>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</si>
  <si>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</si>
  <si>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</si>
  <si>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</si>
  <si>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</si>
  <si>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</si>
  <si>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</si>
  <si>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</si>
  <si>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</si>
  <si>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</si>
  <si>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</si>
  <si>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</si>
  <si>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</si>
  <si>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</si>
  <si>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</si>
  <si>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</si>
  <si>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</si>
  <si>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</si>
  <si>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</si>
  <si>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</si>
  <si>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</si>
  <si>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</si>
  <si>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</si>
  <si>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</si>
  <si>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</si>
  <si>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</si>
  <si>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</si>
  <si>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</si>
  <si>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</si>
  <si>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</si>
  <si>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</si>
  <si>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56145</t>
  </si>
  <si>
    <t>OŠETŘENÍ JEDNODUCHÉ - VPÁČENÉ ZLOMENINY LEBKY</t>
  </si>
  <si>
    <t>56177</t>
  </si>
  <si>
    <t xml:space="preserve"> KRANIOTOMIE A RESEKCE, PŘÍPADNĚ LOBEKTOMIE PRO TU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</si>
  <si>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</si>
  <si>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</si>
  <si>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</si>
  <si>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</si>
  <si>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</si>
  <si>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</si>
  <si>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</si>
  <si>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</si>
  <si>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1</t>
  </si>
  <si>
    <t>0003708</t>
  </si>
  <si>
    <t>ZYVOXID 2 MG/ML INFUZNÍ ROZTOK</t>
  </si>
  <si>
    <t>0003952</t>
  </si>
  <si>
    <t>0004234</t>
  </si>
  <si>
    <t>DALACIN C</t>
  </si>
  <si>
    <t>0005113</t>
  </si>
  <si>
    <t>TARGOCID 400 MG</t>
  </si>
  <si>
    <t>0006480</t>
  </si>
  <si>
    <t>OCPLEX</t>
  </si>
  <si>
    <t>0008807</t>
  </si>
  <si>
    <t>0008808</t>
  </si>
  <si>
    <t>0011592</t>
  </si>
  <si>
    <t>METRONIDAZOL B. BRAUN 5 MG/ML</t>
  </si>
  <si>
    <t>0011785</t>
  </si>
  <si>
    <t>AMIKIN 1 G</t>
  </si>
  <si>
    <t>0016547</t>
  </si>
  <si>
    <t>0016600</t>
  </si>
  <si>
    <t>0017041</t>
  </si>
  <si>
    <t>0020605</t>
  </si>
  <si>
    <t>0025746</t>
  </si>
  <si>
    <t>INVANZ 1 G</t>
  </si>
  <si>
    <t>0026042</t>
  </si>
  <si>
    <t>KIOVIG 100 MG/ML</t>
  </si>
  <si>
    <t>0026127</t>
  </si>
  <si>
    <t>0026902</t>
  </si>
  <si>
    <t>0029979</t>
  </si>
  <si>
    <t>FLEBOGAMMA DIF 50 MG/ML</t>
  </si>
  <si>
    <t>0029980</t>
  </si>
  <si>
    <t>0045123</t>
  </si>
  <si>
    <t>VISIPAQUE 320 MG I/ML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</si>
  <si>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</si>
  <si>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</si>
  <si>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</si>
  <si>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</si>
  <si>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</si>
  <si>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</si>
  <si>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0065989</t>
  </si>
  <si>
    <t>MYCOMAX INF</t>
  </si>
  <si>
    <t>0066137</t>
  </si>
  <si>
    <t>0072972</t>
  </si>
  <si>
    <t>0072973</t>
  </si>
  <si>
    <t>0075634</t>
  </si>
  <si>
    <t>PROTHROMPLEX TOTAL NF</t>
  </si>
  <si>
    <t>0076354</t>
  </si>
  <si>
    <t>FORTUM 2 G</t>
  </si>
  <si>
    <t>0076360</t>
  </si>
  <si>
    <t>ZINACEF 1,5 G</t>
  </si>
  <si>
    <t>0077018</t>
  </si>
  <si>
    <t>ULTRAVIST 370</t>
  </si>
  <si>
    <t>0077044</t>
  </si>
  <si>
    <t>ZINACEF 750 MG</t>
  </si>
  <si>
    <t>0083050</t>
  </si>
  <si>
    <t>0083417</t>
  </si>
  <si>
    <t>MERONEM 1 G</t>
  </si>
  <si>
    <t>0083487</t>
  </si>
  <si>
    <t>MERONEM 500 MG</t>
  </si>
  <si>
    <t>0087199</t>
  </si>
  <si>
    <t>MAXIPIME 1 G</t>
  </si>
  <si>
    <t>0087239</t>
  </si>
  <si>
    <t>FANHDI 50 I.U./ML</t>
  </si>
  <si>
    <t>0087240</t>
  </si>
  <si>
    <t>FANHDI 100 I.U./ML</t>
  </si>
  <si>
    <t>0089028</t>
  </si>
  <si>
    <t>IMMUNATE STIM PLUS 500</t>
  </si>
  <si>
    <t>0090099</t>
  </si>
  <si>
    <t>FACTOR VII BAXTER 600 IU</t>
  </si>
  <si>
    <t>0091148</t>
  </si>
  <si>
    <t>0091731</t>
  </si>
  <si>
    <t>0092289</t>
  </si>
  <si>
    <t>EDICIN 0,5 G</t>
  </si>
  <si>
    <t>0092290</t>
  </si>
  <si>
    <t>EDICIN 1 G</t>
  </si>
  <si>
    <t>0094155</t>
  </si>
  <si>
    <t>0094176</t>
  </si>
  <si>
    <t>0096414</t>
  </si>
  <si>
    <t>0097000</t>
  </si>
  <si>
    <t>METRONIDAZOLE 0.5%-POLPHARMA</t>
  </si>
  <si>
    <t>0097910</t>
  </si>
  <si>
    <t>HUMAN ALBUMIN GRIFOLS 20%</t>
  </si>
  <si>
    <t>0112782</t>
  </si>
  <si>
    <t>GENTAMICIN B.BRAUN 3 MG/ML INFUZNÍ ROZTOK</t>
  </si>
  <si>
    <t>0112786</t>
  </si>
  <si>
    <t>GENTAMICIN B.BRAUN 1 MG/ML INFUZNÍ ROZTOK</t>
  </si>
  <si>
    <t>0129767</t>
  </si>
  <si>
    <t>IMIPENEM/CILASTATIN KABI 500 MG/500 MG</t>
  </si>
  <si>
    <t>0131654</t>
  </si>
  <si>
    <t>CEFTAZIDIM KABI 1 G</t>
  </si>
  <si>
    <t>0131656</t>
  </si>
  <si>
    <t>CEFTAZIDIM KABI 2 G</t>
  </si>
  <si>
    <t>0137484</t>
  </si>
  <si>
    <t>ANBINEX</t>
  </si>
  <si>
    <t>0142077</t>
  </si>
  <si>
    <t>0144328</t>
  </si>
  <si>
    <t>GARAMYCIN SCHWAMM</t>
  </si>
  <si>
    <t>0151458</t>
  </si>
  <si>
    <t>0155939</t>
  </si>
  <si>
    <t>0162180</t>
  </si>
  <si>
    <t>0162187</t>
  </si>
  <si>
    <t>0162809</t>
  </si>
  <si>
    <t>AVELOX 400 MG/250 ML INFUZNÍ ROZTOK</t>
  </si>
  <si>
    <t>0164350</t>
  </si>
  <si>
    <t>TAZOCIN 4 G/0,5 G</t>
  </si>
  <si>
    <t>0164401</t>
  </si>
  <si>
    <t>0166269</t>
  </si>
  <si>
    <t>0500570</t>
  </si>
  <si>
    <t>0500720</t>
  </si>
  <si>
    <t>ATENATIV</t>
  </si>
  <si>
    <t>0164407</t>
  </si>
  <si>
    <t>0198192</t>
  </si>
  <si>
    <t>SEFOTAK 1 G</t>
  </si>
  <si>
    <t>0129057</t>
  </si>
  <si>
    <t>0136083</t>
  </si>
  <si>
    <t>0137483</t>
  </si>
  <si>
    <t>0162496</t>
  </si>
  <si>
    <t>TAZIP 4 G/0,5 G</t>
  </si>
  <si>
    <t>0027431</t>
  </si>
  <si>
    <t>CANCIDAS 70 MG</t>
  </si>
  <si>
    <t>0134595</t>
  </si>
  <si>
    <t>MEDOCLAV 1000 MG/200 MG</t>
  </si>
  <si>
    <t>0113453</t>
  </si>
  <si>
    <t>0149384</t>
  </si>
  <si>
    <t>0156835</t>
  </si>
  <si>
    <t>MEROPENEM KABI 1 G</t>
  </si>
  <si>
    <t>0151460</t>
  </si>
  <si>
    <t>CEFUROXIM KABI 750 MG</t>
  </si>
  <si>
    <t>0129834</t>
  </si>
  <si>
    <t>CLINDAMYCIN KABI 150 MG/ML</t>
  </si>
  <si>
    <t>0129836</t>
  </si>
  <si>
    <t>0147977</t>
  </si>
  <si>
    <t>MEROPENEM HOSPIRA 1 G</t>
  </si>
  <si>
    <t>0192353</t>
  </si>
  <si>
    <t>FLEXBUMIN 200 G/L</t>
  </si>
  <si>
    <t>0166265</t>
  </si>
  <si>
    <t>0049128</t>
  </si>
  <si>
    <t>0183926</t>
  </si>
  <si>
    <t>0202911</t>
  </si>
  <si>
    <t>0064630</t>
  </si>
  <si>
    <t>KLIMICIN</t>
  </si>
  <si>
    <t>0029449</t>
  </si>
  <si>
    <t>NOVOSEVEN 2 MG (100KIU)</t>
  </si>
  <si>
    <t>0195147</t>
  </si>
  <si>
    <t>0183817</t>
  </si>
  <si>
    <t>0201967</t>
  </si>
  <si>
    <t>0155862</t>
  </si>
  <si>
    <t>SUMAMED 500 MG INFUZE</t>
  </si>
  <si>
    <t>0201954</t>
  </si>
  <si>
    <t>0196852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</si>
  <si>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</si>
  <si>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</si>
  <si>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</si>
  <si>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</si>
  <si>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</si>
  <si>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</si>
  <si>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</si>
  <si>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</si>
  <si>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</si>
  <si>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</si>
  <si>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0107931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</si>
  <si>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</si>
  <si>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</si>
  <si>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</si>
  <si>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</si>
  <si>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</si>
  <si>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</si>
  <si>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0307934</t>
  </si>
  <si>
    <t>Granulocyty z aferézy</t>
  </si>
  <si>
    <t>0407942</t>
  </si>
  <si>
    <t>Příplatek za ozáření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</si>
  <si>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</si>
  <si>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</si>
  <si>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</si>
  <si>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</si>
  <si>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</si>
  <si>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</si>
  <si>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</si>
  <si>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0001699</t>
  </si>
  <si>
    <t>DRÁT CERKLÁŽNÍ OCEL</t>
  </si>
  <si>
    <t>0001719</t>
  </si>
  <si>
    <t>0001739</t>
  </si>
  <si>
    <t>DRÁT KIRSCHNERŮV OCEL</t>
  </si>
  <si>
    <t>0001740</t>
  </si>
  <si>
    <t>0002264</t>
  </si>
  <si>
    <t>0002370</t>
  </si>
  <si>
    <t>FIXÁTOR ZEVNÍ TRUBKOVÝ, SYNTHES</t>
  </si>
  <si>
    <t>0002425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</si>
  <si>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</si>
  <si>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</si>
  <si>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</si>
  <si>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</si>
  <si>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</si>
  <si>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</si>
  <si>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</si>
  <si>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</si>
  <si>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</si>
  <si>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</si>
  <si>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</si>
  <si>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</si>
  <si>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</si>
  <si>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</si>
  <si>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</si>
  <si>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</si>
  <si>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</si>
  <si>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</si>
  <si>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</si>
  <si>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</si>
  <si>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</si>
  <si>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</si>
  <si>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</si>
  <si>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</si>
  <si>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</si>
  <si>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</si>
  <si>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0012979</t>
  </si>
  <si>
    <t>STAPLER CIRKULÁRNÍ ZAHNUTÝ - CDH</t>
  </si>
  <si>
    <t>0012996</t>
  </si>
  <si>
    <t>ZÁSOBNÍK PRO STAPLER LINEÁRNÍ S NOŽEM - TCR,TVR,TR</t>
  </si>
  <si>
    <t>0012999</t>
  </si>
  <si>
    <t>STAPLER LINEÁRNÍ S NOŽEM - TCT55; TLC55</t>
  </si>
  <si>
    <t>0013002</t>
  </si>
  <si>
    <t>STAPLER LINEÁRNÍ - TL60; TLH60</t>
  </si>
  <si>
    <t>0013004</t>
  </si>
  <si>
    <t>STAPLER LINEÁRNÍ - TX60B; TX60G</t>
  </si>
  <si>
    <t>STAPLER LINEÁRNÍ - TX60B; TX60G (S PZT 0053770)</t>
  </si>
  <si>
    <t>0013009</t>
  </si>
  <si>
    <t>ZÁSOBNÍK PRO STAPLER LINEÁRNÍ S NOŽEM - TCR75,TRT7</t>
  </si>
  <si>
    <t>0013010</t>
  </si>
  <si>
    <t>STAPLER LINEÁRNÍ S NOŽEM - TCT75; TLC75; TCD75</t>
  </si>
  <si>
    <t>0017333</t>
  </si>
  <si>
    <t>DLAHA MALÝ FRAGMENT OCEL</t>
  </si>
  <si>
    <t>0017413</t>
  </si>
  <si>
    <t>ŠROUB SPONGIOZNÍ MALÝ FRAGMENT OCEL</t>
  </si>
  <si>
    <t>0017422</t>
  </si>
  <si>
    <t>ŠROUB KORTIKÁLNÍ VELKÝ FRAGMENT OCEL</t>
  </si>
  <si>
    <t>0017424</t>
  </si>
  <si>
    <t>0017486</t>
  </si>
  <si>
    <t>ŠROUB VELKÝ FRAGMENT MALEOLÁRNÍ OCEL</t>
  </si>
  <si>
    <t>0017735</t>
  </si>
  <si>
    <t>0017743</t>
  </si>
  <si>
    <t>0017745</t>
  </si>
  <si>
    <t>0017746</t>
  </si>
  <si>
    <t>0017751</t>
  </si>
  <si>
    <t>0024855</t>
  </si>
  <si>
    <t>ZASLEPOVACÍ HLAVA FEMUR TITAN</t>
  </si>
  <si>
    <t>0024889</t>
  </si>
  <si>
    <t>HŘEB FEMUR TITAN</t>
  </si>
  <si>
    <t>0027737</t>
  </si>
  <si>
    <t>DLAHA LCP ROVNÁ MALÝ FRAGMENT OCEL</t>
  </si>
  <si>
    <t>0027807</t>
  </si>
  <si>
    <t>DLAHA ROVNÁ LCP REKONSTRUKČNÍ MALÝ FRAGMENT OCEL</t>
  </si>
  <si>
    <t>0027816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</si>
  <si>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</si>
  <si>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</si>
  <si>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</si>
  <si>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</si>
  <si>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</si>
  <si>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</si>
  <si>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</si>
  <si>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</si>
  <si>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</si>
  <si>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</si>
  <si>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</si>
  <si>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</si>
  <si>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</si>
  <si>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0030494</t>
  </si>
  <si>
    <t>ŠROUB LCP SAMOŘEZNÝ VELKÝ FRAGMENT TITAN</t>
  </si>
  <si>
    <t>0030501</t>
  </si>
  <si>
    <t>0030509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</si>
  <si>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</si>
  <si>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</si>
  <si>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</si>
  <si>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</si>
  <si>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0030617</t>
  </si>
  <si>
    <t>STAPLER KOŽNÍ ROYAL - 35W</t>
  </si>
  <si>
    <t>0030647</t>
  </si>
  <si>
    <t>SÍŤKA SURGIPRO MESH</t>
  </si>
  <si>
    <t>0030705</t>
  </si>
  <si>
    <t>0030724</t>
  </si>
  <si>
    <t>DLAHA LCP PATNÍ OCEL MALÝ FRAGMENT TITAN</t>
  </si>
  <si>
    <t>0031337</t>
  </si>
  <si>
    <t>0031437</t>
  </si>
  <si>
    <t>DLAHA LCP A VA-LCP HUMERUS DISTÁLNÍ MALÝ FRAGMENT</t>
  </si>
  <si>
    <t>0031469</t>
  </si>
  <si>
    <t>DLAHA LCP TIBIE PROXIMÁLNÍ OCEL MALÝ FRAGMENT TITA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</si>
  <si>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</si>
  <si>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</si>
  <si>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</si>
  <si>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</si>
  <si>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</si>
  <si>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</si>
  <si>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</si>
  <si>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</si>
  <si>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</si>
  <si>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0037145</t>
  </si>
  <si>
    <t>PROTÉZA GORE-TEX CÉVNÍ - PRUŽNÁ TENKOSTĚNNÁ</t>
  </si>
  <si>
    <t>0037174</t>
  </si>
  <si>
    <t>PROTÉZA GORE-TEX CÉVNÍ - PRUŽNÁ TENK.S ODSTR.KROUŽ</t>
  </si>
  <si>
    <t>0037180</t>
  </si>
  <si>
    <t>0046612</t>
  </si>
  <si>
    <t>DRÁT VODÍCÍ LUNDERQUIST RE-420780..180..380</t>
  </si>
  <si>
    <t>0046892</t>
  </si>
  <si>
    <t>PROTÉZA CÉVNÍ GELSOFT PLUS DÉLKA 40 CM</t>
  </si>
  <si>
    <t>0046894</t>
  </si>
  <si>
    <t>PROTÉZA CÉVNÍ GELSOFT PLUS DÉLKA 30/25 CM</t>
  </si>
  <si>
    <t>0046898</t>
  </si>
  <si>
    <t>PROTÉZA CÉVNÍ BIF.GELSOFT PLUS DÉLKA 45CM</t>
  </si>
  <si>
    <t>0048989</t>
  </si>
  <si>
    <t>ELEKTRODA KOAGULAČNÍ JEDNORÁZOVÁ GN211</t>
  </si>
  <si>
    <t>0049489</t>
  </si>
  <si>
    <t>ZÁSOBNÍK PRO ENDOSTAPLER - ECHELON ENDOPATH 45/60;</t>
  </si>
  <si>
    <t>0051334</t>
  </si>
  <si>
    <t>KATETR URETERÁLNÍ,POLLACK,FLEXI-TIP U-021305</t>
  </si>
  <si>
    <t>0051607</t>
  </si>
  <si>
    <t>SADA GASTROSTOMICKÁ - PEG</t>
  </si>
  <si>
    <t>0052143</t>
  </si>
  <si>
    <t>EXTRAKTOR - AMPLATZ GOOSE NECK GNXXXX - PERIFERNÍ,</t>
  </si>
  <si>
    <t>0052832</t>
  </si>
  <si>
    <t>STENT PERIFERNÍ URETERÁLNÍ OPTIPUR,POLYURETAN</t>
  </si>
  <si>
    <t>0053772</t>
  </si>
  <si>
    <t>STAPLER LINEÁRNÍ S NOŽEM - TCT10; TLC10</t>
  </si>
  <si>
    <t>0053774</t>
  </si>
  <si>
    <t>ZÁSOBNÍK PRO STAPLER LINEÁRNÍ S NOŽEM - TRT10,TCR1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</si>
  <si>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</si>
  <si>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</si>
  <si>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</si>
  <si>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</si>
  <si>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</si>
  <si>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</si>
  <si>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0056288</t>
  </si>
  <si>
    <t>KATETR BALONKOVÝ FOGARTY 120403F</t>
  </si>
  <si>
    <t>0056289</t>
  </si>
  <si>
    <t>KATETR BALONKOVÝ FOGARTY 120803F</t>
  </si>
  <si>
    <t>0056290</t>
  </si>
  <si>
    <t>KATETR BALONKOVÝ FOGARTY 120404F</t>
  </si>
  <si>
    <t>0056291</t>
  </si>
  <si>
    <t>KATETR BALONKOVÝ FOGARTY 120804F</t>
  </si>
  <si>
    <t>0056292</t>
  </si>
  <si>
    <t>KATETR BALONKOVÝ FOGARTY 120805F</t>
  </si>
  <si>
    <t>0056293</t>
  </si>
  <si>
    <t>KATETR BALONKOVÝ FOGARTY 120806F</t>
  </si>
  <si>
    <t>0056301</t>
  </si>
  <si>
    <t>KATETR BALONKOVÝ FOGARTY TRU-LUMEN 12TLW805F</t>
  </si>
  <si>
    <t>0056302</t>
  </si>
  <si>
    <t>KATETR BALONKOVÝ FOGARTY TRU-LUMEN 12TLW806F</t>
  </si>
  <si>
    <t>0056311</t>
  </si>
  <si>
    <t>KATETR FOGARTY 1408010</t>
  </si>
  <si>
    <t>0056490</t>
  </si>
  <si>
    <t>STAPLER CIRKULÁRNÍ - EEA</t>
  </si>
  <si>
    <t>0057937</t>
  </si>
  <si>
    <t>ZÁPLATA KARDIOVASKULÁRNÍ GORE-TEX 0,5MM</t>
  </si>
  <si>
    <t>0058371</t>
  </si>
  <si>
    <t>CHOLECYSTEKTOMIE PROSTÁ DRG 90818</t>
  </si>
  <si>
    <t>0058756</t>
  </si>
  <si>
    <t>VODIČ DRÁTĚNÝ ROADRUNNER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</si>
  <si>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</si>
  <si>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</si>
  <si>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</si>
  <si>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</si>
  <si>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</si>
  <si>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</si>
  <si>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</si>
  <si>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</si>
  <si>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</si>
  <si>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0067891</t>
  </si>
  <si>
    <t>IMPLANTÁT SPINÁL.NÁHRADA MEZIOBRATLOVÁ FUSION    K</t>
  </si>
  <si>
    <t>0068666</t>
  </si>
  <si>
    <t>IMPLANTÁT SPINÁLNÍ SYSTÉM VECTRA                 K</t>
  </si>
  <si>
    <t>0068670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</si>
  <si>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</si>
  <si>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</si>
  <si>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</si>
  <si>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</si>
  <si>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</si>
  <si>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0069500</t>
  </si>
  <si>
    <t>KANYLA TRACHEOSTOMICKÁ  S NÍZKOTLAKOU  MANŽETOU</t>
  </si>
  <si>
    <t>0070875</t>
  </si>
  <si>
    <t>ČEP SAMOŘEZNÝ JISTÍCÍ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</si>
  <si>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</si>
  <si>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</si>
  <si>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</si>
  <si>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</si>
  <si>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</si>
  <si>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</si>
  <si>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0071596</t>
  </si>
  <si>
    <t>FIXÁTOR HYBRIDNÍ KRUHOVÝ</t>
  </si>
  <si>
    <t>0071602</t>
  </si>
  <si>
    <t>0073660</t>
  </si>
  <si>
    <t>0073679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</si>
  <si>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</si>
  <si>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</si>
  <si>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</si>
  <si>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</si>
  <si>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</si>
  <si>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</si>
  <si>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</si>
  <si>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</si>
  <si>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</si>
  <si>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</si>
  <si>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</si>
  <si>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</si>
  <si>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</si>
  <si>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</si>
  <si>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</si>
  <si>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</si>
  <si>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</si>
  <si>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</si>
  <si>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</si>
  <si>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</si>
  <si>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</si>
  <si>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</si>
  <si>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0082079</t>
  </si>
  <si>
    <t>KRYTÍ COM 30 OBVAZOVÁ TEXTÍLIE KOMBINOVANÁ</t>
  </si>
  <si>
    <t>0082153</t>
  </si>
  <si>
    <t>NPWT-FÓLIE KRYCÍ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</si>
  <si>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</si>
  <si>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</si>
  <si>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</si>
  <si>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</si>
  <si>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</si>
  <si>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</si>
  <si>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</si>
  <si>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0083241</t>
  </si>
  <si>
    <t>DLAHA LCP A VA-LCP OLEKRANON MALÝ FRAGMENT OCEL TI</t>
  </si>
  <si>
    <t>0092078</t>
  </si>
  <si>
    <t>STAPLER LINEÁRNÍ S NOŽEM - CONTOUR; ZAHNUTÝ, NÍZKÁ</t>
  </si>
  <si>
    <t>0092079</t>
  </si>
  <si>
    <t>ZÁSOBNÍK PRO LINEÁRNÍ STAPLER - CR40B,CR40G (PRO P</t>
  </si>
  <si>
    <t>0095661</t>
  </si>
  <si>
    <t>SYSTÉM ZEVNÍ DRENÁŽNÍ LIKVOROVÝ DOČASNÝ CODMAN</t>
  </si>
  <si>
    <t>0095664</t>
  </si>
  <si>
    <t>0096309</t>
  </si>
  <si>
    <t xml:space="preserve">IMPLANTÁT SPINÁLNÍ SYSTÉM EXPEDIUM                </t>
  </si>
  <si>
    <t>0097790</t>
  </si>
  <si>
    <t>DLAHA LCP HUMERUS DISTÁLNÍ MALÝ FRAGMENT TITAN</t>
  </si>
  <si>
    <t>0097804</t>
  </si>
  <si>
    <t>0097808</t>
  </si>
  <si>
    <t>ŠROUB LCP SAMOŘEZNÝ MALÝ FRAGMNET TITAN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</si>
  <si>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</si>
  <si>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</si>
  <si>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</si>
  <si>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</si>
  <si>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</si>
  <si>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</si>
  <si>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</si>
  <si>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</si>
  <si>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</si>
  <si>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</si>
  <si>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</si>
  <si>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</si>
  <si>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</si>
  <si>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</si>
  <si>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</si>
  <si>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</si>
  <si>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</si>
  <si>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</si>
  <si>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</si>
  <si>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</si>
  <si>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</si>
  <si>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</si>
  <si>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</si>
  <si>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</si>
  <si>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0108764</t>
  </si>
  <si>
    <t>DLAHA LCP FIBULA DISTÁLNÍ MALÝ FRAGMENT OCEL TITAN</t>
  </si>
  <si>
    <t>0111881</t>
  </si>
  <si>
    <t>CEMENT KOSTNÍ CEMEX GENTA HIGH VISKOSITY S GENTAMI</t>
  </si>
  <si>
    <t>0111983</t>
  </si>
  <si>
    <t>ŠROUB KOMPRESNÍ HBS2 TI T-DRIVE</t>
  </si>
  <si>
    <t>0112074</t>
  </si>
  <si>
    <t>CEMENT KOSTNÍ VANCOGENX VANCOMYCIN+GENTAMICIN 1X40</t>
  </si>
  <si>
    <t>0112607</t>
  </si>
  <si>
    <t>SPACER K;TEMPORERNÍ REVIZNÍ NÁHRADA KOLENNÍHO KLOU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</si>
  <si>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</si>
  <si>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</si>
  <si>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</si>
  <si>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</si>
  <si>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</si>
  <si>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</si>
  <si>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</si>
  <si>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</si>
  <si>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</si>
  <si>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</si>
  <si>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</si>
  <si>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</si>
  <si>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</si>
  <si>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0163292</t>
  </si>
  <si>
    <t>0013054</t>
  </si>
  <si>
    <t>STAPLER KOŽNÍ, 35 NEREZ.OCEL. NÁPLNÍ PMW35,PMR35</t>
  </si>
  <si>
    <t>0048555</t>
  </si>
  <si>
    <t>SÍŤKA BIODEGRADABILNÍ ČTYŘVRSTEVNÁ SURGISIS</t>
  </si>
  <si>
    <t>0008239</t>
  </si>
  <si>
    <t>FIXÁTOR ZEVNÍ ZÁPĚSTÍ TYP PENNIG    35001</t>
  </si>
  <si>
    <t>0031490</t>
  </si>
  <si>
    <t>DLAHA LCP TIBIE PROXIMÁLNÍ VELKÝ FRAGMENT OCEL TIT</t>
  </si>
  <si>
    <t>0062220</t>
  </si>
  <si>
    <t>SÍŤKA VICRYLOVÁ VM96</t>
  </si>
  <si>
    <t>0097835</t>
  </si>
  <si>
    <t>0099483</t>
  </si>
  <si>
    <t>ŠROUB KONDYLÁRNÍ PR. 5MM, TI</t>
  </si>
  <si>
    <t>0081995</t>
  </si>
  <si>
    <t>NPWT-RENASYS EZ SBĚRNÁ NÁDOBA VELKÁ</t>
  </si>
  <si>
    <t>0017747</t>
  </si>
  <si>
    <t>0046895</t>
  </si>
  <si>
    <t>PROTÉZA CÉVNÍ GELSOFT PLUS DÉLKA 25 CM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</si>
  <si>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</si>
  <si>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</si>
  <si>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</si>
  <si>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</si>
  <si>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</si>
  <si>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</si>
  <si>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0056296</t>
  </si>
  <si>
    <t>KATETR BALONKOVÝ FOGARTY TRU-LUMEN 12TLW404F</t>
  </si>
  <si>
    <t>0083883</t>
  </si>
  <si>
    <t>HŘEB PRO RADIUS / ULNU, TITANOVÝ</t>
  </si>
  <si>
    <t>0082142</t>
  </si>
  <si>
    <t>NPWT-RENASYS F PŘEVAZOVÝ SET STŘEDNÍ M</t>
  </si>
  <si>
    <t>0099077</t>
  </si>
  <si>
    <t>HŘEB FEMORÁLNÍ PROXIMÁLNÍ DLOUHÝ L/R, TI</t>
  </si>
  <si>
    <t>0083256</t>
  </si>
  <si>
    <t>DLAHA LCP TIBIE PROXIMÁLNÍ MALÝ FRAGMENT OCEL TITA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</si>
  <si>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</si>
  <si>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</si>
  <si>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</si>
  <si>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</si>
  <si>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</si>
  <si>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</si>
  <si>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</si>
  <si>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SVOREK PROXIMATE</t>
  </si>
  <si>
    <t>EXTRAKTOR KOŽNÍCH SVOREK - PROXIMATE</t>
  </si>
  <si>
    <t>0019159</t>
  </si>
  <si>
    <t>DLAHA PRO ŽEBRA</t>
  </si>
  <si>
    <t>0073264</t>
  </si>
  <si>
    <t>K-DRÁT MEDIN</t>
  </si>
  <si>
    <t>0056393</t>
  </si>
  <si>
    <t>ZAVADĚČ CHECK-FLO III MIKROPUNKČNÍ BEZ VODIČE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</si>
  <si>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</si>
  <si>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</si>
  <si>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</si>
  <si>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</si>
  <si>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</si>
  <si>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</si>
  <si>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0002263</t>
  </si>
  <si>
    <t>FIXÁTOR ZEVNÍ TUBULÁRNÍ,SYNTHES</t>
  </si>
  <si>
    <t>0107930</t>
  </si>
  <si>
    <t>ŠROUB CHARLOTTE FIXACE NOHY</t>
  </si>
  <si>
    <t>0097742</t>
  </si>
  <si>
    <t>DLAHA LCP HUMERUS PROXIMÁLNÍ MALÝ FRAGMENT OCEL</t>
  </si>
  <si>
    <t>0152127</t>
  </si>
  <si>
    <t>STAPLER LINEÁRNÍ S NOŽEM - LC6045 (PRO PZT 0152133</t>
  </si>
  <si>
    <t>0049483</t>
  </si>
  <si>
    <t>SPO2 SENSOR PRO NEDONOŠENÉ NOVOROZENCE&lt;1KG</t>
  </si>
  <si>
    <t>0163267</t>
  </si>
  <si>
    <t>0107767</t>
  </si>
  <si>
    <t>K-DRÁT 150X09MM</t>
  </si>
  <si>
    <t>0060617</t>
  </si>
  <si>
    <t>IMPLANTÁT KRANIOMAXILLOFACIÁLNÍ TI</t>
  </si>
  <si>
    <t>00651</t>
  </si>
  <si>
    <t>OD TYPU 51 - PRO NEMOCNICE TYPU 3, (KATEGORIE 6) -</t>
  </si>
  <si>
    <t>00655</t>
  </si>
  <si>
    <t>OD TYPU 55 - PRO NEMOCNICE TYPU 3, (KATEGORIE 6) -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</si>
  <si>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</si>
  <si>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</si>
  <si>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</si>
  <si>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</si>
  <si>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</si>
  <si>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</si>
  <si>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</si>
  <si>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</si>
  <si>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</si>
  <si>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</si>
  <si>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</si>
  <si>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</si>
  <si>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</si>
  <si>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</si>
  <si>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</si>
  <si>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</si>
  <si>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</si>
  <si>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</si>
  <si>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</si>
  <si>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</si>
  <si>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</si>
  <si>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09225</t>
  </si>
  <si>
    <t>KANYLACE CENTRÁLNÍ ŽÍLY ZA KONTROLY CELKOVÉHO STAV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</si>
  <si>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</si>
  <si>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</si>
  <si>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</si>
  <si>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</si>
  <si>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</si>
  <si>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</si>
  <si>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</si>
  <si>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</si>
  <si>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</si>
  <si>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</si>
  <si>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</si>
  <si>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</si>
  <si>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</si>
  <si>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</si>
  <si>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</si>
  <si>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</si>
  <si>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</si>
  <si>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</si>
  <si>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78320</t>
  </si>
  <si>
    <t>90905</t>
  </si>
  <si>
    <t>6F1</t>
  </si>
  <si>
    <t>56413</t>
  </si>
  <si>
    <t>MIKROCHIRURGICKÁ SUTURA NERVU PŘÍMÁ BEZ AUTOTRANSP</t>
  </si>
  <si>
    <t>61137</t>
  </si>
  <si>
    <t>ODBĚR FASCIÁLNÍHO ŠTĚPU Z FASCIA LATA</t>
  </si>
  <si>
    <t>61143</t>
  </si>
  <si>
    <t>ODBĚR CÉVNÍHO ŠTĚPU MALÉHO KALIBRU (PRO MIKROCHIRU</t>
  </si>
  <si>
    <t>61147</t>
  </si>
  <si>
    <t>UZAVŘENÍ DEFEKTU KOŽNÍM LALOKEM MÍSTNÍM DO 10 CM^2</t>
  </si>
  <si>
    <t>61247</t>
  </si>
  <si>
    <t>OPERACE KARPÁLNÍHO TUNELU</t>
  </si>
  <si>
    <t>71823</t>
  </si>
  <si>
    <t>POUŽITÍ MIKROSKOPU PŘI OPERAČNÍM VÝKONU Á 10 MINUT</t>
  </si>
  <si>
    <t>09233</t>
  </si>
  <si>
    <t>INJEKČNÍ OKRSKOVÁ ANESTÉZIE</t>
  </si>
  <si>
    <t>61115</t>
  </si>
  <si>
    <t xml:space="preserve">REVIZE, EXCIZE A SUTURA PORANĚNÍ KŮŽE A PODKOŽÍ A </t>
  </si>
  <si>
    <t>62710</t>
  </si>
  <si>
    <t>SÍŤOVÁNÍ (MESHOVÁNÍ) ŠTĚPU DO ROZSAHU 5 % Z POVRCH</t>
  </si>
  <si>
    <t>61151</t>
  </si>
  <si>
    <t>UZAVŘENÍ DEFEKTU KOŽNÍM LALOKEM MÍSTNÍM NAD 20 CM^</t>
  </si>
  <si>
    <t>61165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</si>
  <si>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</si>
  <si>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</si>
  <si>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</si>
  <si>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</si>
  <si>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</si>
  <si>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</si>
  <si>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53515</t>
  </si>
  <si>
    <t>SUTURA ŠLACHY EXTENSORU RUKY A ZÁPĚSTÍ</t>
  </si>
  <si>
    <t>66411</t>
  </si>
  <si>
    <t>AMPUTACE PRSTU RUKY NEBO ČLÁNKU PRSTU - ZA PRVNÍ P</t>
  </si>
  <si>
    <t>62660</t>
  </si>
  <si>
    <t xml:space="preserve">ODBĚR DERMOEPIDERMÁLNÍHO ŠTĚPU: 5 - 10 % Z PLOCHY </t>
  </si>
  <si>
    <t>61169</t>
  </si>
  <si>
    <t>TRANSPOZICE MUSKULÁRNÍHO LALOKU</t>
  </si>
  <si>
    <t>62460</t>
  </si>
  <si>
    <t>ŠTĚP PŘI POPÁLENÍ (A OSTATNCH KOŽNÍCH ZTRÁTÁCH), 5</t>
  </si>
  <si>
    <t>62720</t>
  </si>
  <si>
    <t>SÍŤOVÁNÍ (MESHOVÁNÍ) ŠTĚPU NAD 5 % MAX. DO 20 %</t>
  </si>
  <si>
    <t>6F3</t>
  </si>
  <si>
    <t>63573</t>
  </si>
  <si>
    <t>HYSTEREKTOMIE ABDOMINÁLNÍ NEBO VAGINÁLNÍ S NEBO BE</t>
  </si>
  <si>
    <t>6F5</t>
  </si>
  <si>
    <t>04130</t>
  </si>
  <si>
    <t>ZHOTOVENÍ ORTOPANTOMOGRAMU</t>
  </si>
  <si>
    <t>04131</t>
  </si>
  <si>
    <t>VYHODNOCENÍ ORTOPANTOMOGRAMU</t>
  </si>
  <si>
    <t>04410</t>
  </si>
  <si>
    <t>INJEKČNÍ  ANESTESIE</t>
  </si>
  <si>
    <t>04700</t>
  </si>
  <si>
    <t>KONZERVATIVNÍ OŠETŘENÍ V DENTOALVEOLÁRNÍ CHIRURGII</t>
  </si>
  <si>
    <t>04801</t>
  </si>
  <si>
    <t>ZEVNÍ INCISE</t>
  </si>
  <si>
    <t>04817</t>
  </si>
  <si>
    <t>EXSTIRPACE  ODONTOGENNÍ CYSTY VĚTŠÍ NEŽ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</si>
  <si>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</si>
  <si>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</si>
  <si>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</si>
  <si>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</si>
  <si>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</si>
  <si>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</si>
  <si>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</si>
  <si>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</si>
  <si>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</si>
  <si>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</si>
  <si>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65949</t>
  </si>
  <si>
    <t>OŠETŘENÍ KOLEMČELISTNÍHO ZÁNĚTU A DRENÁŽ</t>
  </si>
  <si>
    <t>71653</t>
  </si>
  <si>
    <t>ZAVŘENÁ REPOZICE FRAKTURY KŮSTEK NOSNÍCH</t>
  </si>
  <si>
    <t>71747</t>
  </si>
  <si>
    <t>ČÁSTEČNÁ EXSTIRPACE KRČNÍCH UZLIN</t>
  </si>
  <si>
    <t>65216</t>
  </si>
  <si>
    <t>ODSTRANĚNÍ DENTÁLNÍ DRÁTĚNÉ DLAHY Z VOLNÉ RUKY - J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</si>
  <si>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</si>
  <si>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</si>
  <si>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</si>
  <si>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</si>
  <si>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</si>
  <si>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</si>
  <si>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</si>
  <si>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</si>
  <si>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</si>
  <si>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66039</t>
  </si>
  <si>
    <t>SLOŽITÁ OPERAČNÍ ARTROSKOPIE</t>
  </si>
  <si>
    <t>66623</t>
  </si>
  <si>
    <t>PROSTÁ EXTRAKCE ENDOPROTÉZY - CEMENTOVANÉ</t>
  </si>
  <si>
    <t>66919</t>
  </si>
  <si>
    <t>SEKVESTROTOMIE</t>
  </si>
  <si>
    <t>66817</t>
  </si>
  <si>
    <t>VÝPLŇ DUTINY</t>
  </si>
  <si>
    <t>66895</t>
  </si>
  <si>
    <t>OTEVŘENÁ BIOPSIE KOSTI NEBO KLOUBU</t>
  </si>
  <si>
    <t>66877</t>
  </si>
  <si>
    <t>TREPANACE A DRENÁŽ KOSTI</t>
  </si>
  <si>
    <t>7F1</t>
  </si>
  <si>
    <t>71213</t>
  </si>
  <si>
    <t>ENDOSKOPIE PARANASÁLNÍ DUTINY</t>
  </si>
  <si>
    <t>71311</t>
  </si>
  <si>
    <t>LARYNGOSKOPIE PŘÍMÁ</t>
  </si>
  <si>
    <t>71313</t>
  </si>
  <si>
    <t>NEPŘÍMÁ LARYNGOSKOPIE ZVĚTŠOVACÍ ENDOSKOPICKOU OPT</t>
  </si>
  <si>
    <t>71517</t>
  </si>
  <si>
    <t>ODSTRANĚNÍ CIZÍHO TĚLESA ZE STŘEDOUŠÍ</t>
  </si>
  <si>
    <t>71537</t>
  </si>
  <si>
    <t>MASTOIDEKTOMIE</t>
  </si>
  <si>
    <t>71751</t>
  </si>
  <si>
    <t>EXENTERACE KRČNÍCH UZLIN JEDNOSTRANNÁ</t>
  </si>
  <si>
    <t>71811</t>
  </si>
  <si>
    <t>LIGATURA A. CAROTIS EXT.</t>
  </si>
  <si>
    <t>71749</t>
  </si>
  <si>
    <t>BLOKOVÁ DISEKCE KRČNÍCH UZLIN</t>
  </si>
  <si>
    <t>76801</t>
  </si>
  <si>
    <t>POUŽITÍ TELEVIZNÍHO ŘETĚZCE PŘI ENDOSKOPICKÉM VÝKO</t>
  </si>
  <si>
    <t>71639</t>
  </si>
  <si>
    <t>ENDOSKOPICKÁ OPERACE V NOSNÍ DUTINĚ</t>
  </si>
  <si>
    <t>71315</t>
  </si>
  <si>
    <t>LARYNGOSKOPIE NEBO EPIFARYNGOSKOPIE FLEXIBILNÍ OPT</t>
  </si>
  <si>
    <t>71729</t>
  </si>
  <si>
    <t>ODSTRANĚNÍ POLYPU NEBO JINÉHO NOVOTVARU Z HRTANU N</t>
  </si>
  <si>
    <t>71559</t>
  </si>
  <si>
    <t>DEKOMPRESE LÍCNÍHO NERVU</t>
  </si>
  <si>
    <t>71734</t>
  </si>
  <si>
    <t>LARYNGEKTOMIE ČÁSTEČNÁ VERTIKÁLNÍ FRONTOLATERÁLNÍ</t>
  </si>
  <si>
    <t>7F6</t>
  </si>
  <si>
    <t>76363</t>
  </si>
  <si>
    <t xml:space="preserve">CYSTOTOMIE EV. CYSTOSTOMIE (EXTRAKCE KONKREMENTU, </t>
  </si>
  <si>
    <t>76439</t>
  </si>
  <si>
    <t>ORCHIECTOMIE JEDNOSTRANNÁ</t>
  </si>
  <si>
    <t>76449</t>
  </si>
  <si>
    <t>INCIZE A DRENÁŽ ABSCESU SKROTA, VARLETE A NADVARLE</t>
  </si>
  <si>
    <t>76459</t>
  </si>
  <si>
    <t>LIGATURA VAS DEFERENS (VAZEKTOMIE) JEDNOSTRANNÁ</t>
  </si>
  <si>
    <t>76483</t>
  </si>
  <si>
    <t>RESEKCE LEDVINY NEBO HEMINEFREKTOMIE JEDNOSTRANNÁ</t>
  </si>
  <si>
    <t>76527</t>
  </si>
  <si>
    <t>URETERORENOSKOPIE</t>
  </si>
  <si>
    <t>76529</t>
  </si>
  <si>
    <t>URETEROSKOPIE S TRIPSÍ KONKREMENTU NEBO EXTRAKCÍ V</t>
  </si>
  <si>
    <t>76557</t>
  </si>
  <si>
    <t xml:space="preserve">TRANSURETRÁLNÍ RESEKCE TUMORU MOČOVÉHO MĚCHÝŘE DO </t>
  </si>
  <si>
    <t>76121</t>
  </si>
  <si>
    <t>NEFROSTOMOGRAM (JEN KLINICKÝ VÝKON)</t>
  </si>
  <si>
    <t>76555</t>
  </si>
  <si>
    <t>KOAGULACE V MĚCHÝŘI NEBO URETŘE, DISCIZE URETER. Ú</t>
  </si>
  <si>
    <t>76531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</si>
  <si>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</si>
  <si>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</si>
  <si>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</si>
  <si>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</si>
  <si>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</si>
  <si>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76481</t>
  </si>
  <si>
    <t>NEFREKTOMIE TORAKOABDOMINÁLNÍ RADIKÁLNÍ NEBO NEFRO</t>
  </si>
  <si>
    <t>76335</t>
  </si>
  <si>
    <t>OPERAČNÍ REVIZE PERIRENÁLNÍCH NEBO PERIURETERÁLNÍC</t>
  </si>
  <si>
    <t>76355</t>
  </si>
  <si>
    <t>URETERO - URETEROSTOMIE JEDNOSTRANNÁ</t>
  </si>
  <si>
    <t>76359</t>
  </si>
  <si>
    <t>URETEROLÝZA PRO PERIURETERÁLNÍ FIBRÓZU S TRANSPOZI</t>
  </si>
  <si>
    <t>7T8</t>
  </si>
  <si>
    <t>78813</t>
  </si>
  <si>
    <t>CVVH - KONTINUÁLNÍ VENOVENÓZNÍ HEMOFILTRACE</t>
  </si>
  <si>
    <t>809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</si>
  <si>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</si>
  <si>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</si>
  <si>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</si>
  <si>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</si>
  <si>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</si>
  <si>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</si>
  <si>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</si>
  <si>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</si>
  <si>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</si>
  <si>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</si>
  <si>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</si>
  <si>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</si>
  <si>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</si>
  <si>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</si>
  <si>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</si>
  <si>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00080</t>
  </si>
  <si>
    <t xml:space="preserve">DLOUHODOBÁ MECHANICKÁ VENTILACE &gt; 1008 HODIN (43-75 DNÍ                                             </t>
  </si>
  <si>
    <t>00100</t>
  </si>
  <si>
    <t xml:space="preserve">DLOUHODOBÁ MECHANICKÁ VENTILACE &gt; 504 HODIN (22-42 DNÍ)                                             </t>
  </si>
  <si>
    <t>00110</t>
  </si>
  <si>
    <t>00123</t>
  </si>
  <si>
    <t>00131</t>
  </si>
  <si>
    <t>00132</t>
  </si>
  <si>
    <t>00133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</si>
  <si>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</si>
  <si>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</si>
  <si>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</si>
  <si>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</si>
  <si>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</si>
  <si>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</si>
  <si>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</si>
  <si>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                                             </t>
  </si>
  <si>
    <t>01443</t>
  </si>
  <si>
    <t xml:space="preserve">KRANIÁLNÍ A INTRAKRANIÁLNÍ PORANĚNÍ S MCC                                                           </t>
  </si>
  <si>
    <t>03093</t>
  </si>
  <si>
    <t xml:space="preserve">JINÉ VÝKONY PŘI PORUCHÁCH A ONEMOCNĚNÍCH UŠÍ, NOSU, ÚST                                             </t>
  </si>
  <si>
    <t>03333</t>
  </si>
  <si>
    <t xml:space="preserve">EPIGLOTITIS, OTITIS MEDIA, INFEKCE HORNÍCH CEST DÝCHACÍ                                             </t>
  </si>
  <si>
    <t>04310</t>
  </si>
  <si>
    <t xml:space="preserve">RESPIRAČNÍ SELHÁNÍ  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</si>
  <si>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</si>
  <si>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</si>
  <si>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04373</t>
  </si>
  <si>
    <t xml:space="preserve">CHRONICKÁ OBSTRUKTIVNÍ PLICNÍ NEMOC S MCC                                                           </t>
  </si>
  <si>
    <t>04403</t>
  </si>
  <si>
    <t xml:space="preserve">PNEUMOTORAX A PLEURÁNÍ VÝPOTEK S MCC                                                                </t>
  </si>
  <si>
    <t>04412</t>
  </si>
  <si>
    <t xml:space="preserve">PŘÍZNAKY, SYMPTOMY A JINÉ DIAGNÓZY DÝCHACÍHO SYSTÉMU S                                              </t>
  </si>
  <si>
    <t>05000</t>
  </si>
  <si>
    <t xml:space="preserve">ÚMRTÍ DO 5 DNÍ OD PŘÍJMU PŘI HLAVNÍ DIAGNÓZE OBĚHOVÉHO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</si>
  <si>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</si>
  <si>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</si>
  <si>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</si>
  <si>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</si>
  <si>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</si>
  <si>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</si>
  <si>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</si>
  <si>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</si>
  <si>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</si>
  <si>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</si>
  <si>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</si>
  <si>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</si>
  <si>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</si>
  <si>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</si>
  <si>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</si>
  <si>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                                             </t>
  </si>
  <si>
    <t>05203</t>
  </si>
  <si>
    <t xml:space="preserve">JINÉ VÝKONY PŘI ONEMOCNĚNÍCH A PORUCHÁCH OBĚHOVÉHO SYST                                             </t>
  </si>
  <si>
    <t>05272</t>
  </si>
  <si>
    <t xml:space="preserve">PERKUTÁNNÍ KORONÁRNÍ ANGIOPLASTIKA, &lt;=2 POTAHOVANÉ STEN                                             </t>
  </si>
  <si>
    <t>05371</t>
  </si>
  <si>
    <t xml:space="preserve">NEOBJASNĚNÁ SRDEČNÍ ZÁSTAVA BEZ CC        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</si>
  <si>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</si>
  <si>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</si>
  <si>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</si>
  <si>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</si>
  <si>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</si>
  <si>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</si>
  <si>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</si>
  <si>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                                             </t>
  </si>
  <si>
    <t>05482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</si>
  <si>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</si>
  <si>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</si>
  <si>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</si>
  <si>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</si>
  <si>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</si>
  <si>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</si>
  <si>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</si>
  <si>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</si>
  <si>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</si>
  <si>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</si>
  <si>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</si>
  <si>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</si>
  <si>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</si>
  <si>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</si>
  <si>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</si>
  <si>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</si>
  <si>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</si>
  <si>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</si>
  <si>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06052</t>
  </si>
  <si>
    <t xml:space="preserve">VÝKONY NA APENDIXU S CC                                                                             </t>
  </si>
  <si>
    <t>06083</t>
  </si>
  <si>
    <t xml:space="preserve">LAPAROTOMICKÉ VÝKONY PŘI TŘÍSELNÉ, STEHENNÍ, UMBILIKÁLN                                             </t>
  </si>
  <si>
    <t>06102</t>
  </si>
  <si>
    <t xml:space="preserve">JINÉ VÝKONY PŘI PORUCHÁCH A ONEMOCNĚNÍCH TRÁVICÍHO SYST                                             </t>
  </si>
  <si>
    <t>06103</t>
  </si>
  <si>
    <t>06312</t>
  </si>
  <si>
    <t xml:space="preserve">PEPTICKÝ VŘED A GASTRITIDA S CC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</si>
  <si>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</si>
  <si>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</si>
  <si>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06332</t>
  </si>
  <si>
    <t xml:space="preserve">DIVERTIKULITIDA, DIVERTIKULÓZA A ZÁNĚTLIVÉ ONEMOCNĚNÍ S                                             </t>
  </si>
  <si>
    <t>06363</t>
  </si>
  <si>
    <t xml:space="preserve">ZÁVAŽNÉ INFEKCE GASTROINTESTINÁLNÍHO SYSTÉMU S MCC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</si>
  <si>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</si>
  <si>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</si>
  <si>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</si>
  <si>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</si>
  <si>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</si>
  <si>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</si>
  <si>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07052</t>
  </si>
  <si>
    <t xml:space="preserve">JINÉ VÝKONY PŘI PORUCHÁCH A ONEMOCNĚNÍCH HEPATOBILIÁRNÍ                                             </t>
  </si>
  <si>
    <t>07303</t>
  </si>
  <si>
    <t xml:space="preserve">CIRHÓZA A ALKOHOLICKÁ HEPATITIDA S MCC                                                              </t>
  </si>
  <si>
    <t>07321</t>
  </si>
  <si>
    <t xml:space="preserve">PORUCHY PANKREATU, KROMĚ MALIGNÍHO ONEMOCNĚNÍ BEZ CC                                                </t>
  </si>
  <si>
    <t>07333</t>
  </si>
  <si>
    <t xml:space="preserve">PORUCHY JATER, KROMĚ MALIGNÍ CIRHÓZY A ALKOHOLICKÉ HEPA                                             </t>
  </si>
  <si>
    <t>08043</t>
  </si>
  <si>
    <t xml:space="preserve">TOTÁLNÍ ENDOPROTÉZU KYČLE, LOKTE, ZÁPĚSTÍ, TOTÁLNÍ A RE                                             </t>
  </si>
  <si>
    <t>08073</t>
  </si>
  <si>
    <t xml:space="preserve">AMPUTACE PŘI PORUCHÁCH MUSKULOSKELETÁLNÍHO SYSTÉMU A PO                                             </t>
  </si>
  <si>
    <t>08081</t>
  </si>
  <si>
    <t xml:space="preserve">VÝKONY NA KYČLÍCH A STEHENNÍ KOSTI, KROMĚ REPLANTACE VE                                             </t>
  </si>
  <si>
    <t>08082</t>
  </si>
  <si>
    <t>08102</t>
  </si>
  <si>
    <t xml:space="preserve">VÝKONY NA ZÁDECH A KRKU, KROMĚ FÚZE PÁTEŘE S CC                                                     </t>
  </si>
  <si>
    <t>08113</t>
  </si>
  <si>
    <t xml:space="preserve">VÝKONY NA KOLENU, BÉRCI A HLEZNU, KROMĚ CHODIDLA A ALOP                                             </t>
  </si>
  <si>
    <t>08152</t>
  </si>
  <si>
    <t xml:space="preserve">VÝKONY NA HORNÍCH KONČETINÁCH S CC                                                                  </t>
  </si>
  <si>
    <t>08302</t>
  </si>
  <si>
    <t xml:space="preserve">ZLOMENINY KOSTI STEHENNÍ S CC                                                                       </t>
  </si>
  <si>
    <t>08393</t>
  </si>
  <si>
    <t xml:space="preserve">SELHÁNÍ, REAKCE A KOMPLIKACE ORTOPEDICKÉHO PŘÍSTROJE NE                                             </t>
  </si>
  <si>
    <t>10023</t>
  </si>
  <si>
    <t xml:space="preserve">KOŽNÍ ŠTĚP A DEBRIDEMENT RÁNY PŘI ENDOKRINNÍCH, NUTRIČN                                             </t>
  </si>
  <si>
    <t>10052</t>
  </si>
  <si>
    <t xml:space="preserve">VÝKONY NA ŠTÍTNÉ A PŘÍŠTITNÉ ŽLÁZE, THYROGLOSSÁLNÍ VÝKO                                             </t>
  </si>
  <si>
    <t>10053</t>
  </si>
  <si>
    <t>10063</t>
  </si>
  <si>
    <t xml:space="preserve">JINÉ VÝKONY PŘI ENDOKRINNÍCH, NUTRIČNÍCH A METABOLICKÝC                                             </t>
  </si>
  <si>
    <t>10303</t>
  </si>
  <si>
    <t xml:space="preserve">DIABETES, NUTRIČNÍ A JINÉ METABOLICKÉ PORUCHY S MCC                                                 </t>
  </si>
  <si>
    <t>10333</t>
  </si>
  <si>
    <t xml:space="preserve">JINÉ ENDOKRINNÍ PORUCHY S MCC 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</si>
  <si>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</si>
  <si>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</si>
  <si>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11053</t>
  </si>
  <si>
    <t xml:space="preserve">MENŠÍ VÝKONY NA LEDVINÁCH, MOČOVÝCH CESTÁCH A MOČOVÉM M                                             </t>
  </si>
  <si>
    <t>11072</t>
  </si>
  <si>
    <t xml:space="preserve">URETRÁLNÍ A TRANSURETRÁLNÍ VÝKONY S CC                                                              </t>
  </si>
  <si>
    <t>11082</t>
  </si>
  <si>
    <t xml:space="preserve">JINÉ VÝKONY PŘI PORUCHÁCH A ONEMOCNĚNÍCH LEDVIN A MOČOV                                             </t>
  </si>
  <si>
    <t>11083</t>
  </si>
  <si>
    <t>11303</t>
  </si>
  <si>
    <t xml:space="preserve">MALIGNÍ ONEMOCNĚNÍ LEDVIN A MOČOVÝCH CEST A LEDVINOVÉ S                                             </t>
  </si>
  <si>
    <t>13302</t>
  </si>
  <si>
    <t xml:space="preserve">MALIGNÍ ONEMOCNĚNÍ ŽENSKÉHO REPRODUKČNÍHO SYSTÉMU S CC                                              </t>
  </si>
  <si>
    <t>14603</t>
  </si>
  <si>
    <t>B</t>
  </si>
  <si>
    <t xml:space="preserve">POROD CÍSAŘSKÝM ŘEZEM S MCC                                                                         </t>
  </si>
  <si>
    <t>16023</t>
  </si>
  <si>
    <t xml:space="preserve">JINÉ VÝKONY PRO KREVNÍ ONEMOCNĚNÍ A NA KRVETVORNÝCH ORG                                             </t>
  </si>
  <si>
    <t>17031</t>
  </si>
  <si>
    <t xml:space="preserve">MYELOPROLIFERATIVNÍ PORUCHY A ŠPATNĚ DIFERENCOVANÉ NÁDO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</si>
  <si>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</si>
  <si>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</si>
  <si>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</si>
  <si>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</si>
  <si>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</si>
  <si>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</si>
  <si>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</si>
  <si>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</si>
  <si>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</si>
  <si>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</si>
  <si>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</si>
  <si>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</si>
  <si>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20333</t>
  </si>
  <si>
    <t xml:space="preserve">ŠKODLIVÉ UŽÍVÁNÍ A ZÁVISLOST NA ALKOHOLU S MCC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</si>
  <si>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</si>
  <si>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</si>
  <si>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</si>
  <si>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</si>
  <si>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</si>
  <si>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</si>
  <si>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</si>
  <si>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                                            </t>
  </si>
  <si>
    <t>21303</t>
  </si>
  <si>
    <t>21352</t>
  </si>
  <si>
    <t xml:space="preserve">JINÉ DIAGNÓZY ZRANĚNÍ, OTRAVY A TOXICKÝCH ÚČINKŮ S CC                                               </t>
  </si>
  <si>
    <t>23013</t>
  </si>
  <si>
    <t xml:space="preserve">OPERAČNÍ VÝKON S DIAGNÓZOU JINÉHO KONTAKTU SE ZDRAVOTNI                                             </t>
  </si>
  <si>
    <t>23323</t>
  </si>
  <si>
    <t xml:space="preserve">JINÉ FAKTORY OVLIVŇUJÍCÍ ZDRAVOTNÍ STAV S MCC                                                       </t>
  </si>
  <si>
    <t>25051</t>
  </si>
  <si>
    <t xml:space="preserve">DLOUHODOBÁ MECHANICKÁ VENTILACE PŘI POLYTRAUMATU &gt; 240                                              </t>
  </si>
  <si>
    <t>25073</t>
  </si>
  <si>
    <t xml:space="preserve">DLOUHODOBÁ MECHANICKÁ VENTILACE PŘI POLYTRAUMATU &gt; 96 H                                             </t>
  </si>
  <si>
    <t>25302</t>
  </si>
  <si>
    <t xml:space="preserve">DIAGNÓZY TÝKAJÍCÍ SE HLAVY, HRUDNÍKU A DOLNÍCH KONČETIN                                             </t>
  </si>
  <si>
    <t>25303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</si>
  <si>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</si>
  <si>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</si>
  <si>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</si>
  <si>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</si>
  <si>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</si>
  <si>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</si>
  <si>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</si>
  <si>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12 - 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</si>
  <si>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</si>
  <si>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</si>
  <si>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</si>
  <si>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</si>
  <si>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</si>
  <si>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</si>
  <si>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</si>
  <si>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</si>
  <si>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</si>
  <si>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</si>
  <si>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</si>
  <si>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>ANTEGRÁDNÍ PYELOGRAFIE JEDNOSTRANNÁ</t>
  </si>
  <si>
    <t>89165</t>
  </si>
  <si>
    <t>RETROGRÁDNÍ PYELOGRAFIE JEDNOSTRANNÁ</t>
  </si>
  <si>
    <t>22</t>
  </si>
  <si>
    <t>0002095</t>
  </si>
  <si>
    <t>99mTc-nanokoloid alb.inj.</t>
  </si>
  <si>
    <t>47275</t>
  </si>
  <si>
    <t>SCINTIGRAFIE SENTINELOVÉ UZLINY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</si>
  <si>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</si>
  <si>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</si>
  <si>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</si>
  <si>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</si>
  <si>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</si>
  <si>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</si>
  <si>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</si>
  <si>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</si>
  <si>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</si>
  <si>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</si>
  <si>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</si>
  <si>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</si>
  <si>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</si>
  <si>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</si>
  <si>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</si>
  <si>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</si>
  <si>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</si>
  <si>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</si>
  <si>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</si>
  <si>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</si>
  <si>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</si>
  <si>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</si>
  <si>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</si>
  <si>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</si>
  <si>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</si>
  <si>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</si>
  <si>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</si>
  <si>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</si>
  <si>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</si>
  <si>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</si>
  <si>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</si>
  <si>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</si>
  <si>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</si>
  <si>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</si>
  <si>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</si>
  <si>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</si>
  <si>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</si>
  <si>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</si>
  <si>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</si>
  <si>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</si>
  <si>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94199</t>
  </si>
  <si>
    <t>AMPLIFIKACE METODOU PCR</t>
  </si>
  <si>
    <t>96193</t>
  </si>
  <si>
    <t>FAKTOR IX - STANOVENÍ AKTIVITY</t>
  </si>
  <si>
    <t>94195</t>
  </si>
  <si>
    <t>SYNTÉZA cDNA REVERZNÍ TRANSKRIPCÍ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</si>
  <si>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</si>
  <si>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</si>
  <si>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</si>
  <si>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</si>
  <si>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</si>
  <si>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</si>
  <si>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</si>
  <si>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</si>
  <si>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</si>
  <si>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</si>
  <si>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</si>
  <si>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</si>
  <si>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</si>
  <si>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</si>
  <si>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96875</t>
  </si>
  <si>
    <t>DRVVT - KONFIRMACE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</si>
  <si>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</si>
  <si>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</si>
  <si>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</si>
  <si>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</si>
  <si>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</si>
  <si>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</si>
  <si>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</si>
  <si>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</si>
  <si>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</si>
  <si>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</si>
  <si>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</si>
  <si>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</si>
  <si>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</si>
  <si>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</si>
  <si>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</si>
  <si>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</si>
  <si>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</si>
  <si>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</si>
  <si>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</si>
  <si>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</si>
  <si>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</si>
  <si>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</si>
  <si>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</si>
  <si>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</si>
  <si>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</si>
  <si>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</si>
  <si>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</si>
  <si>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</si>
  <si>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</si>
  <si>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</si>
  <si>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</si>
  <si>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</si>
  <si>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</si>
  <si>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</si>
  <si>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</si>
  <si>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</si>
  <si>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</si>
  <si>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</si>
  <si>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</si>
  <si>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</si>
  <si>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</si>
  <si>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</si>
  <si>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</si>
  <si>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</si>
  <si>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</si>
  <si>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</si>
  <si>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</si>
  <si>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</si>
  <si>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</si>
  <si>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</si>
  <si>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</si>
  <si>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</si>
  <si>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</si>
  <si>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</si>
  <si>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</si>
  <si>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</si>
  <si>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</si>
  <si>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</si>
  <si>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</si>
  <si>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</si>
  <si>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</si>
  <si>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</si>
  <si>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</si>
  <si>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</si>
  <si>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</si>
  <si>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</si>
  <si>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</si>
  <si>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</si>
  <si>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</si>
  <si>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</si>
  <si>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</si>
  <si>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</si>
  <si>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</si>
  <si>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</si>
  <si>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</si>
  <si>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</si>
  <si>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</si>
  <si>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</si>
  <si>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</si>
  <si>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</si>
  <si>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93171</t>
  </si>
  <si>
    <t>PARATHORMON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</si>
  <si>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</si>
  <si>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</si>
  <si>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</si>
  <si>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</si>
  <si>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</si>
  <si>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</si>
  <si>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</si>
  <si>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</si>
  <si>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</si>
  <si>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</si>
  <si>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</si>
  <si>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</si>
  <si>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</si>
  <si>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</si>
  <si>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</si>
  <si>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</si>
  <si>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</si>
  <si>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</si>
  <si>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</si>
  <si>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</si>
  <si>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</si>
  <si>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</si>
  <si>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</si>
  <si>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</si>
  <si>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</si>
  <si>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</si>
  <si>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</si>
  <si>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</si>
  <si>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</si>
  <si>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</si>
  <si>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</si>
  <si>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</si>
  <si>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</si>
  <si>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</si>
  <si>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</si>
  <si>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</si>
  <si>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</si>
  <si>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</si>
  <si>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</si>
  <si>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</si>
  <si>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</si>
  <si>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</si>
  <si>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</si>
  <si>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</si>
  <si>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</si>
  <si>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</si>
  <si>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</si>
  <si>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</si>
  <si>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</si>
  <si>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</si>
  <si>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</si>
  <si>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</si>
  <si>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</si>
  <si>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</si>
  <si>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</si>
  <si>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</si>
  <si>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</si>
  <si>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</si>
  <si>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</si>
  <si>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</si>
  <si>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</si>
  <si>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</si>
  <si>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</si>
  <si>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</si>
  <si>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</si>
  <si>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</si>
  <si>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</si>
  <si>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</si>
  <si>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</si>
  <si>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</si>
  <si>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</si>
  <si>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</si>
  <si>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</si>
  <si>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</si>
  <si>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</si>
  <si>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</si>
  <si>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</si>
  <si>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</si>
  <si>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</si>
  <si>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</si>
  <si>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</si>
  <si>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</si>
  <si>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</si>
  <si>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</si>
  <si>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</si>
  <si>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</si>
  <si>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</si>
  <si>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</si>
  <si>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</si>
  <si>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</si>
  <si>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</si>
  <si>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</si>
  <si>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</si>
  <si>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</si>
  <si>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</si>
  <si>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</si>
  <si>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</si>
  <si>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</si>
  <si>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</si>
  <si>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</si>
  <si>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</si>
  <si>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</si>
  <si>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</si>
  <si>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</si>
  <si>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</si>
  <si>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</si>
  <si>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</si>
  <si>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</si>
  <si>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</si>
  <si>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</si>
  <si>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</si>
  <si>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</si>
  <si>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</si>
  <si>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</si>
  <si>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</si>
  <si>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</si>
  <si>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</si>
  <si>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</si>
  <si>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94123</t>
  </si>
  <si>
    <t>PCR ANALÝZA LIDSKÉ DNA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</si>
  <si>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</si>
  <si>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</si>
  <si>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</si>
  <si>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</si>
  <si>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</si>
  <si>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</si>
  <si>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</si>
  <si>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</si>
  <si>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</si>
  <si>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</si>
  <si>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</si>
  <si>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</si>
  <si>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</si>
  <si>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</si>
  <si>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</si>
  <si>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</si>
  <si>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</si>
  <si>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</si>
  <si>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</si>
  <si>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</si>
  <si>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</si>
  <si>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</si>
  <si>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</si>
  <si>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</si>
  <si>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</si>
  <si>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</si>
  <si>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</si>
  <si>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</si>
  <si>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</si>
  <si>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</si>
  <si>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</si>
  <si>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</si>
  <si>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</si>
  <si>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</si>
  <si>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0003132</t>
  </si>
  <si>
    <t>GADOVIST 1,0 MMOL/ML</t>
  </si>
  <si>
    <t>0017039</t>
  </si>
  <si>
    <t>0022075</t>
  </si>
  <si>
    <t>IOMERON 400</t>
  </si>
  <si>
    <t>0042433</t>
  </si>
  <si>
    <t>0059494</t>
  </si>
  <si>
    <t>LIPIODOL ULTRA-FLUIDE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</si>
  <si>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</si>
  <si>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</si>
  <si>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</si>
  <si>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</si>
  <si>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</si>
  <si>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</si>
  <si>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</si>
  <si>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</si>
  <si>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</si>
  <si>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</si>
  <si>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</si>
  <si>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</si>
  <si>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</si>
  <si>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</si>
  <si>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</si>
  <si>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</si>
  <si>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</si>
  <si>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</si>
  <si>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</si>
  <si>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</si>
  <si>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</si>
  <si>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</si>
  <si>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</si>
  <si>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</si>
  <si>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</si>
  <si>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</si>
  <si>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</si>
  <si>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0046543</t>
  </si>
  <si>
    <t>KATETR NEUROINTERVENČNÍ</t>
  </si>
  <si>
    <t>0047480</t>
  </si>
  <si>
    <t>KATETR BALÓNKOVÝ PTCA</t>
  </si>
  <si>
    <t>0048264</t>
  </si>
  <si>
    <t>DRÁT NEUROINTERVENČNÍ</t>
  </si>
  <si>
    <t>0048307</t>
  </si>
  <si>
    <t>STENTGRAFT VASKULÁRNÍ FLUENCY,SAMOEXPANDIBILNÍ,NIT</t>
  </si>
  <si>
    <t>0048347</t>
  </si>
  <si>
    <t>KATETR INFUZNÍ CRAGG MAC NAMMARA</t>
  </si>
  <si>
    <t>0048523</t>
  </si>
  <si>
    <t>VODIČ INTERVENČNÍ SELECTIVA DO 145CM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</si>
  <si>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</si>
  <si>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</si>
  <si>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</si>
  <si>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</si>
  <si>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</si>
  <si>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</si>
  <si>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</si>
  <si>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</si>
  <si>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</si>
  <si>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</si>
  <si>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</si>
  <si>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</si>
  <si>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</si>
  <si>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</si>
  <si>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</si>
  <si>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</si>
  <si>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</si>
  <si>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</si>
  <si>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</si>
  <si>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</si>
  <si>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</si>
  <si>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</si>
  <si>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</si>
  <si>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</si>
  <si>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</si>
  <si>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</si>
  <si>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</si>
  <si>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</si>
  <si>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</si>
  <si>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</si>
  <si>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</si>
  <si>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</si>
  <si>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</si>
  <si>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</si>
  <si>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</si>
  <si>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</si>
  <si>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</si>
  <si>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</si>
  <si>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</si>
  <si>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</si>
  <si>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</si>
  <si>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</si>
  <si>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</si>
  <si>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</si>
  <si>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</si>
  <si>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</si>
  <si>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</si>
  <si>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</si>
  <si>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</si>
  <si>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</si>
  <si>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</si>
  <si>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</si>
  <si>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</si>
  <si>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</si>
  <si>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</si>
  <si>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0059025</t>
  </si>
  <si>
    <t>STENTGRAFT BŘIŠNÍ - ELLA; BIFURKAČNÍ</t>
  </si>
  <si>
    <t>0059345</t>
  </si>
  <si>
    <t>INDEFLÁTOR - ZAŘÍZENÍ INSUFLAČNÍ - INFLATION DEVIC</t>
  </si>
  <si>
    <t>0059579</t>
  </si>
  <si>
    <t>STENT PERIFERNÍ HEPATICKÝ GORE VIATORR TIPS,SAMOEX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</si>
  <si>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</si>
  <si>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</si>
  <si>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</si>
  <si>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</si>
  <si>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</si>
  <si>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</si>
  <si>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</si>
  <si>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</si>
  <si>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</si>
  <si>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</si>
  <si>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</si>
  <si>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</si>
  <si>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</si>
  <si>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</si>
  <si>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</si>
  <si>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</si>
  <si>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0141695</t>
  </si>
  <si>
    <t>STENT JÍCNOVÝ FERX-ELLA-BOUBELLA</t>
  </si>
  <si>
    <t>0141815</t>
  </si>
  <si>
    <t>STENT PERIFERNĺ VASKULÁRNÍ - OMNILINK ELITE ; BALO</t>
  </si>
  <si>
    <t>0141907</t>
  </si>
  <si>
    <t>STENT JÍC.BILIÁRNÍ,KOLOREK.DUODEN.TRACH.BRONCH.SX-</t>
  </si>
  <si>
    <t>0192088</t>
  </si>
  <si>
    <t>STENTGRAFT AORTÁLNÍ ZENITH LP,RAMENO</t>
  </si>
  <si>
    <t>0192089</t>
  </si>
  <si>
    <t>STENTGRAFT AORTÁLNÍ ZENITH LP,TĚLO</t>
  </si>
  <si>
    <t>STENTGRAFT AORTÁLNÍ - ZENITH LP - TĚLO</t>
  </si>
  <si>
    <t>0193339</t>
  </si>
  <si>
    <t>STENTGRAFT AORTÁLNÍ ZENITH-NOHA SPIRÁLNÍ</t>
  </si>
  <si>
    <t>STENTGRAFT AORTÁLNÍ - ZENITH - NOHA SPIRÁLNÍ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</si>
  <si>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</si>
  <si>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</si>
  <si>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</si>
  <si>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</si>
  <si>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</si>
  <si>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</si>
  <si>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0111638</t>
  </si>
  <si>
    <t>STENT PERIFERNÍ VASKUL. - ISTHMUS LOGIC CARBOSTENT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</si>
  <si>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</si>
  <si>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</si>
  <si>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</si>
  <si>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</si>
  <si>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</si>
  <si>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</si>
  <si>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0054478</t>
  </si>
  <si>
    <t>STENTGRAFT AORTÁLNÍ - ZENITH FLEX AAA; SAMOEXPAND;</t>
  </si>
  <si>
    <t>0092131</t>
  </si>
  <si>
    <t>KATETR BALÓNKOVÝ PTA - RX MUSO</t>
  </si>
  <si>
    <t>0047805</t>
  </si>
  <si>
    <t>SADA AG-JEHLA ANGIOGRAFICKÁ</t>
  </si>
  <si>
    <t>0059986</t>
  </si>
  <si>
    <t>SYSTÉM BALÓN UZÁVĚROVÝ EQUINOX 104-4011..104-4470</t>
  </si>
  <si>
    <t>0049005</t>
  </si>
  <si>
    <t>KATETR TROMBEKTOMICKÝ - ROTAREX-ANTEGRADNÍ(KATETR,</t>
  </si>
  <si>
    <t>0051173</t>
  </si>
  <si>
    <t>VODIČ - PTA-SPECIÁLNÍ(DILATAČNÍ,REKANALIZAČNÍ)-OUT</t>
  </si>
  <si>
    <t>0034083</t>
  </si>
  <si>
    <t>JEHLA BIOPTICKÁ ASPIRAČNÍ PLICNÍ, FRANSEENOVA,ECHO</t>
  </si>
  <si>
    <t>0056396</t>
  </si>
  <si>
    <t>ZAVADĚČ CHECK-FLO III BLUE TYP MULLINS RADIOOPÁKNÍ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</si>
  <si>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</si>
  <si>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</si>
  <si>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</si>
  <si>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</si>
  <si>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</si>
  <si>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</si>
  <si>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</si>
  <si>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</si>
  <si>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</si>
  <si>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</si>
  <si>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</si>
  <si>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</si>
  <si>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</si>
  <si>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</si>
  <si>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</si>
  <si>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</si>
  <si>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89163</t>
  </si>
  <si>
    <t>VYLUČOVACÍ UROGRAFIE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</si>
  <si>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</si>
  <si>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</si>
  <si>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</si>
  <si>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</si>
  <si>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</si>
  <si>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</si>
  <si>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</si>
  <si>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</si>
  <si>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</si>
  <si>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</si>
  <si>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</si>
  <si>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</si>
  <si>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</si>
  <si>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</si>
  <si>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</si>
  <si>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</si>
  <si>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</si>
  <si>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</si>
  <si>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</si>
  <si>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</si>
  <si>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</si>
  <si>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</si>
  <si>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</si>
  <si>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</si>
  <si>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</si>
  <si>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</si>
  <si>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</si>
  <si>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</si>
  <si>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</si>
  <si>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</si>
  <si>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</si>
  <si>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</si>
  <si>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</si>
  <si>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</si>
  <si>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</si>
  <si>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</si>
  <si>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</si>
  <si>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</si>
  <si>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</si>
  <si>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</si>
  <si>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</si>
  <si>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</si>
  <si>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</si>
  <si>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</si>
  <si>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</si>
  <si>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</si>
  <si>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</si>
  <si>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</si>
  <si>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</si>
  <si>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</si>
  <si>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</si>
  <si>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</si>
  <si>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</si>
  <si>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</si>
  <si>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</si>
  <si>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</si>
  <si>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</si>
  <si>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</si>
  <si>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</si>
  <si>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</si>
  <si>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</si>
  <si>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</si>
  <si>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</si>
  <si>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</si>
  <si>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</si>
  <si>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</si>
  <si>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</si>
  <si>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</si>
  <si>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</si>
  <si>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</si>
  <si>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</si>
  <si>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</si>
  <si>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</si>
  <si>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</si>
  <si>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</si>
  <si>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</si>
  <si>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</si>
  <si>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</si>
  <si>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</si>
  <si>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</si>
  <si>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</si>
  <si>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</si>
  <si>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</si>
  <si>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</si>
  <si>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</si>
  <si>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</si>
  <si>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</si>
  <si>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</si>
  <si>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</si>
  <si>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</si>
  <si>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</si>
  <si>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</si>
  <si>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</si>
  <si>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</si>
  <si>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</si>
  <si>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</si>
  <si>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</si>
  <si>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</si>
  <si>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</si>
  <si>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</si>
  <si>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</si>
  <si>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</si>
  <si>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</si>
  <si>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</si>
  <si>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</si>
  <si>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</si>
  <si>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</si>
  <si>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</si>
  <si>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</si>
  <si>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</si>
  <si>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</si>
  <si>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</si>
  <si>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</si>
  <si>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</si>
  <si>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</si>
  <si>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</si>
  <si>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</si>
  <si>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</si>
  <si>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</si>
  <si>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</si>
  <si>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</si>
  <si>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</si>
  <si>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</si>
  <si>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</si>
  <si>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</si>
  <si>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</si>
  <si>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</si>
  <si>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</si>
  <si>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</si>
  <si>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</si>
  <si>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</si>
  <si>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</si>
  <si>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</si>
  <si>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</si>
  <si>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</si>
  <si>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</si>
  <si>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</si>
  <si>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</si>
  <si>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</si>
  <si>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</si>
  <si>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</si>
  <si>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</si>
  <si>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</si>
  <si>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</si>
  <si>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</si>
  <si>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</si>
  <si>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</si>
  <si>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</si>
  <si>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</si>
  <si>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</si>
  <si>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</si>
  <si>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</si>
  <si>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</si>
  <si>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</si>
  <si>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</si>
  <si>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</si>
  <si>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</si>
  <si>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</si>
  <si>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</si>
  <si>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</si>
  <si>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</si>
  <si>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</si>
  <si>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</si>
  <si>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</si>
  <si>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</si>
  <si>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</si>
  <si>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</si>
  <si>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</si>
  <si>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</si>
  <si>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</si>
  <si>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</si>
  <si>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</si>
  <si>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</si>
  <si>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</si>
  <si>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</si>
  <si>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</si>
  <si>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</si>
  <si>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</si>
  <si>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</si>
  <si>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</si>
  <si>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</si>
  <si>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</si>
  <si>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</si>
  <si>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</si>
  <si>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</si>
  <si>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</si>
  <si>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</si>
  <si>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</si>
  <si>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</si>
  <si>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</si>
  <si>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</si>
  <si>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</si>
  <si>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</si>
  <si>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</si>
  <si>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</si>
  <si>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</si>
  <si>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</si>
  <si>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</si>
  <si>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</si>
  <si>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</si>
  <si>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</si>
  <si>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</si>
  <si>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</si>
  <si>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</si>
  <si>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</si>
  <si>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</si>
  <si>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</si>
  <si>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</si>
  <si>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</si>
  <si>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</si>
  <si>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</si>
  <si>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</si>
  <si>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</si>
  <si>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</si>
  <si>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</si>
  <si>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</si>
  <si>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</si>
  <si>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</si>
  <si>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</si>
  <si>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</si>
  <si>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</si>
  <si>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</si>
  <si>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</si>
  <si>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</si>
  <si>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</si>
  <si>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</si>
  <si>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</si>
  <si>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</si>
  <si>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</si>
  <si>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</si>
  <si>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</si>
  <si>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</si>
  <si>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</si>
  <si>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</si>
  <si>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</si>
  <si>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</si>
  <si>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</si>
  <si>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</si>
  <si>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</si>
  <si>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</si>
  <si>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</si>
  <si>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</si>
  <si>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</si>
  <si>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</si>
  <si>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</si>
  <si>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</si>
  <si>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</si>
  <si>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</si>
  <si>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</si>
  <si>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</si>
  <si>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86327</t>
  </si>
  <si>
    <t>CROSS MATCH S DTT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</si>
  <si>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</si>
  <si>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</si>
  <si>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</si>
  <si>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</si>
  <si>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</si>
  <si>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</si>
  <si>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</si>
  <si>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</si>
  <si>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</si>
  <si>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</si>
  <si>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</si>
  <si>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</si>
  <si>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</si>
  <si>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</si>
  <si>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</si>
  <si>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</si>
  <si>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91431</t>
  </si>
  <si>
    <t>ZVLÁŠTĚ NÁROČNÉ IZOLACE BUNĚK GRADIENTOVOU CENTRIF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</si>
  <si>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</si>
  <si>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</si>
  <si>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</si>
  <si>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</si>
  <si>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</si>
  <si>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</si>
  <si>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</si>
  <si>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</si>
  <si>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</si>
  <si>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</si>
  <si>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91493</t>
  </si>
  <si>
    <t>IMUNOANALYTICKÉ STANOVENÍ AUTOPROTILÁTEK PROTI SPE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</si>
  <si>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</si>
  <si>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</si>
  <si>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</si>
  <si>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</si>
  <si>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</si>
  <si>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</si>
  <si>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</si>
  <si>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</si>
  <si>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</si>
  <si>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</si>
  <si>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</si>
  <si>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</si>
  <si>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</si>
  <si>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</si>
  <si>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</si>
  <si>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</si>
  <si>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44</t>
  </si>
  <si>
    <t>816</t>
  </si>
  <si>
    <t>94211</t>
  </si>
  <si>
    <t>DLOUHODOBÁ KULTIVACE BUNĚK RŮZNÝCH TKÁNÍ Z PRENATÁ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</si>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</sst>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3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6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59" xfId="53" applyFont="1" applyFill="1" applyBorder="1" applyAlignment="1">
      <alignment horizontal="right"/>
    </xf>
    <xf numFmtId="164" fontId="34" fillId="0" borderId="64" xfId="53" applyNumberFormat="1" applyFont="1" applyFill="1" applyBorder="1"/>
    <xf numFmtId="164" fontId="34" fillId="0" borderId="65" xfId="53" applyNumberFormat="1" applyFont="1" applyFill="1" applyBorder="1"/>
    <xf numFmtId="9" fontId="34" fillId="0" borderId="66" xfId="83" applyNumberFormat="1" applyFont="1" applyFill="1" applyBorder="1"/>
    <xf numFmtId="3" fontId="34" fillId="0" borderId="66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0" fontId="32" fillId="0" borderId="4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0" xfId="26" applyNumberFormat="1" applyFont="1" applyFill="1" applyBorder="1"/>
    <xf numFmtId="3" fontId="32" fillId="7" borderId="53" xfId="26" applyNumberFormat="1" applyFont="1" applyFill="1" applyBorder="1"/>
    <xf numFmtId="167" fontId="34" fillId="7" borderId="58" xfId="86" applyNumberFormat="1" applyFont="1" applyFill="1" applyBorder="1" applyAlignment="1">
      <alignment horizontal="right"/>
    </xf>
    <xf numFmtId="3" fontId="32" fillId="7" borderId="71" xfId="26" applyNumberFormat="1" applyFont="1" applyFill="1" applyBorder="1"/>
    <xf numFmtId="167" fontId="34" fillId="7" borderId="58" xfId="86" applyNumberFormat="1" applyFont="1" applyFill="1" applyBorder="1"/>
    <xf numFmtId="3" fontId="32" fillId="0" borderId="70" xfId="26" applyNumberFormat="1" applyFont="1" applyFill="1" applyBorder="1" applyAlignment="1">
      <alignment horizontal="center"/>
    </xf>
    <xf numFmtId="3" fontId="32" fillId="0" borderId="58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3" fontId="32" fillId="7" borderId="58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4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5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52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39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8" fontId="3" fillId="0" borderId="39" xfId="26" applyNumberFormat="1" applyFont="1" applyFill="1" applyBorder="1" applyAlignment="1">
      <alignment vertical="center"/>
    </xf>
    <xf numFmtId="166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9" fillId="9" borderId="73" xfId="0" applyNumberFormat="1" applyFont="1" applyFill="1" applyBorder="1"/>
    <xf numFmtId="3" fontId="59" fillId="9" borderId="72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76" xfId="0" applyNumberFormat="1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horizontal="center" vertical="center"/>
    </xf>
    <xf numFmtId="3" fontId="61" fillId="2" borderId="79" xfId="0" applyNumberFormat="1" applyFont="1" applyFill="1" applyBorder="1" applyAlignment="1">
      <alignment horizontal="center" vertical="center" wrapText="1"/>
    </xf>
    <xf numFmtId="0" fontId="61" fillId="2" borderId="80" xfId="0" applyFont="1" applyFill="1" applyBorder="1" applyAlignment="1">
      <alignment horizontal="center" vertical="center" wrapText="1"/>
    </xf>
    <xf numFmtId="0" fontId="42" fillId="2" borderId="82" xfId="0" applyFont="1" applyFill="1" applyBorder="1" applyAlignment="1"/>
    <xf numFmtId="0" fontId="42" fillId="2" borderId="84" xfId="0" applyFont="1" applyFill="1" applyBorder="1" applyAlignment="1">
      <alignment horizontal="left" indent="1"/>
    </xf>
    <xf numFmtId="0" fontId="42" fillId="2" borderId="90" xfId="0" applyFont="1" applyFill="1" applyBorder="1" applyAlignment="1">
      <alignment horizontal="left" indent="1"/>
    </xf>
    <xf numFmtId="0" fontId="42" fillId="4" borderId="82" xfId="0" applyFont="1" applyFill="1" applyBorder="1" applyAlignment="1"/>
    <xf numFmtId="0" fontId="42" fillId="4" borderId="84" xfId="0" applyFont="1" applyFill="1" applyBorder="1" applyAlignment="1">
      <alignment horizontal="left" indent="1"/>
    </xf>
    <xf numFmtId="0" fontId="42" fillId="4" borderId="95" xfId="0" applyFont="1" applyFill="1" applyBorder="1" applyAlignment="1">
      <alignment horizontal="left" indent="1"/>
    </xf>
    <xf numFmtId="0" fontId="35" fillId="2" borderId="84" xfId="0" quotePrefix="1" applyFont="1" applyFill="1" applyBorder="1" applyAlignment="1">
      <alignment horizontal="left" indent="2"/>
    </xf>
    <xf numFmtId="0" fontId="35" fillId="2" borderId="90" xfId="0" quotePrefix="1" applyFont="1" applyFill="1" applyBorder="1" applyAlignment="1">
      <alignment horizontal="left" indent="2"/>
    </xf>
    <xf numFmtId="0" fontId="42" fillId="2" borderId="82" xfId="0" applyFont="1" applyFill="1" applyBorder="1" applyAlignment="1">
      <alignment horizontal="left" indent="1"/>
    </xf>
    <xf numFmtId="0" fontId="42" fillId="2" borderId="95" xfId="0" applyFont="1" applyFill="1" applyBorder="1" applyAlignment="1">
      <alignment horizontal="left" indent="1"/>
    </xf>
    <xf numFmtId="0" fontId="42" fillId="4" borderId="90" xfId="0" applyFont="1" applyFill="1" applyBorder="1" applyAlignment="1">
      <alignment horizontal="left" indent="1"/>
    </xf>
    <xf numFmtId="0" fontId="35" fillId="0" borderId="100" xfId="0" applyFont="1" applyBorder="1"/>
    <xf numFmtId="3" fontId="35" fillId="0" borderId="100" xfId="0" applyNumberFormat="1" applyFont="1" applyBorder="1"/>
    <xf numFmtId="0" fontId="42" fillId="4" borderId="74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99" xfId="0" applyNumberFormat="1" applyFont="1" applyFill="1" applyBorder="1" applyAlignment="1">
      <alignment horizontal="center" vertical="center"/>
    </xf>
    <xf numFmtId="3" fontId="61" fillId="2" borderId="97" xfId="0" applyNumberFormat="1" applyFont="1" applyFill="1" applyBorder="1" applyAlignment="1">
      <alignment horizontal="center" vertical="center" wrapText="1"/>
    </xf>
    <xf numFmtId="173" fontId="42" fillId="4" borderId="83" xfId="0" applyNumberFormat="1" applyFont="1" applyFill="1" applyBorder="1" applyAlignment="1"/>
    <xf numFmtId="173" fontId="42" fillId="4" borderId="76" xfId="0" applyNumberFormat="1" applyFont="1" applyFill="1" applyBorder="1" applyAlignment="1"/>
    <xf numFmtId="173" fontId="42" fillId="4" borderId="77" xfId="0" applyNumberFormat="1" applyFont="1" applyFill="1" applyBorder="1" applyAlignment="1"/>
    <xf numFmtId="173" fontId="42" fillId="0" borderId="85" xfId="0" applyNumberFormat="1" applyFont="1" applyBorder="1"/>
    <xf numFmtId="173" fontId="35" fillId="0" borderId="89" xfId="0" applyNumberFormat="1" applyFont="1" applyBorder="1"/>
    <xf numFmtId="173" fontId="35" fillId="0" borderId="87" xfId="0" applyNumberFormat="1" applyFont="1" applyBorder="1"/>
    <xf numFmtId="173" fontId="35" fillId="0" borderId="88" xfId="0" applyNumberFormat="1" applyFont="1" applyBorder="1"/>
    <xf numFmtId="173" fontId="42" fillId="0" borderId="96" xfId="0" applyNumberFormat="1" applyFont="1" applyBorder="1"/>
    <xf numFmtId="173" fontId="35" fillId="0" borderId="97" xfId="0" applyNumberFormat="1" applyFont="1" applyBorder="1"/>
    <xf numFmtId="173" fontId="35" fillId="0" borderId="80" xfId="0" applyNumberFormat="1" applyFont="1" applyBorder="1"/>
    <xf numFmtId="173" fontId="35" fillId="0" borderId="81" xfId="0" applyNumberFormat="1" applyFont="1" applyBorder="1"/>
    <xf numFmtId="173" fontId="42" fillId="2" borderId="98" xfId="0" applyNumberFormat="1" applyFont="1" applyFill="1" applyBorder="1" applyAlignment="1"/>
    <xf numFmtId="173" fontId="42" fillId="2" borderId="76" xfId="0" applyNumberFormat="1" applyFont="1" applyFill="1" applyBorder="1" applyAlignment="1"/>
    <xf numFmtId="173" fontId="42" fillId="2" borderId="77" xfId="0" applyNumberFormat="1" applyFont="1" applyFill="1" applyBorder="1" applyAlignment="1"/>
    <xf numFmtId="173" fontId="42" fillId="0" borderId="91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0" borderId="83" xfId="0" applyNumberFormat="1" applyFont="1" applyBorder="1"/>
    <xf numFmtId="173" fontId="35" fillId="0" borderId="99" xfId="0" applyNumberFormat="1" applyFont="1" applyBorder="1"/>
    <xf numFmtId="173" fontId="35" fillId="0" borderId="77" xfId="0" applyNumberFormat="1" applyFont="1" applyBorder="1"/>
    <xf numFmtId="174" fontId="42" fillId="2" borderId="83" xfId="0" applyNumberFormat="1" applyFont="1" applyFill="1" applyBorder="1" applyAlignment="1"/>
    <xf numFmtId="174" fontId="35" fillId="2" borderId="76" xfId="0" applyNumberFormat="1" applyFont="1" applyFill="1" applyBorder="1" applyAlignment="1"/>
    <xf numFmtId="174" fontId="35" fillId="2" borderId="77" xfId="0" applyNumberFormat="1" applyFont="1" applyFill="1" applyBorder="1" applyAlignment="1"/>
    <xf numFmtId="174" fontId="42" fillId="0" borderId="85" xfId="0" applyNumberFormat="1" applyFont="1" applyBorder="1"/>
    <xf numFmtId="174" fontId="35" fillId="0" borderId="86" xfId="0" applyNumberFormat="1" applyFont="1" applyBorder="1"/>
    <xf numFmtId="174" fontId="35" fillId="0" borderId="87" xfId="0" applyNumberFormat="1" applyFont="1" applyBorder="1"/>
    <xf numFmtId="174" fontId="35" fillId="0" borderId="89" xfId="0" applyNumberFormat="1" applyFont="1" applyBorder="1"/>
    <xf numFmtId="174" fontId="42" fillId="0" borderId="91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83" xfId="0" applyNumberFormat="1" applyFont="1" applyFill="1" applyBorder="1" applyAlignment="1">
      <alignment horizontal="center"/>
    </xf>
    <xf numFmtId="175" fontId="42" fillId="0" borderId="91" xfId="0" applyNumberFormat="1" applyFont="1" applyBorder="1"/>
    <xf numFmtId="0" fontId="34" fillId="2" borderId="107" xfId="74" applyFont="1" applyFill="1" applyBorder="1" applyAlignment="1">
      <alignment horizontal="center"/>
    </xf>
    <xf numFmtId="0" fontId="34" fillId="2" borderId="78" xfId="81" applyFont="1" applyFill="1" applyBorder="1" applyAlignment="1">
      <alignment horizontal="center"/>
    </xf>
    <xf numFmtId="0" fontId="34" fillId="2" borderId="79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4" xfId="53" applyNumberFormat="1" applyFont="1" applyFill="1" applyBorder="1"/>
    <xf numFmtId="3" fontId="34" fillId="0" borderId="65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88" xfId="0" applyFont="1" applyFill="1" applyBorder="1"/>
    <xf numFmtId="0" fontId="35" fillId="0" borderId="89" xfId="0" applyFont="1" applyBorder="1" applyAlignment="1"/>
    <xf numFmtId="9" fontId="35" fillId="0" borderId="87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42" fillId="0" borderId="85" xfId="0" applyNumberFormat="1" applyFont="1" applyBorder="1"/>
    <xf numFmtId="9" fontId="35" fillId="0" borderId="89" xfId="0" applyNumberFormat="1" applyFont="1" applyBorder="1"/>
    <xf numFmtId="9" fontId="35" fillId="0" borderId="87" xfId="0" applyNumberFormat="1" applyFont="1" applyBorder="1"/>
    <xf numFmtId="9" fontId="35" fillId="0" borderId="88" xfId="0" applyNumberFormat="1" applyFont="1" applyBorder="1"/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3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41" xfId="81" applyFont="1" applyFill="1" applyBorder="1" applyAlignment="1">
      <alignment horizontal="center"/>
    </xf>
    <xf numFmtId="0" fontId="34" fillId="2" borderId="69" xfId="81" applyFont="1" applyFill="1" applyBorder="1" applyAlignment="1">
      <alignment horizontal="center"/>
    </xf>
    <xf numFmtId="0" fontId="34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07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106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7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7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9" fontId="3" fillId="2" borderId="10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8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166" fontId="42" fillId="2" borderId="75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42" fillId="2" borderId="55" xfId="0" applyFont="1" applyFill="1" applyBorder="1" applyAlignment="1">
      <alignment vertical="center"/>
    </xf>
    <xf numFmtId="3" fontId="34" fillId="2" borderId="57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7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46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57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7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6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3" fontId="34" fillId="0" borderId="45" xfId="26" applyNumberFormat="1" applyFont="1" applyFill="1" applyBorder="1" applyAlignment="1">
      <alignment horizontal="right" vertical="top"/>
    </xf>
    <xf numFmtId="0" fontId="35" fillId="0" borderId="45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6" xfId="26" applyNumberFormat="1" applyFont="1" applyFill="1" applyBorder="1" applyAlignment="1">
      <alignment horizontal="center" vertical="center"/>
    </xf>
    <xf numFmtId="3" fontId="3" fillId="2" borderId="57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7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1" xfId="0" applyNumberFormat="1" applyFont="1" applyFill="1" applyBorder="1" applyAlignment="1">
      <alignment horizontal="right" vertical="top"/>
    </xf>
    <xf numFmtId="3" fontId="36" fillId="10" borderId="112" xfId="0" applyNumberFormat="1" applyFont="1" applyFill="1" applyBorder="1" applyAlignment="1">
      <alignment horizontal="right" vertical="top"/>
    </xf>
    <xf numFmtId="176" fontId="36" fillId="10" borderId="113" xfId="0" applyNumberFormat="1" applyFont="1" applyFill="1" applyBorder="1" applyAlignment="1">
      <alignment horizontal="right" vertical="top"/>
    </xf>
    <xf numFmtId="3" fontId="36" fillId="0" borderId="111" xfId="0" applyNumberFormat="1" applyFont="1" applyBorder="1" applyAlignment="1">
      <alignment horizontal="right" vertical="top"/>
    </xf>
    <xf numFmtId="176" fontId="36" fillId="10" borderId="114" xfId="0" applyNumberFormat="1" applyFont="1" applyFill="1" applyBorder="1" applyAlignment="1">
      <alignment horizontal="right" vertical="top"/>
    </xf>
    <xf numFmtId="3" fontId="38" fillId="10" borderId="116" xfId="0" applyNumberFormat="1" applyFont="1" applyFill="1" applyBorder="1" applyAlignment="1">
      <alignment horizontal="right" vertical="top"/>
    </xf>
    <xf numFmtId="3" fontId="38" fillId="10" borderId="117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horizontal="right" vertical="top"/>
    </xf>
    <xf numFmtId="3" fontId="38" fillId="0" borderId="116" xfId="0" applyNumberFormat="1" applyFont="1" applyBorder="1" applyAlignment="1">
      <alignment horizontal="right" vertical="top"/>
    </xf>
    <xf numFmtId="0" fontId="38" fillId="10" borderId="119" xfId="0" applyFont="1" applyFill="1" applyBorder="1" applyAlignment="1">
      <alignment horizontal="right" vertical="top"/>
    </xf>
    <xf numFmtId="0" fontId="36" fillId="10" borderId="113" xfId="0" applyFont="1" applyFill="1" applyBorder="1" applyAlignment="1">
      <alignment horizontal="right" vertical="top"/>
    </xf>
    <xf numFmtId="0" fontId="36" fillId="10" borderId="114" xfId="0" applyFont="1" applyFill="1" applyBorder="1" applyAlignment="1">
      <alignment horizontal="right" vertical="top"/>
    </xf>
    <xf numFmtId="176" fontId="38" fillId="10" borderId="118" xfId="0" applyNumberFormat="1" applyFont="1" applyFill="1" applyBorder="1" applyAlignment="1">
      <alignment horizontal="right" vertical="top"/>
    </xf>
    <xf numFmtId="176" fontId="38" fillId="10" borderId="119" xfId="0" applyNumberFormat="1" applyFont="1" applyFill="1" applyBorder="1" applyAlignment="1">
      <alignment horizontal="right" vertical="top"/>
    </xf>
    <xf numFmtId="3" fontId="38" fillId="0" borderId="120" xfId="0" applyNumberFormat="1" applyFont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0" fontId="38" fillId="0" borderId="122" xfId="0" applyFont="1" applyBorder="1" applyAlignment="1">
      <alignment horizontal="right" vertical="top"/>
    </xf>
    <xf numFmtId="176" fontId="38" fillId="10" borderId="123" xfId="0" applyNumberFormat="1" applyFont="1" applyFill="1" applyBorder="1" applyAlignment="1">
      <alignment horizontal="right" vertical="top"/>
    </xf>
    <xf numFmtId="0" fontId="40" fillId="11" borderId="110" xfId="0" applyFont="1" applyFill="1" applyBorder="1" applyAlignment="1">
      <alignment vertical="top"/>
    </xf>
    <xf numFmtId="0" fontId="40" fillId="11" borderId="110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 indent="6"/>
    </xf>
    <xf numFmtId="0" fontId="40" fillId="11" borderId="110" xfId="0" applyFont="1" applyFill="1" applyBorder="1" applyAlignment="1">
      <alignment vertical="top" indent="8"/>
    </xf>
    <xf numFmtId="0" fontId="41" fillId="11" borderId="115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6"/>
    </xf>
    <xf numFmtId="0" fontId="41" fillId="11" borderId="115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/>
    </xf>
    <xf numFmtId="0" fontId="35" fillId="11" borderId="110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4" xfId="53" applyNumberFormat="1" applyFont="1" applyFill="1" applyBorder="1" applyAlignment="1">
      <alignment horizontal="left"/>
    </xf>
    <xf numFmtId="164" fontId="34" fillId="2" borderId="125" xfId="53" applyNumberFormat="1" applyFont="1" applyFill="1" applyBorder="1" applyAlignment="1">
      <alignment horizontal="left"/>
    </xf>
    <xf numFmtId="164" fontId="34" fillId="2" borderId="53" xfId="53" applyNumberFormat="1" applyFont="1" applyFill="1" applyBorder="1" applyAlignment="1">
      <alignment horizontal="left"/>
    </xf>
    <xf numFmtId="3" fontId="34" fillId="2" borderId="53" xfId="53" applyNumberFormat="1" applyFont="1" applyFill="1" applyBorder="1" applyAlignment="1">
      <alignment horizontal="left"/>
    </xf>
    <xf numFmtId="3" fontId="34" fillId="2" borderId="58" xfId="53" applyNumberFormat="1" applyFont="1" applyFill="1" applyBorder="1" applyAlignment="1">
      <alignment horizontal="left"/>
    </xf>
    <xf numFmtId="3" fontId="35" fillId="0" borderId="125" xfId="0" applyNumberFormat="1" applyFont="1" applyFill="1" applyBorder="1"/>
    <xf numFmtId="3" fontId="35" fillId="0" borderId="127" xfId="0" applyNumberFormat="1" applyFont="1" applyFill="1" applyBorder="1"/>
    <xf numFmtId="0" fontId="35" fillId="0" borderId="76" xfId="0" applyFont="1" applyFill="1" applyBorder="1"/>
    <xf numFmtId="0" fontId="35" fillId="0" borderId="77" xfId="0" applyFont="1" applyFill="1" applyBorder="1"/>
    <xf numFmtId="164" fontId="35" fillId="0" borderId="77" xfId="0" applyNumberFormat="1" applyFont="1" applyFill="1" applyBorder="1"/>
    <xf numFmtId="164" fontId="35" fillId="0" borderId="77" xfId="0" applyNumberFormat="1" applyFont="1" applyFill="1" applyBorder="1" applyAlignment="1">
      <alignment horizontal="right"/>
    </xf>
    <xf numFmtId="3" fontId="35" fillId="0" borderId="77" xfId="0" applyNumberFormat="1" applyFont="1" applyFill="1" applyBorder="1"/>
    <xf numFmtId="3" fontId="35" fillId="0" borderId="78" xfId="0" applyNumberFormat="1" applyFont="1" applyFill="1" applyBorder="1"/>
    <xf numFmtId="0" fontId="35" fillId="0" borderId="86" xfId="0" applyFont="1" applyFill="1" applyBorder="1"/>
    <xf numFmtId="0" fontId="35" fillId="0" borderId="87" xfId="0" applyFont="1" applyFill="1" applyBorder="1"/>
    <xf numFmtId="164" fontId="35" fillId="0" borderId="87" xfId="0" applyNumberFormat="1" applyFont="1" applyFill="1" applyBorder="1"/>
    <xf numFmtId="164" fontId="35" fillId="0" borderId="87" xfId="0" applyNumberFormat="1" applyFont="1" applyFill="1" applyBorder="1" applyAlignment="1">
      <alignment horizontal="right"/>
    </xf>
    <xf numFmtId="3" fontId="35" fillId="0" borderId="87" xfId="0" applyNumberFormat="1" applyFont="1" applyFill="1" applyBorder="1"/>
    <xf numFmtId="3" fontId="35" fillId="0" borderId="88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4" fontId="35" fillId="0" borderId="80" xfId="0" applyNumberFormat="1" applyFont="1" applyFill="1" applyBorder="1"/>
    <xf numFmtId="164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42" fillId="2" borderId="124" xfId="0" applyFont="1" applyFill="1" applyBorder="1"/>
    <xf numFmtId="3" fontId="42" fillId="2" borderId="126" xfId="0" applyNumberFormat="1" applyFont="1" applyFill="1" applyBorder="1"/>
    <xf numFmtId="9" fontId="42" fillId="2" borderId="71" xfId="0" applyNumberFormat="1" applyFont="1" applyFill="1" applyBorder="1"/>
    <xf numFmtId="3" fontId="42" fillId="2" borderId="58" xfId="0" applyNumberFormat="1" applyFont="1" applyFill="1" applyBorder="1"/>
    <xf numFmtId="9" fontId="35" fillId="0" borderId="125" xfId="0" applyNumberFormat="1" applyFont="1" applyFill="1" applyBorder="1"/>
    <xf numFmtId="9" fontId="35" fillId="0" borderId="77" xfId="0" applyNumberFormat="1" applyFont="1" applyFill="1" applyBorder="1"/>
    <xf numFmtId="9" fontId="35" fillId="0" borderId="80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87" xfId="0" applyNumberFormat="1" applyFont="1" applyFill="1" applyBorder="1"/>
    <xf numFmtId="3" fontId="35" fillId="0" borderId="93" xfId="0" applyNumberFormat="1" applyFont="1" applyFill="1" applyBorder="1"/>
    <xf numFmtId="9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0" borderId="76" xfId="0" applyFont="1" applyFill="1" applyBorder="1"/>
    <xf numFmtId="0" fontId="42" fillId="0" borderId="86" xfId="0" applyFont="1" applyFill="1" applyBorder="1"/>
    <xf numFmtId="0" fontId="42" fillId="0" borderId="129" xfId="0" applyFont="1" applyFill="1" applyBorder="1"/>
    <xf numFmtId="0" fontId="42" fillId="2" borderId="125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24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5" fillId="0" borderId="78" xfId="0" applyNumberFormat="1" applyFont="1" applyFill="1" applyBorder="1"/>
    <xf numFmtId="9" fontId="35" fillId="0" borderId="81" xfId="0" applyNumberFormat="1" applyFont="1" applyFill="1" applyBorder="1"/>
    <xf numFmtId="0" fontId="42" fillId="0" borderId="107" xfId="0" applyFont="1" applyFill="1" applyBorder="1"/>
    <xf numFmtId="0" fontId="42" fillId="0" borderId="106" xfId="0" applyFont="1" applyFill="1" applyBorder="1" applyAlignment="1">
      <alignment horizontal="left" indent="1"/>
    </xf>
    <xf numFmtId="9" fontId="35" fillId="0" borderId="99" xfId="0" applyNumberFormat="1" applyFont="1" applyFill="1" applyBorder="1"/>
    <xf numFmtId="9" fontId="35" fillId="0" borderId="97" xfId="0" applyNumberFormat="1" applyFont="1" applyFill="1" applyBorder="1"/>
    <xf numFmtId="3" fontId="35" fillId="0" borderId="76" xfId="0" applyNumberFormat="1" applyFont="1" applyFill="1" applyBorder="1"/>
    <xf numFmtId="3" fontId="35" fillId="0" borderId="79" xfId="0" applyNumberFormat="1" applyFont="1" applyFill="1" applyBorder="1"/>
    <xf numFmtId="9" fontId="35" fillId="0" borderId="103" xfId="0" applyNumberFormat="1" applyFont="1" applyFill="1" applyBorder="1"/>
    <xf numFmtId="9" fontId="35" fillId="0" borderId="102" xfId="0" applyNumberFormat="1" applyFont="1" applyFill="1" applyBorder="1"/>
    <xf numFmtId="173" fontId="42" fillId="4" borderId="130" xfId="0" applyNumberFormat="1" applyFont="1" applyFill="1" applyBorder="1" applyAlignment="1">
      <alignment horizontal="center"/>
    </xf>
    <xf numFmtId="0" fontId="0" fillId="0" borderId="131" xfId="0" applyBorder="1" applyAlignment="1"/>
    <xf numFmtId="173" fontId="42" fillId="4" borderId="131" xfId="0" applyNumberFormat="1" applyFont="1" applyFill="1" applyBorder="1" applyAlignment="1">
      <alignment horizontal="center"/>
    </xf>
    <xf numFmtId="0" fontId="0" fillId="0" borderId="131" xfId="0" applyBorder="1" applyAlignment="1">
      <alignment horizontal="center"/>
    </xf>
    <xf numFmtId="173" fontId="35" fillId="0" borderId="132" xfId="0" applyNumberFormat="1" applyFont="1" applyBorder="1" applyAlignment="1">
      <alignment horizontal="right"/>
    </xf>
    <xf numFmtId="0" fontId="0" fillId="0" borderId="133" xfId="0" applyBorder="1" applyAlignment="1">
      <alignment horizontal="right"/>
    </xf>
    <xf numFmtId="173" fontId="35" fillId="0" borderId="133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 wrapText="1"/>
    </xf>
    <xf numFmtId="0" fontId="0" fillId="0" borderId="133" xfId="0" applyBorder="1" applyAlignment="1">
      <alignment horizontal="right" wrapText="1"/>
    </xf>
    <xf numFmtId="175" fontId="35" fillId="0" borderId="132" xfId="0" applyNumberFormat="1" applyFont="1" applyBorder="1" applyAlignment="1">
      <alignment horizontal="right"/>
    </xf>
    <xf numFmtId="175" fontId="35" fillId="0" borderId="133" xfId="0" applyNumberFormat="1" applyFont="1" applyBorder="1" applyAlignment="1">
      <alignment horizontal="right"/>
    </xf>
    <xf numFmtId="173" fontId="35" fillId="0" borderId="134" xfId="0" applyNumberFormat="1" applyFont="1" applyBorder="1" applyAlignment="1">
      <alignment horizontal="right"/>
    </xf>
    <xf numFmtId="0" fontId="0" fillId="0" borderId="135" xfId="0" applyBorder="1" applyAlignment="1">
      <alignment horizontal="right"/>
    </xf>
    <xf numFmtId="173" fontId="35" fillId="0" borderId="135" xfId="0" applyNumberFormat="1" applyFont="1" applyBorder="1" applyAlignment="1">
      <alignment horizontal="right"/>
    </xf>
    <xf numFmtId="0" fontId="42" fillId="2" borderId="103" xfId="0" applyFont="1" applyFill="1" applyBorder="1" applyAlignment="1">
      <alignment horizontal="center" vertical="center"/>
    </xf>
    <xf numFmtId="0" fontId="61" fillId="2" borderId="102" xfId="0" applyFont="1" applyFill="1" applyBorder="1" applyAlignment="1">
      <alignment horizontal="center" vertical="center" wrapText="1"/>
    </xf>
    <xf numFmtId="174" fontId="35" fillId="2" borderId="103" xfId="0" applyNumberFormat="1" applyFont="1" applyFill="1" applyBorder="1" applyAlignment="1"/>
    <xf numFmtId="174" fontId="35" fillId="0" borderId="101" xfId="0" applyNumberFormat="1" applyFont="1" applyBorder="1"/>
    <xf numFmtId="174" fontId="35" fillId="0" borderId="137" xfId="0" applyNumberFormat="1" applyFont="1" applyBorder="1"/>
    <xf numFmtId="173" fontId="42" fillId="4" borderId="103" xfId="0" applyNumberFormat="1" applyFont="1" applyFill="1" applyBorder="1" applyAlignment="1"/>
    <xf numFmtId="173" fontId="35" fillId="0" borderId="101" xfId="0" applyNumberFormat="1" applyFont="1" applyBorder="1"/>
    <xf numFmtId="173" fontId="35" fillId="0" borderId="102" xfId="0" applyNumberFormat="1" applyFont="1" applyBorder="1"/>
    <xf numFmtId="173" fontId="42" fillId="2" borderId="103" xfId="0" applyNumberFormat="1" applyFont="1" applyFill="1" applyBorder="1" applyAlignment="1"/>
    <xf numFmtId="173" fontId="35" fillId="0" borderId="137" xfId="0" applyNumberFormat="1" applyFont="1" applyBorder="1"/>
    <xf numFmtId="173" fontId="35" fillId="0" borderId="103" xfId="0" applyNumberFormat="1" applyFont="1" applyBorder="1"/>
    <xf numFmtId="173" fontId="42" fillId="4" borderId="138" xfId="0" applyNumberFormat="1" applyFont="1" applyFill="1" applyBorder="1" applyAlignment="1">
      <alignment horizontal="center"/>
    </xf>
    <xf numFmtId="173" fontId="35" fillId="0" borderId="139" xfId="0" applyNumberFormat="1" applyFont="1" applyBorder="1" applyAlignment="1">
      <alignment horizontal="right"/>
    </xf>
    <xf numFmtId="175" fontId="35" fillId="0" borderId="139" xfId="0" applyNumberFormat="1" applyFont="1" applyBorder="1" applyAlignment="1">
      <alignment horizontal="right"/>
    </xf>
    <xf numFmtId="173" fontId="35" fillId="0" borderId="140" xfId="0" applyNumberFormat="1" applyFont="1" applyBorder="1" applyAlignment="1">
      <alignment horizontal="right"/>
    </xf>
    <xf numFmtId="0" fontId="0" fillId="0" borderId="136" xfId="0" applyBorder="1"/>
    <xf numFmtId="173" fontId="42" fillId="4" borderId="82" xfId="0" applyNumberFormat="1" applyFont="1" applyFill="1" applyBorder="1" applyAlignment="1">
      <alignment horizontal="center"/>
    </xf>
    <xf numFmtId="173" fontId="35" fillId="0" borderId="84" xfId="0" applyNumberFormat="1" applyFont="1" applyBorder="1" applyAlignment="1">
      <alignment horizontal="right"/>
    </xf>
    <xf numFmtId="175" fontId="35" fillId="0" borderId="84" xfId="0" applyNumberFormat="1" applyFont="1" applyBorder="1" applyAlignment="1">
      <alignment horizontal="right"/>
    </xf>
    <xf numFmtId="173" fontId="35" fillId="0" borderId="95" xfId="0" applyNumberFormat="1" applyFont="1" applyBorder="1" applyAlignment="1">
      <alignment horizontal="right"/>
    </xf>
    <xf numFmtId="0" fontId="35" fillId="2" borderId="58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77" xfId="0" applyNumberFormat="1" applyFont="1" applyFill="1" applyBorder="1"/>
    <xf numFmtId="169" fontId="35" fillId="0" borderId="80" xfId="0" applyNumberFormat="1" applyFont="1" applyFill="1" applyBorder="1"/>
    <xf numFmtId="0" fontId="42" fillId="0" borderId="79" xfId="0" applyFont="1" applyFill="1" applyBorder="1"/>
    <xf numFmtId="0" fontId="34" fillId="2" borderId="33" xfId="0" applyFont="1" applyFill="1" applyBorder="1" applyAlignment="1">
      <alignment horizontal="center" vertical="top"/>
    </xf>
    <xf numFmtId="0" fontId="35" fillId="2" borderId="33" xfId="0" applyFont="1" applyFill="1" applyBorder="1" applyAlignment="1">
      <alignment horizontal="center" vertical="top" wrapText="1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3" fontId="12" fillId="0" borderId="128" xfId="0" applyNumberFormat="1" applyFont="1" applyBorder="1"/>
    <xf numFmtId="166" fontId="12" fillId="0" borderId="128" xfId="0" applyNumberFormat="1" applyFont="1" applyBorder="1"/>
    <xf numFmtId="166" fontId="12" fillId="0" borderId="91" xfId="0" applyNumberFormat="1" applyFont="1" applyBorder="1"/>
    <xf numFmtId="166" fontId="5" fillId="0" borderId="128" xfId="0" applyNumberFormat="1" applyFont="1" applyBorder="1" applyAlignment="1">
      <alignment horizontal="right"/>
    </xf>
    <xf numFmtId="166" fontId="5" fillId="0" borderId="91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77" fontId="5" fillId="0" borderId="128" xfId="0" applyNumberFormat="1" applyFont="1" applyBorder="1" applyAlignment="1">
      <alignment horizontal="right"/>
    </xf>
    <xf numFmtId="4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2" fillId="0" borderId="128" xfId="0" applyNumberFormat="1" applyFont="1" applyBorder="1" applyAlignment="1">
      <alignment horizontal="right"/>
    </xf>
    <xf numFmtId="166" fontId="12" fillId="0" borderId="128" xfId="0" applyNumberFormat="1" applyFont="1" applyBorder="1" applyAlignment="1">
      <alignment horizontal="right"/>
    </xf>
    <xf numFmtId="166" fontId="12" fillId="0" borderId="91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91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28" xfId="0" applyNumberFormat="1" applyFont="1" applyBorder="1" applyAlignment="1">
      <alignment horizontal="right"/>
    </xf>
    <xf numFmtId="0" fontId="5" fillId="0" borderId="128" xfId="0" applyFont="1" applyBorder="1"/>
    <xf numFmtId="3" fontId="35" fillId="0" borderId="128" xfId="0" applyNumberFormat="1" applyFont="1" applyBorder="1"/>
    <xf numFmtId="9" fontId="35" fillId="0" borderId="128" xfId="0" applyNumberFormat="1" applyFont="1" applyBorder="1"/>
    <xf numFmtId="166" fontId="35" fillId="0" borderId="128" xfId="0" applyNumberFormat="1" applyFont="1" applyBorder="1"/>
    <xf numFmtId="166" fontId="35" fillId="0" borderId="9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100" xfId="0" applyNumberFormat="1" applyFont="1" applyBorder="1"/>
    <xf numFmtId="166" fontId="12" fillId="0" borderId="100" xfId="0" applyNumberFormat="1" applyFont="1" applyBorder="1"/>
    <xf numFmtId="166" fontId="12" fillId="0" borderId="75" xfId="0" applyNumberFormat="1" applyFont="1" applyBorder="1"/>
    <xf numFmtId="3" fontId="35" fillId="0" borderId="100" xfId="0" applyNumberFormat="1" applyFont="1" applyBorder="1" applyAlignment="1">
      <alignment horizontal="right"/>
    </xf>
    <xf numFmtId="166" fontId="5" fillId="0" borderId="100" xfId="0" applyNumberFormat="1" applyFont="1" applyBorder="1" applyAlignment="1">
      <alignment horizontal="right"/>
    </xf>
    <xf numFmtId="166" fontId="5" fillId="0" borderId="75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177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5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74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5" xfId="0" applyNumberFormat="1" applyFont="1" applyBorder="1" applyAlignment="1">
      <alignment horizontal="center"/>
    </xf>
    <xf numFmtId="3" fontId="35" fillId="0" borderId="105" xfId="0" applyNumberFormat="1" applyFont="1" applyBorder="1"/>
    <xf numFmtId="166" fontId="35" fillId="0" borderId="105" xfId="0" applyNumberFormat="1" applyFont="1" applyBorder="1"/>
    <xf numFmtId="166" fontId="35" fillId="0" borderId="96" xfId="0" applyNumberFormat="1" applyFont="1" applyBorder="1"/>
    <xf numFmtId="3" fontId="12" fillId="0" borderId="105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12" fillId="0" borderId="96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177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0" fontId="5" fillId="0" borderId="105" xfId="0" applyFont="1" applyBorder="1"/>
    <xf numFmtId="3" fontId="5" fillId="0" borderId="105" xfId="0" applyNumberFormat="1" applyFont="1" applyBorder="1"/>
    <xf numFmtId="9" fontId="35" fillId="0" borderId="105" xfId="0" applyNumberFormat="1" applyFont="1" applyBorder="1"/>
    <xf numFmtId="3" fontId="11" fillId="0" borderId="9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69" fontId="35" fillId="0" borderId="87" xfId="0" applyNumberFormat="1" applyFont="1" applyFill="1" applyBorder="1"/>
    <xf numFmtId="9" fontId="35" fillId="0" borderId="88" xfId="0" applyNumberFormat="1" applyFont="1" applyFill="1" applyBorder="1"/>
    <xf numFmtId="3" fontId="34" fillId="2" borderId="70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0" fontId="32" fillId="0" borderId="76" xfId="76" applyFont="1" applyFill="1" applyBorder="1"/>
    <xf numFmtId="0" fontId="32" fillId="0" borderId="86" xfId="76" applyFont="1" applyFill="1" applyBorder="1"/>
    <xf numFmtId="0" fontId="32" fillId="0" borderId="79" xfId="76" applyFont="1" applyFill="1" applyBorder="1"/>
    <xf numFmtId="0" fontId="32" fillId="0" borderId="103" xfId="76" applyFont="1" applyFill="1" applyBorder="1"/>
    <xf numFmtId="0" fontId="32" fillId="0" borderId="101" xfId="76" applyFont="1" applyFill="1" applyBorder="1"/>
    <xf numFmtId="0" fontId="32" fillId="0" borderId="102" xfId="76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141" xfId="76" applyNumberFormat="1" applyFont="1" applyFill="1" applyBorder="1" applyAlignment="1">
      <alignment horizontal="left"/>
    </xf>
    <xf numFmtId="3" fontId="32" fillId="0" borderId="76" xfId="76" applyNumberFormat="1" applyFont="1" applyFill="1" applyBorder="1"/>
    <xf numFmtId="3" fontId="32" fillId="0" borderId="77" xfId="76" applyNumberFormat="1" applyFont="1" applyFill="1" applyBorder="1"/>
    <xf numFmtId="3" fontId="32" fillId="0" borderId="86" xfId="76" applyNumberFormat="1" applyFont="1" applyFill="1" applyBorder="1"/>
    <xf numFmtId="3" fontId="32" fillId="0" borderId="87" xfId="76" applyNumberFormat="1" applyFont="1" applyFill="1" applyBorder="1"/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9" fontId="32" fillId="0" borderId="103" xfId="76" applyNumberFormat="1" applyFont="1" applyFill="1" applyBorder="1"/>
    <xf numFmtId="9" fontId="32" fillId="0" borderId="101" xfId="76" applyNumberFormat="1" applyFont="1" applyFill="1" applyBorder="1"/>
    <xf numFmtId="9" fontId="32" fillId="0" borderId="102" xfId="76" applyNumberFormat="1" applyFont="1" applyFill="1" applyBorder="1"/>
    <xf numFmtId="0" fontId="34" fillId="2" borderId="92" xfId="76" applyNumberFormat="1" applyFont="1" applyFill="1" applyBorder="1" applyAlignment="1">
      <alignment horizontal="left"/>
    </xf>
    <xf numFmtId="0" fontId="34" fillId="2" borderId="94" xfId="76" applyNumberFormat="1" applyFont="1" applyFill="1" applyBorder="1" applyAlignment="1">
      <alignment horizontal="left"/>
    </xf>
    <xf numFmtId="3" fontId="32" fillId="0" borderId="78" xfId="76" applyNumberFormat="1" applyFont="1" applyFill="1" applyBorder="1"/>
    <xf numFmtId="3" fontId="32" fillId="0" borderId="88" xfId="76" applyNumberFormat="1" applyFont="1" applyFill="1" applyBorder="1"/>
    <xf numFmtId="3" fontId="32" fillId="0" borderId="8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0.16732439869434482</c:v>
                </c:pt>
                <c:pt idx="1">
                  <c:v>0.25621510317692148</c:v>
                </c:pt>
                <c:pt idx="2">
                  <c:v>0.28288359389691781</c:v>
                </c:pt>
                <c:pt idx="3">
                  <c:v>0.34897931109199559</c:v>
                </c:pt>
                <c:pt idx="4">
                  <c:v>0.29347701033066431</c:v>
                </c:pt>
                <c:pt idx="5">
                  <c:v>0.27060714855080398</c:v>
                </c:pt>
                <c:pt idx="6">
                  <c:v>0.23541458081552846</c:v>
                </c:pt>
                <c:pt idx="7">
                  <c:v>0.23020571168700882</c:v>
                </c:pt>
                <c:pt idx="8">
                  <c:v>0.23615142371827308</c:v>
                </c:pt>
                <c:pt idx="9">
                  <c:v>0.22404429298375367</c:v>
                </c:pt>
                <c:pt idx="10">
                  <c:v>0.19865679442448964</c:v>
                </c:pt>
                <c:pt idx="11">
                  <c:v>0.2128072860322423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6944"/>
        <c:axId val="-9646158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0.34508578497615244</c:v>
                </c:pt>
                <c:pt idx="1">
                  <c:v>0.34508578497615244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4768"/>
        <c:axId val="-296267136"/>
      </c:scatterChart>
      <c:catAx>
        <c:axId val="-96461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5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16944"/>
        <c:crosses val="autoZero"/>
        <c:crossBetween val="between"/>
      </c:valAx>
      <c:valAx>
        <c:axId val="-9646147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67136"/>
        <c:crosses val="max"/>
        <c:crossBetween val="midCat"/>
      </c:valAx>
      <c:valAx>
        <c:axId val="-296267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147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1.0921052631578947</c:v>
                </c:pt>
                <c:pt idx="1">
                  <c:v>0.87570621468926557</c:v>
                </c:pt>
                <c:pt idx="2">
                  <c:v>0.71386430678466073</c:v>
                </c:pt>
                <c:pt idx="3">
                  <c:v>0.75224416517055659</c:v>
                </c:pt>
                <c:pt idx="4">
                  <c:v>0.82222222222222219</c:v>
                </c:pt>
                <c:pt idx="5">
                  <c:v>0.84534270650263621</c:v>
                </c:pt>
                <c:pt idx="6">
                  <c:v>0.797427652733119</c:v>
                </c:pt>
                <c:pt idx="7">
                  <c:v>0.76671214188267389</c:v>
                </c:pt>
                <c:pt idx="8">
                  <c:v>0.71029082774049213</c:v>
                </c:pt>
                <c:pt idx="9">
                  <c:v>0.73248407643312097</c:v>
                </c:pt>
                <c:pt idx="10">
                  <c:v>0.73460721868365175</c:v>
                </c:pt>
                <c:pt idx="11">
                  <c:v>0.80058365758754868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272576"/>
        <c:axId val="-2962665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74208"/>
        <c:axId val="-296273664"/>
      </c:scatterChart>
      <c:catAx>
        <c:axId val="-29627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9626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962665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96272576"/>
        <c:crosses val="autoZero"/>
        <c:crossBetween val="between"/>
      </c:valAx>
      <c:valAx>
        <c:axId val="-2962742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73664"/>
        <c:crosses val="max"/>
        <c:crossBetween val="midCat"/>
      </c:valAx>
      <c:valAx>
        <c:axId val="-2962736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962742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8" bestFit="1" customWidth="1"/>
    <col min="2" max="2" width="102.21875" style="238" bestFit="1" customWidth="1"/>
    <col min="3" max="3" width="16.109375" style="51" hidden="1" customWidth="1"/>
    <col min="4" max="16384" width="8.88671875" style="238"/>
  </cols>
  <sheetData>
    <row r="1" spans="1:3" ht="18.600000000000001" customHeight="1" thickBot="1" x14ac:dyDescent="0.4">
      <c r="A1" s="454" t="s">
        <v>119</v>
      </c>
      <c r="B1" s="454"/>
    </row>
    <row r="2" spans="1:3" ht="14.4" customHeight="1" thickBot="1" x14ac:dyDescent="0.35">
      <c r="A2" s="360" t="s">
        <v>280</v>
      </c>
      <c r="B2" s="50"/>
    </row>
    <row r="3" spans="1:3" ht="14.4" customHeight="1" thickBot="1" x14ac:dyDescent="0.35">
      <c r="A3" s="450" t="s">
        <v>163</v>
      </c>
      <c r="B3" s="451"/>
    </row>
    <row r="4" spans="1:3" ht="14.4" customHeight="1" x14ac:dyDescent="0.3">
      <c r="A4" s="253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4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5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5" t="str">
        <f t="shared" si="0"/>
        <v>Man Tab</v>
      </c>
      <c r="B7" s="169" t="s">
        <v>282</v>
      </c>
      <c r="C7" s="51" t="s">
        <v>125</v>
      </c>
    </row>
    <row r="8" spans="1:3" ht="14.4" customHeight="1" thickBot="1" x14ac:dyDescent="0.35">
      <c r="A8" s="256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52" t="s">
        <v>120</v>
      </c>
      <c r="B10" s="451"/>
    </row>
    <row r="11" spans="1:3" ht="14.4" customHeight="1" x14ac:dyDescent="0.3">
      <c r="A11" s="257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5" t="str">
        <f t="shared" ref="A12:A18" si="2">HYPERLINK("#'"&amp;C12&amp;"'!A1",C12)</f>
        <v>LŽ Detail</v>
      </c>
      <c r="B12" s="169" t="s">
        <v>180</v>
      </c>
      <c r="C12" s="51" t="s">
        <v>127</v>
      </c>
    </row>
    <row r="13" spans="1:3" ht="28.8" customHeight="1" x14ac:dyDescent="0.3">
      <c r="A13" s="255" t="str">
        <f t="shared" si="2"/>
        <v>LŽ PL</v>
      </c>
      <c r="B13" s="639" t="s">
        <v>181</v>
      </c>
      <c r="C13" s="51" t="s">
        <v>167</v>
      </c>
    </row>
    <row r="14" spans="1:3" ht="14.4" customHeight="1" x14ac:dyDescent="0.3">
      <c r="A14" s="255" t="str">
        <f t="shared" si="2"/>
        <v>LŽ PL Detail</v>
      </c>
      <c r="B14" s="169" t="s">
        <v>2851</v>
      </c>
      <c r="C14" s="51" t="s">
        <v>168</v>
      </c>
    </row>
    <row r="15" spans="1:3" ht="14.4" customHeight="1" x14ac:dyDescent="0.3">
      <c r="A15" s="255" t="str">
        <f t="shared" si="2"/>
        <v>LŽ Statim</v>
      </c>
      <c r="B15" s="441" t="s">
        <v>232</v>
      </c>
      <c r="C15" s="51" t="s">
        <v>242</v>
      </c>
    </row>
    <row r="16" spans="1:3" ht="14.4" customHeight="1" x14ac:dyDescent="0.3">
      <c r="A16" s="257" t="str">
        <f t="shared" ref="A16" si="3">HYPERLINK("#'"&amp;C16&amp;"'!A1",C16)</f>
        <v>Materiál Žádanky</v>
      </c>
      <c r="B16" s="169" t="s">
        <v>159</v>
      </c>
      <c r="C16" s="51" t="s">
        <v>128</v>
      </c>
    </row>
    <row r="17" spans="1:3" ht="14.4" customHeight="1" x14ac:dyDescent="0.3">
      <c r="A17" s="255" t="str">
        <f t="shared" si="2"/>
        <v>MŽ Detail</v>
      </c>
      <c r="B17" s="169" t="s">
        <v>3587</v>
      </c>
      <c r="C17" s="51" t="s">
        <v>129</v>
      </c>
    </row>
    <row r="18" spans="1:3" ht="14.4" customHeight="1" thickBot="1" x14ac:dyDescent="0.35">
      <c r="A18" s="257" t="str">
        <f t="shared" si="2"/>
        <v>Osobní náklady</v>
      </c>
      <c r="B18" s="169" t="s">
        <v>117</v>
      </c>
      <c r="C18" s="51" t="s">
        <v>130</v>
      </c>
    </row>
    <row r="19" spans="1:3" ht="14.4" customHeight="1" thickBot="1" x14ac:dyDescent="0.35">
      <c r="A19" s="172"/>
      <c r="B19" s="172"/>
    </row>
    <row r="20" spans="1:3" ht="14.4" customHeight="1" thickBot="1" x14ac:dyDescent="0.35">
      <c r="A20" s="453" t="s">
        <v>121</v>
      </c>
      <c r="B20" s="451"/>
    </row>
    <row r="21" spans="1:3" ht="14.4" customHeight="1" x14ac:dyDescent="0.3">
      <c r="A21" s="255" t="str">
        <f t="shared" ref="A21:A28" si="4">HYPERLINK("#'"&amp;C21&amp;"'!A1",C21)</f>
        <v>ZV Vykáz.-H</v>
      </c>
      <c r="B21" s="169" t="s">
        <v>140</v>
      </c>
      <c r="C21" s="51" t="s">
        <v>138</v>
      </c>
    </row>
    <row r="22" spans="1:3" ht="14.4" customHeight="1" x14ac:dyDescent="0.3">
      <c r="A22" s="255" t="str">
        <f t="shared" si="4"/>
        <v>ZV Vykáz.-H Detail</v>
      </c>
      <c r="B22" s="169" t="s">
        <v>4743</v>
      </c>
      <c r="C22" s="51" t="s">
        <v>139</v>
      </c>
    </row>
    <row r="23" spans="1:3" ht="14.4" customHeight="1" x14ac:dyDescent="0.3">
      <c r="A23" s="258" t="str">
        <f t="shared" si="4"/>
        <v>CaseMix</v>
      </c>
      <c r="B23" s="169" t="s">
        <v>122</v>
      </c>
      <c r="C23" s="51" t="s">
        <v>131</v>
      </c>
    </row>
    <row r="24" spans="1:3" ht="14.4" customHeight="1" x14ac:dyDescent="0.3">
      <c r="A24" s="255" t="str">
        <f t="shared" si="4"/>
        <v>ALOS</v>
      </c>
      <c r="B24" s="169" t="s">
        <v>102</v>
      </c>
      <c r="C24" s="51" t="s">
        <v>73</v>
      </c>
    </row>
    <row r="25" spans="1:3" ht="14.4" customHeight="1" x14ac:dyDescent="0.3">
      <c r="A25" s="255" t="str">
        <f t="shared" si="4"/>
        <v>Total</v>
      </c>
      <c r="B25" s="169" t="s">
        <v>4953</v>
      </c>
      <c r="C25" s="51" t="s">
        <v>132</v>
      </c>
    </row>
    <row r="26" spans="1:3" ht="14.4" customHeight="1" x14ac:dyDescent="0.3">
      <c r="A26" s="255" t="str">
        <f t="shared" si="4"/>
        <v>ZV Vyžád.</v>
      </c>
      <c r="B26" s="169" t="s">
        <v>141</v>
      </c>
      <c r="C26" s="51" t="s">
        <v>135</v>
      </c>
    </row>
    <row r="27" spans="1:3" ht="14.4" customHeight="1" x14ac:dyDescent="0.3">
      <c r="A27" s="255" t="str">
        <f t="shared" si="4"/>
        <v>ZV Vyžád. Detail</v>
      </c>
      <c r="B27" s="169" t="s">
        <v>5762</v>
      </c>
      <c r="C27" s="51" t="s">
        <v>134</v>
      </c>
    </row>
    <row r="28" spans="1:3" ht="14.4" customHeight="1" x14ac:dyDescent="0.3">
      <c r="A28" s="255" t="str">
        <f t="shared" si="4"/>
        <v>OD TISS</v>
      </c>
      <c r="B28" s="169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9" bestFit="1" customWidth="1"/>
    <col min="2" max="2" width="11.6640625" style="259" hidden="1" customWidth="1"/>
    <col min="3" max="4" width="11" style="261" customWidth="1"/>
    <col min="5" max="5" width="11" style="262" customWidth="1"/>
    <col min="6" max="16384" width="8.88671875" style="259"/>
  </cols>
  <sheetData>
    <row r="1" spans="1:5" ht="18.600000000000001" thickBot="1" x14ac:dyDescent="0.4">
      <c r="A1" s="454" t="s">
        <v>136</v>
      </c>
      <c r="B1" s="454"/>
      <c r="C1" s="455"/>
      <c r="D1" s="455"/>
      <c r="E1" s="455"/>
    </row>
    <row r="2" spans="1:5" ht="14.4" customHeight="1" thickBot="1" x14ac:dyDescent="0.35">
      <c r="A2" s="360" t="s">
        <v>280</v>
      </c>
      <c r="B2" s="260"/>
    </row>
    <row r="3" spans="1:5" ht="14.4" customHeight="1" thickBot="1" x14ac:dyDescent="0.35">
      <c r="A3" s="263"/>
      <c r="C3" s="264" t="s">
        <v>118</v>
      </c>
      <c r="D3" s="265" t="s">
        <v>81</v>
      </c>
      <c r="E3" s="266" t="s">
        <v>83</v>
      </c>
    </row>
    <row r="4" spans="1:5" ht="14.4" customHeight="1" thickBot="1" x14ac:dyDescent="0.35">
      <c r="A4" s="267" t="str">
        <f>HYPERLINK("#HI!A1","NÁKLADY CELKEM (v tisících Kč)")</f>
        <v>NÁKLADY CELKEM (v tisících Kč)</v>
      </c>
      <c r="B4" s="268"/>
      <c r="C4" s="269">
        <f ca="1">IF(ISERROR(VLOOKUP("Náklady celkem",INDIRECT("HI!$A:$G"),6,0)),0,VLOOKUP("Náklady celkem",INDIRECT("HI!$A:$G"),6,0))</f>
        <v>61301.105177258694</v>
      </c>
      <c r="D4" s="269">
        <f ca="1">IF(ISERROR(VLOOKUP("Náklady celkem",INDIRECT("HI!$A:$G"),5,0)),0,VLOOKUP("Náklady celkem",INDIRECT("HI!$A:$G"),5,0))</f>
        <v>67678.415850000034</v>
      </c>
      <c r="E4" s="270">
        <f ca="1">IF(C4=0,0,D4/C4)</f>
        <v>1.1040325562532791</v>
      </c>
    </row>
    <row r="5" spans="1:5" ht="14.4" customHeight="1" x14ac:dyDescent="0.3">
      <c r="A5" s="271" t="s">
        <v>169</v>
      </c>
      <c r="B5" s="272"/>
      <c r="C5" s="273"/>
      <c r="D5" s="273"/>
      <c r="E5" s="274"/>
    </row>
    <row r="6" spans="1:5" ht="14.4" customHeight="1" x14ac:dyDescent="0.3">
      <c r="A6" s="275" t="s">
        <v>174</v>
      </c>
      <c r="B6" s="276"/>
      <c r="C6" s="277"/>
      <c r="D6" s="277"/>
      <c r="E6" s="274"/>
    </row>
    <row r="7" spans="1:5" ht="14.4" customHeight="1" x14ac:dyDescent="0.3">
      <c r="A7" s="4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6" t="s">
        <v>123</v>
      </c>
      <c r="C7" s="277">
        <f>IF(ISERROR(HI!F5),"",HI!F5)</f>
        <v>9400.2891524788192</v>
      </c>
      <c r="D7" s="277">
        <f>IF(ISERROR(HI!E5),"",HI!E5)</f>
        <v>9973.4979400000066</v>
      </c>
      <c r="E7" s="274">
        <f t="shared" ref="E7:E13" si="0">IF(C7=0,0,D7/C7)</f>
        <v>1.0609777825153426</v>
      </c>
    </row>
    <row r="8" spans="1:5" ht="14.4" customHeight="1" x14ac:dyDescent="0.3">
      <c r="A8" s="444" t="str">
        <f>HYPERLINK("#'LŽ PL'!A1","Plnění pozitivního listu (min. 90%)")</f>
        <v>Plnění pozitivního listu (min. 90%)</v>
      </c>
      <c r="B8" s="276" t="s">
        <v>167</v>
      </c>
      <c r="C8" s="278">
        <v>0.9</v>
      </c>
      <c r="D8" s="278">
        <f>IF(ISERROR(VLOOKUP("celkem",'LŽ PL'!$A:$F,5,0)),0,VLOOKUP("celkem",'LŽ PL'!$A:$F,5,0))</f>
        <v>0.76141982036905254</v>
      </c>
      <c r="E8" s="274">
        <f t="shared" si="0"/>
        <v>0.84602202263228055</v>
      </c>
    </row>
    <row r="9" spans="1:5" ht="14.4" customHeight="1" x14ac:dyDescent="0.3">
      <c r="A9" s="444" t="str">
        <f>HYPERLINK("#'LŽ Statim'!A1","Podíl statimových žádanek (max. 30%)")</f>
        <v>Podíl statimových žádanek (max. 30%)</v>
      </c>
      <c r="B9" s="442" t="s">
        <v>242</v>
      </c>
      <c r="C9" s="443">
        <v>0.3</v>
      </c>
      <c r="D9" s="443">
        <f>IF('LŽ Statim'!G3="",0,'LŽ Statim'!G3)</f>
        <v>0.20312784142571377</v>
      </c>
      <c r="E9" s="274">
        <f>IF(C9=0,0,D9/C9)</f>
        <v>0.67709280475237932</v>
      </c>
    </row>
    <row r="10" spans="1:5" ht="14.4" customHeight="1" x14ac:dyDescent="0.3">
      <c r="A10" s="279" t="s">
        <v>170</v>
      </c>
      <c r="B10" s="276"/>
      <c r="C10" s="277"/>
      <c r="D10" s="277"/>
      <c r="E10" s="274"/>
    </row>
    <row r="11" spans="1:5" ht="14.4" customHeight="1" x14ac:dyDescent="0.3">
      <c r="A11" s="279" t="s">
        <v>171</v>
      </c>
      <c r="B11" s="276"/>
      <c r="C11" s="277"/>
      <c r="D11" s="277"/>
      <c r="E11" s="274"/>
    </row>
    <row r="12" spans="1:5" ht="14.4" customHeight="1" x14ac:dyDescent="0.3">
      <c r="A12" s="280" t="s">
        <v>175</v>
      </c>
      <c r="B12" s="276"/>
      <c r="C12" s="273"/>
      <c r="D12" s="273"/>
      <c r="E12" s="274"/>
    </row>
    <row r="13" spans="1:5" ht="14.4" customHeight="1" x14ac:dyDescent="0.3">
      <c r="A13" s="28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6" t="s">
        <v>123</v>
      </c>
      <c r="C13" s="277">
        <f>IF(ISERROR(HI!F6),"",HI!F6)</f>
        <v>3910.0003529927899</v>
      </c>
      <c r="D13" s="277">
        <f>IF(ISERROR(HI!E6),"",HI!E6)</f>
        <v>3747.9295200000029</v>
      </c>
      <c r="E13" s="274">
        <f t="shared" si="0"/>
        <v>0.95854966282324372</v>
      </c>
    </row>
    <row r="14" spans="1:5" ht="14.4" customHeight="1" thickBot="1" x14ac:dyDescent="0.35">
      <c r="A14" s="282" t="str">
        <f>HYPERLINK("#HI!A1","Osobní náklady")</f>
        <v>Osobní náklady</v>
      </c>
      <c r="B14" s="276"/>
      <c r="C14" s="273">
        <f ca="1">IF(ISERROR(VLOOKUP("Osobní náklady (Kč) *",INDIRECT("HI!$A:$G"),6,0)),0,VLOOKUP("Osobní náklady (Kč) *",INDIRECT("HI!$A:$G"),6,0))</f>
        <v>38949.383767820298</v>
      </c>
      <c r="D14" s="273">
        <f ca="1">IF(ISERROR(VLOOKUP("Osobní náklady (Kč) *",INDIRECT("HI!$A:$G"),5,0)),0,VLOOKUP("Osobní náklady (Kč) *",INDIRECT("HI!$A:$G"),5,0))</f>
        <v>42785.854410000022</v>
      </c>
      <c r="E14" s="274">
        <f ca="1">IF(C14=0,0,D14/C14)</f>
        <v>1.0984988790849468</v>
      </c>
    </row>
    <row r="15" spans="1:5" ht="14.4" customHeight="1" thickBot="1" x14ac:dyDescent="0.35">
      <c r="A15" s="286"/>
      <c r="B15" s="287"/>
      <c r="C15" s="288"/>
      <c r="D15" s="288"/>
      <c r="E15" s="289"/>
    </row>
    <row r="16" spans="1:5" ht="14.4" customHeight="1" thickBot="1" x14ac:dyDescent="0.35">
      <c r="A16" s="290" t="str">
        <f>HYPERLINK("#HI!A1","VÝNOSY CELKEM (v tisících)")</f>
        <v>VÝNOSY CELKEM (v tisících)</v>
      </c>
      <c r="B16" s="291"/>
      <c r="C16" s="292">
        <f ca="1">IF(ISERROR(VLOOKUP("Výnosy celkem",INDIRECT("HI!$A:$G"),6,0)),0,VLOOKUP("Výnosy celkem",INDIRECT("HI!$A:$G"),6,0))</f>
        <v>21154.14</v>
      </c>
      <c r="D16" s="292">
        <f ca="1">IF(ISERROR(VLOOKUP("Výnosy celkem",INDIRECT("HI!$A:$G"),5,0)),0,VLOOKUP("Výnosy celkem",INDIRECT("HI!$A:$G"),5,0))</f>
        <v>14402.460000000001</v>
      </c>
      <c r="E16" s="293">
        <f t="shared" ref="E16:E25" ca="1" si="1">IF(C16=0,0,D16/C16)</f>
        <v>0.68083410623168805</v>
      </c>
    </row>
    <row r="17" spans="1:5" ht="14.4" customHeight="1" x14ac:dyDescent="0.3">
      <c r="A17" s="294" t="str">
        <f>HYPERLINK("#HI!A1","Ambulance (body za výkony + Kč za ZUM a ZULP)")</f>
        <v>Ambulance (body za výkony + Kč za ZUM a ZULP)</v>
      </c>
      <c r="B17" s="272"/>
      <c r="C17" s="273">
        <f ca="1">IF(ISERROR(VLOOKUP("Ambulance *",INDIRECT("HI!$A:$G"),6,0)),0,VLOOKUP("Ambulance *",INDIRECT("HI!$A:$G"),6,0))</f>
        <v>0</v>
      </c>
      <c r="D17" s="273">
        <f ca="1">IF(ISERROR(VLOOKUP("Ambulance *",INDIRECT("HI!$A:$G"),5,0)),0,VLOOKUP("Ambulance *",INDIRECT("HI!$A:$G"),5,0))</f>
        <v>0</v>
      </c>
      <c r="E17" s="274">
        <f t="shared" ca="1" si="1"/>
        <v>0</v>
      </c>
    </row>
    <row r="18" spans="1:5" ht="14.4" customHeight="1" x14ac:dyDescent="0.3">
      <c r="A18" s="295" t="str">
        <f>HYPERLINK("#'ZV Vykáz.-H'!A1","Zdravotní výkony vykázané u hospitalizovaných pacientů (max. 85 %)")</f>
        <v>Zdravotní výkony vykázané u hospitalizovaných pacientů (max. 85 %)</v>
      </c>
      <c r="B18" s="259" t="s">
        <v>138</v>
      </c>
      <c r="C18" s="278">
        <v>0.85</v>
      </c>
      <c r="D18" s="278">
        <f>IF(ISERROR(VLOOKUP("Celkem:",'ZV Vykáz.-H'!$A:$S,7,0)),"",VLOOKUP("Celkem:",'ZV Vykáz.-H'!$A:$S,7,0))</f>
        <v>1.0537008837958624</v>
      </c>
      <c r="E18" s="274">
        <f t="shared" si="1"/>
        <v>1.2396480985833676</v>
      </c>
    </row>
    <row r="19" spans="1:5" ht="14.4" customHeight="1" x14ac:dyDescent="0.3">
      <c r="A19" s="296" t="str">
        <f>HYPERLINK("#HI!A1","Hospitalizace (casemix * 30000)")</f>
        <v>Hospitalizace (casemix * 30000)</v>
      </c>
      <c r="B19" s="276"/>
      <c r="C19" s="273">
        <f ca="1">IF(ISERROR(VLOOKUP("Hospitalizace *",INDIRECT("HI!$A:$G"),6,0)),0,VLOOKUP("Hospitalizace *",INDIRECT("HI!$A:$G"),6,0))</f>
        <v>21154.14</v>
      </c>
      <c r="D19" s="273">
        <f ca="1">IF(ISERROR(VLOOKUP("Hospitalizace *",INDIRECT("HI!$A:$G"),5,0)),0,VLOOKUP("Hospitalizace *",INDIRECT("HI!$A:$G"),5,0))</f>
        <v>14402.460000000001</v>
      </c>
      <c r="E19" s="274">
        <f ca="1">IF(C19=0,0,D19/C19)</f>
        <v>0.68083410623168805</v>
      </c>
    </row>
    <row r="20" spans="1:5" ht="14.4" customHeight="1" x14ac:dyDescent="0.3">
      <c r="A20" s="295" t="str">
        <f>HYPERLINK("#'CaseMix'!A1","Casemix (min. 100 %)")</f>
        <v>Casemix (min. 100 %)</v>
      </c>
      <c r="B20" s="276" t="s">
        <v>58</v>
      </c>
      <c r="C20" s="278">
        <v>1</v>
      </c>
      <c r="D20" s="278">
        <f>IF(ISERROR(VLOOKUP("Celkem",CaseMix!A:M,5,0)),0,VLOOKUP("Celkem",CaseMix!A:M,5,0))</f>
        <v>0.68083410623168805</v>
      </c>
      <c r="E20" s="274">
        <f t="shared" si="1"/>
        <v>0.68083410623168805</v>
      </c>
    </row>
    <row r="21" spans="1:5" ht="14.4" customHeight="1" x14ac:dyDescent="0.3">
      <c r="A21" s="297" t="str">
        <f>HYPERLINK("#'CaseMix'!A1","DRG mimo vyjmenované baze")</f>
        <v>DRG mimo vyjmenované baze</v>
      </c>
      <c r="B21" s="276" t="s">
        <v>58</v>
      </c>
      <c r="C21" s="278">
        <v>1</v>
      </c>
      <c r="D21" s="278">
        <f>IF(ISERROR(CaseMix!E26),"",CaseMix!E26)</f>
        <v>0.68173789072245783</v>
      </c>
      <c r="E21" s="274">
        <f t="shared" si="1"/>
        <v>0.68173789072245783</v>
      </c>
    </row>
    <row r="22" spans="1:5" ht="14.4" customHeight="1" x14ac:dyDescent="0.3">
      <c r="A22" s="297" t="str">
        <f>HYPERLINK("#'CaseMix'!A1","Vyjmenované baze DRG")</f>
        <v>Vyjmenované baze DRG</v>
      </c>
      <c r="B22" s="276" t="s">
        <v>58</v>
      </c>
      <c r="C22" s="278">
        <v>1</v>
      </c>
      <c r="D22" s="278">
        <f>IF(ISERROR(CaseMix!E39),"",CaseMix!E39)</f>
        <v>0</v>
      </c>
      <c r="E22" s="274">
        <f t="shared" si="1"/>
        <v>0</v>
      </c>
    </row>
    <row r="23" spans="1:5" ht="14.4" customHeight="1" x14ac:dyDescent="0.3">
      <c r="A23" s="295" t="str">
        <f>HYPERLINK("#'CaseMix'!A1","Počet hospitalizací ukončených na pracovišti (min. 95 %)")</f>
        <v>Počet hospitalizací ukončených na pracovišti (min. 95 %)</v>
      </c>
      <c r="B23" s="276" t="s">
        <v>58</v>
      </c>
      <c r="C23" s="278">
        <v>0.95</v>
      </c>
      <c r="D23" s="278">
        <f>IF(ISERROR(CaseMix!I13),"",CaseMix!I13)</f>
        <v>0.84269662921348309</v>
      </c>
      <c r="E23" s="274">
        <f t="shared" si="1"/>
        <v>0.88704908338261379</v>
      </c>
    </row>
    <row r="24" spans="1:5" ht="14.4" customHeight="1" x14ac:dyDescent="0.3">
      <c r="A24" s="295" t="str">
        <f>HYPERLINK("#'ALOS'!A1","Průměrná délka hospitalizace (max. 100 % republikového průměru)")</f>
        <v>Průměrná délka hospitalizace (max. 100 % republikového průměru)</v>
      </c>
      <c r="B24" s="276" t="s">
        <v>73</v>
      </c>
      <c r="C24" s="278">
        <v>1</v>
      </c>
      <c r="D24" s="298">
        <f>IF(ISERROR(INDEX(ALOS!$E:$E,COUNT(ALOS!$E:$E)+32)),0,INDEX(ALOS!$E:$E,COUNT(ALOS!$E:$E)+32))</f>
        <v>0.80058365758754868</v>
      </c>
      <c r="E24" s="274">
        <f t="shared" si="1"/>
        <v>0.80058365758754868</v>
      </c>
    </row>
    <row r="25" spans="1:5" ht="27.6" x14ac:dyDescent="0.3">
      <c r="A25" s="29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276" t="s">
        <v>135</v>
      </c>
      <c r="C25" s="278">
        <f>IF(E20&gt;1,95%,95%-2*ABS(C20-D20))</f>
        <v>0.31166821246337606</v>
      </c>
      <c r="D25" s="278">
        <f>IF(ISERROR(VLOOKUP("Celkem:",'ZV Vyžád.'!$A:$M,7,0)),"",VLOOKUP("Celkem:",'ZV Vyžád.'!$A:$M,7,0))</f>
        <v>1.1723343114503977</v>
      </c>
      <c r="E25" s="274">
        <f t="shared" si="1"/>
        <v>3.7614818084412698</v>
      </c>
    </row>
    <row r="26" spans="1:5" ht="14.4" customHeight="1" thickBot="1" x14ac:dyDescent="0.35">
      <c r="A26" s="300" t="s">
        <v>172</v>
      </c>
      <c r="B26" s="283"/>
      <c r="C26" s="284"/>
      <c r="D26" s="284"/>
      <c r="E26" s="285"/>
    </row>
    <row r="27" spans="1:5" ht="14.4" customHeight="1" thickBot="1" x14ac:dyDescent="0.35">
      <c r="A27" s="301"/>
      <c r="B27" s="302"/>
      <c r="C27" s="303"/>
      <c r="D27" s="303"/>
      <c r="E27" s="304"/>
    </row>
    <row r="28" spans="1:5" ht="14.4" customHeight="1" thickBot="1" x14ac:dyDescent="0.35">
      <c r="A28" s="305" t="s">
        <v>173</v>
      </c>
      <c r="B28" s="306"/>
      <c r="C28" s="307"/>
      <c r="D28" s="307"/>
      <c r="E28" s="308"/>
    </row>
  </sheetData>
  <mergeCells count="1">
    <mergeCell ref="A1:E1"/>
  </mergeCells>
  <conditionalFormatting sqref="E20:E23 E16 E8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6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20:E23 E8">
    <cfRule type="cellIs" dxfId="67" priority="20" operator="lessThan">
      <formula>1</formula>
    </cfRule>
  </conditionalFormatting>
  <conditionalFormatting sqref="E9">
    <cfRule type="cellIs" dxfId="6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4:E25 E4 E7 E13 E18">
    <cfRule type="cellIs" dxfId="6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8" bestFit="1" customWidth="1"/>
    <col min="2" max="3" width="9.5546875" style="238" customWidth="1"/>
    <col min="4" max="4" width="2.21875" style="238" customWidth="1"/>
    <col min="5" max="8" width="9.5546875" style="238" customWidth="1"/>
    <col min="9" max="16384" width="8.88671875" style="238"/>
  </cols>
  <sheetData>
    <row r="1" spans="1:8" ht="18.600000000000001" customHeight="1" thickBot="1" x14ac:dyDescent="0.4">
      <c r="A1" s="454" t="s">
        <v>157</v>
      </c>
      <c r="B1" s="454"/>
      <c r="C1" s="454"/>
      <c r="D1" s="454"/>
      <c r="E1" s="454"/>
      <c r="F1" s="454"/>
      <c r="G1" s="455"/>
      <c r="H1" s="455"/>
    </row>
    <row r="2" spans="1:8" ht="14.4" customHeight="1" thickBot="1" x14ac:dyDescent="0.35">
      <c r="A2" s="360" t="s">
        <v>280</v>
      </c>
      <c r="B2" s="208"/>
      <c r="C2" s="208"/>
      <c r="D2" s="208"/>
      <c r="E2" s="208"/>
      <c r="F2" s="208"/>
    </row>
    <row r="3" spans="1:8" ht="14.4" customHeight="1" x14ac:dyDescent="0.3">
      <c r="A3" s="456"/>
      <c r="B3" s="204">
        <v>2014</v>
      </c>
      <c r="C3" s="44">
        <v>2015</v>
      </c>
      <c r="D3" s="11"/>
      <c r="E3" s="460">
        <v>2016</v>
      </c>
      <c r="F3" s="461"/>
      <c r="G3" s="461"/>
      <c r="H3" s="462"/>
    </row>
    <row r="4" spans="1:8" ht="14.4" customHeight="1" thickBot="1" x14ac:dyDescent="0.35">
      <c r="A4" s="457"/>
      <c r="B4" s="458" t="s">
        <v>81</v>
      </c>
      <c r="C4" s="459"/>
      <c r="D4" s="11"/>
      <c r="E4" s="225" t="s">
        <v>81</v>
      </c>
      <c r="F4" s="206" t="s">
        <v>82</v>
      </c>
      <c r="G4" s="206" t="s">
        <v>56</v>
      </c>
      <c r="H4" s="207" t="s">
        <v>83</v>
      </c>
    </row>
    <row r="5" spans="1:8" ht="14.4" customHeight="1" x14ac:dyDescent="0.3">
      <c r="A5" s="209" t="str">
        <f>HYPERLINK("#'Léky Žádanky'!A1","Léky (Kč)")</f>
        <v>Léky (Kč)</v>
      </c>
      <c r="B5" s="31">
        <v>7775.2173500000008</v>
      </c>
      <c r="C5" s="33">
        <v>8899.9275200000029</v>
      </c>
      <c r="D5" s="12"/>
      <c r="E5" s="214">
        <v>9973.4979400000066</v>
      </c>
      <c r="F5" s="32">
        <v>9400.2891524788192</v>
      </c>
      <c r="G5" s="213">
        <f>E5-F5</f>
        <v>573.20878752118733</v>
      </c>
      <c r="H5" s="219">
        <f>IF(F5&lt;0.00000001,"",E5/F5)</f>
        <v>1.0609777825153426</v>
      </c>
    </row>
    <row r="6" spans="1:8" ht="14.4" customHeight="1" x14ac:dyDescent="0.3">
      <c r="A6" s="209" t="str">
        <f>HYPERLINK("#'Materiál Žádanky'!A1","Materiál - SZM (Kč)")</f>
        <v>Materiál - SZM (Kč)</v>
      </c>
      <c r="B6" s="14">
        <v>3164.5926400000008</v>
      </c>
      <c r="C6" s="35">
        <v>3984.1931200000013</v>
      </c>
      <c r="D6" s="12"/>
      <c r="E6" s="215">
        <v>3747.9295200000029</v>
      </c>
      <c r="F6" s="34">
        <v>3910.0003529927899</v>
      </c>
      <c r="G6" s="216">
        <f>E6-F6</f>
        <v>-162.07083299278702</v>
      </c>
      <c r="H6" s="220">
        <f>IF(F6&lt;0.00000001,"",E6/F6)</f>
        <v>0.95854966282324372</v>
      </c>
    </row>
    <row r="7" spans="1:8" ht="14.4" customHeight="1" x14ac:dyDescent="0.3">
      <c r="A7" s="209" t="str">
        <f>HYPERLINK("#'Osobní náklady'!A1","Osobní náklady (Kč) *")</f>
        <v>Osobní náklady (Kč) *</v>
      </c>
      <c r="B7" s="14">
        <v>32925.689940000011</v>
      </c>
      <c r="C7" s="35">
        <v>36337.680040000007</v>
      </c>
      <c r="D7" s="12"/>
      <c r="E7" s="215">
        <v>42785.854410000022</v>
      </c>
      <c r="F7" s="34">
        <v>38949.383767820298</v>
      </c>
      <c r="G7" s="216">
        <f>E7-F7</f>
        <v>3836.4706421797237</v>
      </c>
      <c r="H7" s="220">
        <f>IF(F7&lt;0.00000001,"",E7/F7)</f>
        <v>1.0984988790849468</v>
      </c>
    </row>
    <row r="8" spans="1:8" ht="14.4" customHeight="1" thickBot="1" x14ac:dyDescent="0.35">
      <c r="A8" s="1" t="s">
        <v>84</v>
      </c>
      <c r="B8" s="15">
        <v>8455.0757100000046</v>
      </c>
      <c r="C8" s="37">
        <v>8862.1590500000057</v>
      </c>
      <c r="D8" s="12"/>
      <c r="E8" s="217">
        <v>11171.133980000002</v>
      </c>
      <c r="F8" s="36">
        <v>9041.4319039667935</v>
      </c>
      <c r="G8" s="218">
        <f>E8-F8</f>
        <v>2129.7020760332089</v>
      </c>
      <c r="H8" s="221">
        <f>IF(F8&lt;0.00000001,"",E8/F8)</f>
        <v>1.2355492026764958</v>
      </c>
    </row>
    <row r="9" spans="1:8" ht="14.4" customHeight="1" thickBot="1" x14ac:dyDescent="0.35">
      <c r="A9" s="2" t="s">
        <v>85</v>
      </c>
      <c r="B9" s="3">
        <v>52320.575640000017</v>
      </c>
      <c r="C9" s="39">
        <v>58083.959730000017</v>
      </c>
      <c r="D9" s="12"/>
      <c r="E9" s="3">
        <v>67678.415850000034</v>
      </c>
      <c r="F9" s="38">
        <v>61301.105177258694</v>
      </c>
      <c r="G9" s="38">
        <f>E9-F9</f>
        <v>6377.3106727413397</v>
      </c>
      <c r="H9" s="222">
        <f>IF(F9&lt;0.00000001,"",E9/F9)</f>
        <v>1.1040325562532791</v>
      </c>
    </row>
    <row r="10" spans="1:8" ht="14.4" customHeight="1" thickBot="1" x14ac:dyDescent="0.35">
      <c r="A10" s="16"/>
      <c r="B10" s="16"/>
      <c r="C10" s="205"/>
      <c r="D10" s="12"/>
      <c r="E10" s="16"/>
      <c r="F10" s="17"/>
    </row>
    <row r="11" spans="1:8" ht="14.4" customHeight="1" x14ac:dyDescent="0.3">
      <c r="A11" s="241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4">
        <f>IF(ISERROR(VLOOKUP("Celkem:",#REF!,6,0)),0,VLOOKUP("Celkem:",#REF!,6,0)/1000)</f>
        <v>0</v>
      </c>
      <c r="F11" s="32">
        <f>B11</f>
        <v>0</v>
      </c>
      <c r="G11" s="213">
        <f>E11-F11</f>
        <v>0</v>
      </c>
      <c r="H11" s="219" t="str">
        <f>IF(F11&lt;0.00000001,"",E11/F11)</f>
        <v/>
      </c>
    </row>
    <row r="12" spans="1:8" ht="14.4" customHeight="1" thickBot="1" x14ac:dyDescent="0.35">
      <c r="A12" s="242" t="str">
        <f>HYPERLINK("#CaseMix!A1","Hospitalizace *")</f>
        <v>Hospitalizace *</v>
      </c>
      <c r="B12" s="15">
        <f>IF(ISERROR(VLOOKUP("Celkem",CaseMix!A:D,2,0)),0,VLOOKUP("Celkem",CaseMix!A:D,2,0)*30)</f>
        <v>21154.14</v>
      </c>
      <c r="C12" s="37">
        <f>IF(ISERROR(VLOOKUP("Celkem",CaseMix!A:D,3,0)),0,VLOOKUP("Celkem",CaseMix!A:D,3,0)*30)</f>
        <v>14170.470000000001</v>
      </c>
      <c r="D12" s="12"/>
      <c r="E12" s="217">
        <f>IF(ISERROR(VLOOKUP("Celkem",CaseMix!A:D,4,0)),0,VLOOKUP("Celkem",CaseMix!A:D,4,0)*30)</f>
        <v>14402.460000000001</v>
      </c>
      <c r="F12" s="36">
        <f>B12</f>
        <v>21154.14</v>
      </c>
      <c r="G12" s="218">
        <f>E12-F12</f>
        <v>-6751.6799999999985</v>
      </c>
      <c r="H12" s="221">
        <f>IF(F12&lt;0.00000001,"",E12/F12)</f>
        <v>0.68083410623168805</v>
      </c>
    </row>
    <row r="13" spans="1:8" ht="14.4" customHeight="1" thickBot="1" x14ac:dyDescent="0.35">
      <c r="A13" s="4" t="s">
        <v>88</v>
      </c>
      <c r="B13" s="9">
        <f>SUM(B11:B12)</f>
        <v>21154.14</v>
      </c>
      <c r="C13" s="41">
        <f>SUM(C11:C12)</f>
        <v>14170.470000000001</v>
      </c>
      <c r="D13" s="12"/>
      <c r="E13" s="9">
        <f>SUM(E11:E12)</f>
        <v>14402.460000000001</v>
      </c>
      <c r="F13" s="40">
        <f>SUM(F11:F12)</f>
        <v>21154.14</v>
      </c>
      <c r="G13" s="40">
        <f>E13-F13</f>
        <v>-6751.6799999999985</v>
      </c>
      <c r="H13" s="223">
        <f>IF(F13&lt;0.00000001,"",E13/F13)</f>
        <v>0.68083410623168805</v>
      </c>
    </row>
    <row r="14" spans="1:8" ht="14.4" customHeight="1" thickBot="1" x14ac:dyDescent="0.35">
      <c r="A14" s="16"/>
      <c r="B14" s="16"/>
      <c r="C14" s="205"/>
      <c r="D14" s="12"/>
      <c r="E14" s="16"/>
      <c r="F14" s="17"/>
    </row>
    <row r="15" spans="1:8" ht="14.4" customHeight="1" thickBot="1" x14ac:dyDescent="0.35">
      <c r="A15" s="243" t="str">
        <f>HYPERLINK("#'HI Graf'!A1","Hospodářský index (Výnosy / Náklady) *")</f>
        <v>Hospodářský index (Výnosy / Náklady) *</v>
      </c>
      <c r="B15" s="10">
        <f>IF(B9=0,"",B13/B9)</f>
        <v>0.40431779928329536</v>
      </c>
      <c r="C15" s="43">
        <f>IF(C9=0,"",C13/C9)</f>
        <v>0.24396528862478772</v>
      </c>
      <c r="D15" s="12"/>
      <c r="E15" s="10">
        <f>IF(E9=0,"",E13/E9)</f>
        <v>0.21280728603224233</v>
      </c>
      <c r="F15" s="42">
        <f>IF(F9=0,"",F13/F9)</f>
        <v>0.34508578497615244</v>
      </c>
      <c r="G15" s="42">
        <f>IF(ISERROR(F15-E15),"",E15-F15)</f>
        <v>-0.13227849894391011</v>
      </c>
      <c r="H15" s="224">
        <f>IF(ISERROR(F15-E15),"",IF(F15&lt;0.00000001,"",E15/F15))</f>
        <v>0.61667937451248134</v>
      </c>
    </row>
    <row r="17" spans="1:8" ht="14.4" customHeight="1" x14ac:dyDescent="0.3">
      <c r="A17" s="210" t="s">
        <v>177</v>
      </c>
    </row>
    <row r="18" spans="1:8" ht="14.4" customHeight="1" x14ac:dyDescent="0.3">
      <c r="A18" s="415" t="s">
        <v>215</v>
      </c>
      <c r="B18" s="416"/>
      <c r="C18" s="416"/>
      <c r="D18" s="416"/>
      <c r="E18" s="416"/>
      <c r="F18" s="416"/>
      <c r="G18" s="416"/>
      <c r="H18" s="416"/>
    </row>
    <row r="19" spans="1:8" x14ac:dyDescent="0.3">
      <c r="A19" s="414" t="s">
        <v>214</v>
      </c>
      <c r="B19" s="416"/>
      <c r="C19" s="416"/>
      <c r="D19" s="416"/>
      <c r="E19" s="416"/>
      <c r="F19" s="416"/>
      <c r="G19" s="416"/>
      <c r="H19" s="416"/>
    </row>
    <row r="20" spans="1:8" ht="14.4" customHeight="1" x14ac:dyDescent="0.3">
      <c r="A20" s="211" t="s">
        <v>243</v>
      </c>
    </row>
    <row r="21" spans="1:8" ht="14.4" customHeight="1" x14ac:dyDescent="0.3">
      <c r="A21" s="211" t="s">
        <v>178</v>
      </c>
    </row>
    <row r="22" spans="1:8" ht="14.4" customHeight="1" x14ac:dyDescent="0.3">
      <c r="A22" s="212" t="s">
        <v>279</v>
      </c>
    </row>
    <row r="23" spans="1:8" ht="14.4" customHeight="1" x14ac:dyDescent="0.3">
      <c r="A23" s="212" t="s">
        <v>179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4" operator="greaterThan">
      <formula>0</formula>
    </cfRule>
  </conditionalFormatting>
  <conditionalFormatting sqref="G11:G13 G15">
    <cfRule type="cellIs" dxfId="63" priority="3" operator="lessThan">
      <formula>0</formula>
    </cfRule>
  </conditionalFormatting>
  <conditionalFormatting sqref="H5:H9">
    <cfRule type="cellIs" dxfId="62" priority="2" operator="greaterThan">
      <formula>1</formula>
    </cfRule>
  </conditionalFormatting>
  <conditionalFormatting sqref="H11:H13 H15">
    <cfRule type="cellIs" dxfId="6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8"/>
    <col min="2" max="13" width="8.88671875" style="238" customWidth="1"/>
    <col min="14" max="16384" width="8.88671875" style="238"/>
  </cols>
  <sheetData>
    <row r="1" spans="1:13" ht="18.600000000000001" customHeight="1" thickBot="1" x14ac:dyDescent="0.4">
      <c r="A1" s="454" t="s">
        <v>115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4.4" customHeight="1" x14ac:dyDescent="0.3">
      <c r="A2" s="360" t="s">
        <v>280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customHeight="1" x14ac:dyDescent="0.3">
      <c r="A3" s="309"/>
      <c r="B3" s="310" t="s">
        <v>90</v>
      </c>
      <c r="C3" s="311" t="s">
        <v>91</v>
      </c>
      <c r="D3" s="311" t="s">
        <v>92</v>
      </c>
      <c r="E3" s="310" t="s">
        <v>93</v>
      </c>
      <c r="F3" s="311" t="s">
        <v>94</v>
      </c>
      <c r="G3" s="311" t="s">
        <v>95</v>
      </c>
      <c r="H3" s="311" t="s">
        <v>96</v>
      </c>
      <c r="I3" s="311" t="s">
        <v>97</v>
      </c>
      <c r="J3" s="311" t="s">
        <v>98</v>
      </c>
      <c r="K3" s="311" t="s">
        <v>99</v>
      </c>
      <c r="L3" s="311" t="s">
        <v>100</v>
      </c>
      <c r="M3" s="311" t="s">
        <v>101</v>
      </c>
    </row>
    <row r="4" spans="1:13" ht="14.4" customHeight="1" x14ac:dyDescent="0.3">
      <c r="A4" s="309" t="s">
        <v>89</v>
      </c>
      <c r="B4" s="312">
        <f>(B10+B8)/B6</f>
        <v>0.16732439869434482</v>
      </c>
      <c r="C4" s="312">
        <f t="shared" ref="C4:M4" si="0">(C10+C8)/C6</f>
        <v>0.25621510317692148</v>
      </c>
      <c r="D4" s="312">
        <f t="shared" si="0"/>
        <v>0.28288359389691781</v>
      </c>
      <c r="E4" s="312">
        <f t="shared" si="0"/>
        <v>0.34897931109199559</v>
      </c>
      <c r="F4" s="312">
        <f t="shared" si="0"/>
        <v>0.29347701033066431</v>
      </c>
      <c r="G4" s="312">
        <f t="shared" si="0"/>
        <v>0.27060714855080398</v>
      </c>
      <c r="H4" s="312">
        <f t="shared" si="0"/>
        <v>0.23541458081552846</v>
      </c>
      <c r="I4" s="312">
        <f t="shared" si="0"/>
        <v>0.23020571168700882</v>
      </c>
      <c r="J4" s="312">
        <f t="shared" si="0"/>
        <v>0.23615142371827308</v>
      </c>
      <c r="K4" s="312">
        <f t="shared" si="0"/>
        <v>0.22404429298375367</v>
      </c>
      <c r="L4" s="312">
        <f t="shared" si="0"/>
        <v>0.19865679442448964</v>
      </c>
      <c r="M4" s="312">
        <f t="shared" si="0"/>
        <v>0.2128072860322423</v>
      </c>
    </row>
    <row r="5" spans="1:13" ht="14.4" customHeight="1" x14ac:dyDescent="0.3">
      <c r="A5" s="313" t="s">
        <v>40</v>
      </c>
      <c r="B5" s="312">
        <f>IF(ISERROR(VLOOKUP($A5,'Man Tab'!$A:$Q,COLUMN()+2,0)),0,VLOOKUP($A5,'Man Tab'!$A:$Q,COLUMN()+2,0))</f>
        <v>4652.45957</v>
      </c>
      <c r="C5" s="312">
        <f>IF(ISERROR(VLOOKUP($A5,'Man Tab'!$A:$Q,COLUMN()+2,0)),0,VLOOKUP($A5,'Man Tab'!$A:$Q,COLUMN()+2,0))</f>
        <v>4888.1958000000004</v>
      </c>
      <c r="D5" s="312">
        <f>IF(ISERROR(VLOOKUP($A5,'Man Tab'!$A:$Q,COLUMN()+2,0)),0,VLOOKUP($A5,'Man Tab'!$A:$Q,COLUMN()+2,0))</f>
        <v>5132.4118900000003</v>
      </c>
      <c r="E5" s="312">
        <f>IF(ISERROR(VLOOKUP($A5,'Man Tab'!$A:$Q,COLUMN()+2,0)),0,VLOOKUP($A5,'Man Tab'!$A:$Q,COLUMN()+2,0))</f>
        <v>5471.9664899999998</v>
      </c>
      <c r="F5" s="312">
        <f>IF(ISERROR(VLOOKUP($A5,'Man Tab'!$A:$Q,COLUMN()+2,0)),0,VLOOKUP($A5,'Man Tab'!$A:$Q,COLUMN()+2,0))</f>
        <v>5818.2946599999996</v>
      </c>
      <c r="G5" s="312">
        <f>IF(ISERROR(VLOOKUP($A5,'Man Tab'!$A:$Q,COLUMN()+2,0)),0,VLOOKUP($A5,'Man Tab'!$A:$Q,COLUMN()+2,0))</f>
        <v>4881.3113000000103</v>
      </c>
      <c r="H5" s="312">
        <f>IF(ISERROR(VLOOKUP($A5,'Man Tab'!$A:$Q,COLUMN()+2,0)),0,VLOOKUP($A5,'Man Tab'!$A:$Q,COLUMN()+2,0))</f>
        <v>6401.73632</v>
      </c>
      <c r="I5" s="312">
        <f>IF(ISERROR(VLOOKUP($A5,'Man Tab'!$A:$Q,COLUMN()+2,0)),0,VLOOKUP($A5,'Man Tab'!$A:$Q,COLUMN()+2,0))</f>
        <v>5307.8678600000003</v>
      </c>
      <c r="J5" s="312">
        <f>IF(ISERROR(VLOOKUP($A5,'Man Tab'!$A:$Q,COLUMN()+2,0)),0,VLOOKUP($A5,'Man Tab'!$A:$Q,COLUMN()+2,0))</f>
        <v>7300.5899900000004</v>
      </c>
      <c r="K5" s="312">
        <f>IF(ISERROR(VLOOKUP($A5,'Man Tab'!$A:$Q,COLUMN()+2,0)),0,VLOOKUP($A5,'Man Tab'!$A:$Q,COLUMN()+2,0))</f>
        <v>5916.05782</v>
      </c>
      <c r="L5" s="312">
        <f>IF(ISERROR(VLOOKUP($A5,'Man Tab'!$A:$Q,COLUMN()+2,0)),0,VLOOKUP($A5,'Man Tab'!$A:$Q,COLUMN()+2,0))</f>
        <v>5842.6062699999902</v>
      </c>
      <c r="M5" s="312">
        <f>IF(ISERROR(VLOOKUP($A5,'Man Tab'!$A:$Q,COLUMN()+2,0)),0,VLOOKUP($A5,'Man Tab'!$A:$Q,COLUMN()+2,0))</f>
        <v>6064.91788000003</v>
      </c>
    </row>
    <row r="6" spans="1:13" ht="14.4" customHeight="1" x14ac:dyDescent="0.3">
      <c r="A6" s="313" t="s">
        <v>85</v>
      </c>
      <c r="B6" s="314">
        <f>B5</f>
        <v>4652.45957</v>
      </c>
      <c r="C6" s="314">
        <f t="shared" ref="C6:M6" si="1">C5+B6</f>
        <v>9540.6553700000004</v>
      </c>
      <c r="D6" s="314">
        <f t="shared" si="1"/>
        <v>14673.06726</v>
      </c>
      <c r="E6" s="314">
        <f t="shared" si="1"/>
        <v>20145.033749999999</v>
      </c>
      <c r="F6" s="314">
        <f t="shared" si="1"/>
        <v>25963.328409999998</v>
      </c>
      <c r="G6" s="314">
        <f t="shared" si="1"/>
        <v>30844.63971000001</v>
      </c>
      <c r="H6" s="314">
        <f t="shared" si="1"/>
        <v>37246.376030000014</v>
      </c>
      <c r="I6" s="314">
        <f t="shared" si="1"/>
        <v>42554.243890000012</v>
      </c>
      <c r="J6" s="314">
        <f t="shared" si="1"/>
        <v>49854.833880000013</v>
      </c>
      <c r="K6" s="314">
        <f t="shared" si="1"/>
        <v>55770.891700000015</v>
      </c>
      <c r="L6" s="314">
        <f t="shared" si="1"/>
        <v>61613.497970000004</v>
      </c>
      <c r="M6" s="314">
        <f t="shared" si="1"/>
        <v>67678.415850000034</v>
      </c>
    </row>
    <row r="7" spans="1:13" ht="14.4" customHeight="1" x14ac:dyDescent="0.3">
      <c r="A7" s="313" t="s">
        <v>113</v>
      </c>
      <c r="B7" s="313">
        <v>25.949000000000002</v>
      </c>
      <c r="C7" s="313">
        <v>81.481999999999999</v>
      </c>
      <c r="D7" s="313">
        <v>138.35900000000001</v>
      </c>
      <c r="E7" s="313">
        <v>234.34</v>
      </c>
      <c r="F7" s="313">
        <v>253.988</v>
      </c>
      <c r="G7" s="313">
        <v>278.226</v>
      </c>
      <c r="H7" s="313">
        <v>292.27800000000002</v>
      </c>
      <c r="I7" s="313">
        <v>326.541</v>
      </c>
      <c r="J7" s="313">
        <v>392.44299999999998</v>
      </c>
      <c r="K7" s="313">
        <v>416.505</v>
      </c>
      <c r="L7" s="313">
        <v>407.99799999999999</v>
      </c>
      <c r="M7" s="313">
        <v>480.08199999999999</v>
      </c>
    </row>
    <row r="8" spans="1:13" ht="14.4" customHeight="1" x14ac:dyDescent="0.3">
      <c r="A8" s="313" t="s">
        <v>86</v>
      </c>
      <c r="B8" s="314">
        <f>B7*30</f>
        <v>778.47</v>
      </c>
      <c r="C8" s="314">
        <f t="shared" ref="C8:M8" si="2">C7*30</f>
        <v>2444.46</v>
      </c>
      <c r="D8" s="314">
        <f t="shared" si="2"/>
        <v>4150.7700000000004</v>
      </c>
      <c r="E8" s="314">
        <f t="shared" si="2"/>
        <v>7030.2</v>
      </c>
      <c r="F8" s="314">
        <f t="shared" si="2"/>
        <v>7619.64</v>
      </c>
      <c r="G8" s="314">
        <f t="shared" si="2"/>
        <v>8346.7800000000007</v>
      </c>
      <c r="H8" s="314">
        <f t="shared" si="2"/>
        <v>8768.34</v>
      </c>
      <c r="I8" s="314">
        <f t="shared" si="2"/>
        <v>9796.23</v>
      </c>
      <c r="J8" s="314">
        <f t="shared" si="2"/>
        <v>11773.289999999999</v>
      </c>
      <c r="K8" s="314">
        <f t="shared" si="2"/>
        <v>12495.15</v>
      </c>
      <c r="L8" s="314">
        <f t="shared" si="2"/>
        <v>12239.94</v>
      </c>
      <c r="M8" s="314">
        <f t="shared" si="2"/>
        <v>14402.46</v>
      </c>
    </row>
    <row r="9" spans="1:13" ht="14.4" customHeight="1" x14ac:dyDescent="0.3">
      <c r="A9" s="313" t="s">
        <v>114</v>
      </c>
      <c r="B9" s="313">
        <v>0</v>
      </c>
      <c r="C9" s="313">
        <v>0</v>
      </c>
      <c r="D9" s="313">
        <v>0</v>
      </c>
      <c r="E9" s="313">
        <v>0</v>
      </c>
      <c r="F9" s="313">
        <v>0</v>
      </c>
      <c r="G9" s="313">
        <v>0</v>
      </c>
      <c r="H9" s="313">
        <v>0</v>
      </c>
      <c r="I9" s="313">
        <v>0</v>
      </c>
      <c r="J9" s="313">
        <v>0</v>
      </c>
      <c r="K9" s="313">
        <v>0</v>
      </c>
      <c r="L9" s="313">
        <v>0</v>
      </c>
      <c r="M9" s="313">
        <v>0</v>
      </c>
    </row>
    <row r="10" spans="1:13" ht="14.4" customHeight="1" x14ac:dyDescent="0.3">
      <c r="A10" s="313" t="s">
        <v>87</v>
      </c>
      <c r="B10" s="314">
        <f>B9/1000</f>
        <v>0</v>
      </c>
      <c r="C10" s="314">
        <f t="shared" ref="C10:M10" si="3">C9/1000+B10</f>
        <v>0</v>
      </c>
      <c r="D10" s="314">
        <f t="shared" si="3"/>
        <v>0</v>
      </c>
      <c r="E10" s="314">
        <f t="shared" si="3"/>
        <v>0</v>
      </c>
      <c r="F10" s="314">
        <f t="shared" si="3"/>
        <v>0</v>
      </c>
      <c r="G10" s="314">
        <f t="shared" si="3"/>
        <v>0</v>
      </c>
      <c r="H10" s="314">
        <f t="shared" si="3"/>
        <v>0</v>
      </c>
      <c r="I10" s="314">
        <f t="shared" si="3"/>
        <v>0</v>
      </c>
      <c r="J10" s="314">
        <f t="shared" si="3"/>
        <v>0</v>
      </c>
      <c r="K10" s="314">
        <f t="shared" si="3"/>
        <v>0</v>
      </c>
      <c r="L10" s="314">
        <f t="shared" si="3"/>
        <v>0</v>
      </c>
      <c r="M10" s="314">
        <f t="shared" si="3"/>
        <v>0</v>
      </c>
    </row>
    <row r="11" spans="1:13" ht="14.4" customHeight="1" x14ac:dyDescent="0.3">
      <c r="A11" s="309"/>
      <c r="B11" s="309" t="s">
        <v>103</v>
      </c>
      <c r="C11" s="309">
        <f ca="1">IF(MONTH(TODAY())=1,12,MONTH(TODAY())-1)</f>
        <v>12</v>
      </c>
      <c r="D11" s="309"/>
      <c r="E11" s="309"/>
      <c r="F11" s="309"/>
      <c r="G11" s="309"/>
      <c r="H11" s="309"/>
      <c r="I11" s="309"/>
      <c r="J11" s="309"/>
      <c r="K11" s="309"/>
      <c r="L11" s="309"/>
      <c r="M11" s="309"/>
    </row>
    <row r="12" spans="1:13" ht="14.4" customHeight="1" x14ac:dyDescent="0.3">
      <c r="A12" s="309">
        <v>0</v>
      </c>
      <c r="B12" s="312">
        <f>IF(ISERROR(HI!F15),#REF!,HI!F15)</f>
        <v>0.34508578497615244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</row>
    <row r="13" spans="1:13" ht="14.4" customHeight="1" x14ac:dyDescent="0.3">
      <c r="A13" s="309">
        <v>1</v>
      </c>
      <c r="B13" s="312">
        <f>IF(ISERROR(HI!F15),#REF!,HI!F15)</f>
        <v>0.34508578497615244</v>
      </c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8" bestFit="1" customWidth="1"/>
    <col min="2" max="2" width="12.77734375" style="238" bestFit="1" customWidth="1"/>
    <col min="3" max="3" width="13.6640625" style="238" bestFit="1" customWidth="1"/>
    <col min="4" max="15" width="7.77734375" style="238" bestFit="1" customWidth="1"/>
    <col min="16" max="16" width="8.88671875" style="238" customWidth="1"/>
    <col min="17" max="17" width="6.6640625" style="238" bestFit="1" customWidth="1"/>
    <col min="18" max="16384" width="8.88671875" style="238"/>
  </cols>
  <sheetData>
    <row r="1" spans="1:17" s="315" customFormat="1" ht="18.600000000000001" customHeight="1" thickBot="1" x14ac:dyDescent="0.4">
      <c r="A1" s="463" t="s">
        <v>282</v>
      </c>
      <c r="B1" s="463"/>
      <c r="C1" s="463"/>
      <c r="D1" s="463"/>
      <c r="E1" s="463"/>
      <c r="F1" s="463"/>
      <c r="G1" s="463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s="315" customFormat="1" ht="14.4" customHeight="1" thickBot="1" x14ac:dyDescent="0.3">
      <c r="A2" s="360" t="s">
        <v>280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7" ht="14.4" customHeight="1" x14ac:dyDescent="0.3">
      <c r="A3" s="92"/>
      <c r="B3" s="464" t="s">
        <v>16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247"/>
      <c r="Q3" s="249"/>
    </row>
    <row r="4" spans="1:17" ht="14.4" customHeight="1" x14ac:dyDescent="0.3">
      <c r="A4" s="93"/>
      <c r="B4" s="24">
        <v>2016</v>
      </c>
      <c r="C4" s="248" t="s">
        <v>17</v>
      </c>
      <c r="D4" s="226" t="s">
        <v>255</v>
      </c>
      <c r="E4" s="226" t="s">
        <v>256</v>
      </c>
      <c r="F4" s="226" t="s">
        <v>257</v>
      </c>
      <c r="G4" s="226" t="s">
        <v>258</v>
      </c>
      <c r="H4" s="226" t="s">
        <v>259</v>
      </c>
      <c r="I4" s="226" t="s">
        <v>260</v>
      </c>
      <c r="J4" s="226" t="s">
        <v>261</v>
      </c>
      <c r="K4" s="226" t="s">
        <v>262</v>
      </c>
      <c r="L4" s="226" t="s">
        <v>263</v>
      </c>
      <c r="M4" s="226" t="s">
        <v>264</v>
      </c>
      <c r="N4" s="226" t="s">
        <v>265</v>
      </c>
      <c r="O4" s="226" t="s">
        <v>266</v>
      </c>
      <c r="P4" s="466" t="s">
        <v>3</v>
      </c>
      <c r="Q4" s="467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3" t="s">
        <v>281</v>
      </c>
    </row>
    <row r="7" spans="1:17" ht="14.4" customHeight="1" x14ac:dyDescent="0.3">
      <c r="A7" s="19" t="s">
        <v>22</v>
      </c>
      <c r="B7" s="55">
        <v>9400.2891524788192</v>
      </c>
      <c r="C7" s="56">
        <v>783.35742937323505</v>
      </c>
      <c r="D7" s="56">
        <v>423.79485</v>
      </c>
      <c r="E7" s="56">
        <v>676.10554000000002</v>
      </c>
      <c r="F7" s="56">
        <v>735.74391000000003</v>
      </c>
      <c r="G7" s="56">
        <v>783.91305999999997</v>
      </c>
      <c r="H7" s="56">
        <v>1050.84211</v>
      </c>
      <c r="I7" s="56">
        <v>985.626730000002</v>
      </c>
      <c r="J7" s="56">
        <v>1278.7806599999999</v>
      </c>
      <c r="K7" s="56">
        <v>781.57503999999994</v>
      </c>
      <c r="L7" s="56">
        <v>797.58991000000003</v>
      </c>
      <c r="M7" s="56">
        <v>1010.1618099999999</v>
      </c>
      <c r="N7" s="56">
        <v>574.02629999999897</v>
      </c>
      <c r="O7" s="56">
        <v>875.33802000000401</v>
      </c>
      <c r="P7" s="57">
        <v>9973.4979399999993</v>
      </c>
      <c r="Q7" s="174">
        <v>1.060977782515</v>
      </c>
    </row>
    <row r="8" spans="1:17" ht="14.4" customHeight="1" x14ac:dyDescent="0.3">
      <c r="A8" s="19" t="s">
        <v>23</v>
      </c>
      <c r="B8" s="55">
        <v>4662.6962705982696</v>
      </c>
      <c r="C8" s="56">
        <v>388.55802254985599</v>
      </c>
      <c r="D8" s="56">
        <v>282.38900000000001</v>
      </c>
      <c r="E8" s="56">
        <v>306.43299999999999</v>
      </c>
      <c r="F8" s="56">
        <v>342.91699999999997</v>
      </c>
      <c r="G8" s="56">
        <v>529.26</v>
      </c>
      <c r="H8" s="56">
        <v>468.27300000000002</v>
      </c>
      <c r="I8" s="56">
        <v>0</v>
      </c>
      <c r="J8" s="56">
        <v>0</v>
      </c>
      <c r="K8" s="56">
        <v>561.65599999999995</v>
      </c>
      <c r="L8" s="56">
        <v>2299.7710000000002</v>
      </c>
      <c r="M8" s="56">
        <v>354.88</v>
      </c>
      <c r="N8" s="56">
        <v>277.363</v>
      </c>
      <c r="O8" s="56">
        <v>418.56600000000202</v>
      </c>
      <c r="P8" s="57">
        <v>5841.5079999999998</v>
      </c>
      <c r="Q8" s="174">
        <v>1.252817610453</v>
      </c>
    </row>
    <row r="9" spans="1:17" ht="14.4" customHeight="1" x14ac:dyDescent="0.3">
      <c r="A9" s="19" t="s">
        <v>24</v>
      </c>
      <c r="B9" s="55">
        <v>3910.0003529927899</v>
      </c>
      <c r="C9" s="56">
        <v>325.83336274939899</v>
      </c>
      <c r="D9" s="56">
        <v>325.55860999999999</v>
      </c>
      <c r="E9" s="56">
        <v>296.60705999999999</v>
      </c>
      <c r="F9" s="56">
        <v>200.50013999999999</v>
      </c>
      <c r="G9" s="56">
        <v>386.34102999999999</v>
      </c>
      <c r="H9" s="56">
        <v>347.2568</v>
      </c>
      <c r="I9" s="56">
        <v>396.91764000000097</v>
      </c>
      <c r="J9" s="56">
        <v>271.13411000000002</v>
      </c>
      <c r="K9" s="56">
        <v>264.31357000000003</v>
      </c>
      <c r="L9" s="56">
        <v>315.44729000000001</v>
      </c>
      <c r="M9" s="56">
        <v>260.24529000000001</v>
      </c>
      <c r="N9" s="56">
        <v>310.92243000000002</v>
      </c>
      <c r="O9" s="56">
        <v>372.68555000000202</v>
      </c>
      <c r="P9" s="57">
        <v>3747.9295200000001</v>
      </c>
      <c r="Q9" s="174">
        <v>0.95854966282300003</v>
      </c>
    </row>
    <row r="10" spans="1:17" ht="14.4" customHeight="1" x14ac:dyDescent="0.3">
      <c r="A10" s="19" t="s">
        <v>25</v>
      </c>
      <c r="B10" s="55">
        <v>65.408991560133998</v>
      </c>
      <c r="C10" s="56">
        <v>5.4507492966770004</v>
      </c>
      <c r="D10" s="56">
        <v>3.8880599999999998</v>
      </c>
      <c r="E10" s="56">
        <v>3.3269500000000001</v>
      </c>
      <c r="F10" s="56">
        <v>5.57057</v>
      </c>
      <c r="G10" s="56">
        <v>6.6634399999999996</v>
      </c>
      <c r="H10" s="56">
        <v>5.5320600000000004</v>
      </c>
      <c r="I10" s="56">
        <v>8.36754</v>
      </c>
      <c r="J10" s="56">
        <v>6.8672000000000004</v>
      </c>
      <c r="K10" s="56">
        <v>5.7547600000000001</v>
      </c>
      <c r="L10" s="56">
        <v>6.1454700000000004</v>
      </c>
      <c r="M10" s="56">
        <v>9.3917999999999999</v>
      </c>
      <c r="N10" s="56">
        <v>5.3915499999990004</v>
      </c>
      <c r="O10" s="56">
        <v>4.3939700000000004</v>
      </c>
      <c r="P10" s="57">
        <v>71.293369999999996</v>
      </c>
      <c r="Q10" s="174">
        <v>1.0899628369050001</v>
      </c>
    </row>
    <row r="11" spans="1:17" ht="14.4" customHeight="1" x14ac:dyDescent="0.3">
      <c r="A11" s="19" t="s">
        <v>26</v>
      </c>
      <c r="B11" s="55">
        <v>378.481903829185</v>
      </c>
      <c r="C11" s="56">
        <v>31.540158652432002</v>
      </c>
      <c r="D11" s="56">
        <v>17.376190000000001</v>
      </c>
      <c r="E11" s="56">
        <v>34.678759999999997</v>
      </c>
      <c r="F11" s="56">
        <v>41.001849999999997</v>
      </c>
      <c r="G11" s="56">
        <v>46.814549999999997</v>
      </c>
      <c r="H11" s="56">
        <v>39.129800000000003</v>
      </c>
      <c r="I11" s="56">
        <v>29.049479999999999</v>
      </c>
      <c r="J11" s="56">
        <v>21.463550000000001</v>
      </c>
      <c r="K11" s="56">
        <v>29.578859999999999</v>
      </c>
      <c r="L11" s="56">
        <v>26.988140000000001</v>
      </c>
      <c r="M11" s="56">
        <v>29.163260000000001</v>
      </c>
      <c r="N11" s="56">
        <v>39.04974</v>
      </c>
      <c r="O11" s="56">
        <v>49.266640000000002</v>
      </c>
      <c r="P11" s="57">
        <v>403.56081999999998</v>
      </c>
      <c r="Q11" s="174">
        <v>1.066261863294</v>
      </c>
    </row>
    <row r="12" spans="1:17" ht="14.4" customHeight="1" x14ac:dyDescent="0.3">
      <c r="A12" s="19" t="s">
        <v>27</v>
      </c>
      <c r="B12" s="55">
        <v>111.10826860548801</v>
      </c>
      <c r="C12" s="56">
        <v>9.2590223837900005</v>
      </c>
      <c r="D12" s="56">
        <v>30.802949999999999</v>
      </c>
      <c r="E12" s="56">
        <v>44.355119999999999</v>
      </c>
      <c r="F12" s="56">
        <v>11.00116</v>
      </c>
      <c r="G12" s="56">
        <v>0.27629999999999999</v>
      </c>
      <c r="H12" s="56">
        <v>24.44558</v>
      </c>
      <c r="I12" s="56">
        <v>22.8703</v>
      </c>
      <c r="J12" s="56">
        <v>21.7621</v>
      </c>
      <c r="K12" s="56">
        <v>54.292900000000003</v>
      </c>
      <c r="L12" s="56">
        <v>4.4499999999999998E-2</v>
      </c>
      <c r="M12" s="56">
        <v>19.192129999999999</v>
      </c>
      <c r="N12" s="56">
        <v>5.4194999999990001</v>
      </c>
      <c r="O12" s="56">
        <v>0.16800000000000001</v>
      </c>
      <c r="P12" s="57">
        <v>234.63054</v>
      </c>
      <c r="Q12" s="174">
        <v>2.1117288834110002</v>
      </c>
    </row>
    <row r="13" spans="1:17" ht="14.4" customHeight="1" x14ac:dyDescent="0.3">
      <c r="A13" s="19" t="s">
        <v>28</v>
      </c>
      <c r="B13" s="55">
        <v>142.120187634671</v>
      </c>
      <c r="C13" s="56">
        <v>11.843348969555</v>
      </c>
      <c r="D13" s="56">
        <v>10.12659</v>
      </c>
      <c r="E13" s="56">
        <v>14.383599999999999</v>
      </c>
      <c r="F13" s="56">
        <v>12.590590000000001</v>
      </c>
      <c r="G13" s="56">
        <v>13.12712</v>
      </c>
      <c r="H13" s="56">
        <v>14.840199999999999</v>
      </c>
      <c r="I13" s="56">
        <v>15.95227</v>
      </c>
      <c r="J13" s="56">
        <v>14.80523</v>
      </c>
      <c r="K13" s="56">
        <v>13.777089999999999</v>
      </c>
      <c r="L13" s="56">
        <v>14.425129999999999</v>
      </c>
      <c r="M13" s="56">
        <v>11.14531</v>
      </c>
      <c r="N13" s="56">
        <v>59.684849999999003</v>
      </c>
      <c r="O13" s="56">
        <v>24.40446</v>
      </c>
      <c r="P13" s="57">
        <v>219.26244</v>
      </c>
      <c r="Q13" s="174">
        <v>1.542795880368</v>
      </c>
    </row>
    <row r="14" spans="1:17" ht="14.4" customHeight="1" x14ac:dyDescent="0.3">
      <c r="A14" s="19" t="s">
        <v>29</v>
      </c>
      <c r="B14" s="55">
        <v>304.68564280130101</v>
      </c>
      <c r="C14" s="56">
        <v>25.390470233441</v>
      </c>
      <c r="D14" s="56">
        <v>39.357999999999997</v>
      </c>
      <c r="E14" s="56">
        <v>30.263999999999999</v>
      </c>
      <c r="F14" s="56">
        <v>31.998000000000001</v>
      </c>
      <c r="G14" s="56">
        <v>24.629000000000001</v>
      </c>
      <c r="H14" s="56">
        <v>18.96</v>
      </c>
      <c r="I14" s="56">
        <v>16.414999999999999</v>
      </c>
      <c r="J14" s="56">
        <v>15.292</v>
      </c>
      <c r="K14" s="56">
        <v>15.815</v>
      </c>
      <c r="L14" s="56">
        <v>16.536000000000001</v>
      </c>
      <c r="M14" s="56">
        <v>26.116</v>
      </c>
      <c r="N14" s="56">
        <v>29.838000000000001</v>
      </c>
      <c r="O14" s="56">
        <v>33.780999999999999</v>
      </c>
      <c r="P14" s="57">
        <v>299.00200000000001</v>
      </c>
      <c r="Q14" s="174">
        <v>0.981345879152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4" t="s">
        <v>281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4" t="s">
        <v>281</v>
      </c>
    </row>
    <row r="17" spans="1:17" ht="14.4" customHeight="1" x14ac:dyDescent="0.3">
      <c r="A17" s="19" t="s">
        <v>32</v>
      </c>
      <c r="B17" s="55">
        <v>578.10704015763395</v>
      </c>
      <c r="C17" s="56">
        <v>48.175586679802002</v>
      </c>
      <c r="D17" s="56">
        <v>81.941749999999999</v>
      </c>
      <c r="E17" s="56">
        <v>14.873139999999999</v>
      </c>
      <c r="F17" s="56">
        <v>25.354130000000001</v>
      </c>
      <c r="G17" s="56">
        <v>45.848860000000002</v>
      </c>
      <c r="H17" s="56">
        <v>24.458379999999998</v>
      </c>
      <c r="I17" s="56">
        <v>35.579569999999997</v>
      </c>
      <c r="J17" s="56">
        <v>52.547490000000003</v>
      </c>
      <c r="K17" s="56">
        <v>10.319190000000001</v>
      </c>
      <c r="L17" s="56">
        <v>13.428699999999999</v>
      </c>
      <c r="M17" s="56">
        <v>73.245779999999996</v>
      </c>
      <c r="N17" s="56">
        <v>171.46552</v>
      </c>
      <c r="O17" s="56">
        <v>79.704409999999996</v>
      </c>
      <c r="P17" s="57">
        <v>628.76692000000003</v>
      </c>
      <c r="Q17" s="174">
        <v>1.087630622572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14.349</v>
      </c>
      <c r="E18" s="56">
        <v>0</v>
      </c>
      <c r="F18" s="56">
        <v>28.991</v>
      </c>
      <c r="G18" s="56">
        <v>16.390999999999998</v>
      </c>
      <c r="H18" s="56">
        <v>22.742000000000001</v>
      </c>
      <c r="I18" s="56">
        <v>22.039000000000001</v>
      </c>
      <c r="J18" s="56">
        <v>0</v>
      </c>
      <c r="K18" s="56">
        <v>0</v>
      </c>
      <c r="L18" s="56">
        <v>8.3670000000000009</v>
      </c>
      <c r="M18" s="56">
        <v>23.737300000000001</v>
      </c>
      <c r="N18" s="56">
        <v>32.013060000000003</v>
      </c>
      <c r="O18" s="56">
        <v>30.292660000000001</v>
      </c>
      <c r="P18" s="57">
        <v>198.92202</v>
      </c>
      <c r="Q18" s="174" t="s">
        <v>281</v>
      </c>
    </row>
    <row r="19" spans="1:17" ht="14.4" customHeight="1" x14ac:dyDescent="0.3">
      <c r="A19" s="19" t="s">
        <v>34</v>
      </c>
      <c r="B19" s="55">
        <v>968.81937283496302</v>
      </c>
      <c r="C19" s="56">
        <v>80.734947736245999</v>
      </c>
      <c r="D19" s="56">
        <v>62.119219999999999</v>
      </c>
      <c r="E19" s="56">
        <v>53.891910000000003</v>
      </c>
      <c r="F19" s="56">
        <v>156.95325</v>
      </c>
      <c r="G19" s="56">
        <v>64.867459999999994</v>
      </c>
      <c r="H19" s="56">
        <v>57.741120000000002</v>
      </c>
      <c r="I19" s="56">
        <v>61.180689999999998</v>
      </c>
      <c r="J19" s="56">
        <v>158.8725</v>
      </c>
      <c r="K19" s="56">
        <v>51.460940000000001</v>
      </c>
      <c r="L19" s="56">
        <v>100.63918</v>
      </c>
      <c r="M19" s="56">
        <v>64.553129999999996</v>
      </c>
      <c r="N19" s="56">
        <v>63.769889999999002</v>
      </c>
      <c r="O19" s="56">
        <v>114.67273</v>
      </c>
      <c r="P19" s="57">
        <v>1010.72202</v>
      </c>
      <c r="Q19" s="174">
        <v>1.0432512482089999</v>
      </c>
    </row>
    <row r="20" spans="1:17" ht="14.4" customHeight="1" x14ac:dyDescent="0.3">
      <c r="A20" s="19" t="s">
        <v>35</v>
      </c>
      <c r="B20" s="55">
        <v>38949.383767820298</v>
      </c>
      <c r="C20" s="56">
        <v>3245.78198065169</v>
      </c>
      <c r="D20" s="56">
        <v>3170.6149700000001</v>
      </c>
      <c r="E20" s="56">
        <v>3251.4649199999999</v>
      </c>
      <c r="F20" s="56">
        <v>3367.4746700000001</v>
      </c>
      <c r="G20" s="56">
        <v>3339.9526599999999</v>
      </c>
      <c r="H20" s="56">
        <v>3561.2966799999999</v>
      </c>
      <c r="I20" s="56">
        <v>3081.6882300000102</v>
      </c>
      <c r="J20" s="56">
        <v>4412.7801300000001</v>
      </c>
      <c r="K20" s="56">
        <v>3371.8929499999999</v>
      </c>
      <c r="L20" s="56">
        <v>3486.6536799999999</v>
      </c>
      <c r="M20" s="56">
        <v>3753.0767000000001</v>
      </c>
      <c r="N20" s="56">
        <v>4093.2552899999901</v>
      </c>
      <c r="O20" s="56">
        <v>3895.7035300000198</v>
      </c>
      <c r="P20" s="57">
        <v>42785.85441</v>
      </c>
      <c r="Q20" s="174">
        <v>1.098498879084</v>
      </c>
    </row>
    <row r="21" spans="1:17" ht="14.4" customHeight="1" x14ac:dyDescent="0.3">
      <c r="A21" s="20" t="s">
        <v>36</v>
      </c>
      <c r="B21" s="55">
        <v>1830.00422594517</v>
      </c>
      <c r="C21" s="56">
        <v>152.50035216209699</v>
      </c>
      <c r="D21" s="56">
        <v>160.02699999999999</v>
      </c>
      <c r="E21" s="56">
        <v>160.02699999999999</v>
      </c>
      <c r="F21" s="56">
        <v>158.84700000000001</v>
      </c>
      <c r="G21" s="56">
        <v>156.52099999999999</v>
      </c>
      <c r="H21" s="56">
        <v>156.52099999999999</v>
      </c>
      <c r="I21" s="56">
        <v>147.434</v>
      </c>
      <c r="J21" s="56">
        <v>147.43</v>
      </c>
      <c r="K21" s="56">
        <v>147.43</v>
      </c>
      <c r="L21" s="56">
        <v>148.76499999999999</v>
      </c>
      <c r="M21" s="56">
        <v>151.114</v>
      </c>
      <c r="N21" s="56">
        <v>151.113</v>
      </c>
      <c r="O21" s="56">
        <v>151.11300000000099</v>
      </c>
      <c r="P21" s="57">
        <v>1836.3420000000001</v>
      </c>
      <c r="Q21" s="174">
        <v>1.0034632565129999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4.5679999999999996</v>
      </c>
      <c r="H22" s="56">
        <v>0</v>
      </c>
      <c r="I22" s="56">
        <v>48.789920000000002</v>
      </c>
      <c r="J22" s="56">
        <v>0</v>
      </c>
      <c r="K22" s="56">
        <v>0</v>
      </c>
      <c r="L22" s="56">
        <v>43.252569999999999</v>
      </c>
      <c r="M22" s="56">
        <v>0</v>
      </c>
      <c r="N22" s="56">
        <v>0</v>
      </c>
      <c r="O22" s="56">
        <v>0</v>
      </c>
      <c r="P22" s="57">
        <v>96.610489999999999</v>
      </c>
      <c r="Q22" s="174" t="s">
        <v>281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4" t="s">
        <v>281</v>
      </c>
    </row>
    <row r="24" spans="1:17" ht="14.4" customHeight="1" x14ac:dyDescent="0.3">
      <c r="A24" s="20" t="s">
        <v>39</v>
      </c>
      <c r="B24" s="55">
        <v>-2.18278728425503E-11</v>
      </c>
      <c r="C24" s="56">
        <v>-2.7284841053187799E-12</v>
      </c>
      <c r="D24" s="56">
        <v>30.113379999999999</v>
      </c>
      <c r="E24" s="56">
        <v>1.7847999999999999</v>
      </c>
      <c r="F24" s="56">
        <v>13.468619999997999</v>
      </c>
      <c r="G24" s="56">
        <v>52.793009999997999</v>
      </c>
      <c r="H24" s="56">
        <v>26.255930000001001</v>
      </c>
      <c r="I24" s="56">
        <v>9.4009299999980005</v>
      </c>
      <c r="J24" s="56">
        <v>1.3500000000000001E-3</v>
      </c>
      <c r="K24" s="56">
        <v>1.559999998E-3</v>
      </c>
      <c r="L24" s="56">
        <v>22.536419999997001</v>
      </c>
      <c r="M24" s="56">
        <v>130.03530999999899</v>
      </c>
      <c r="N24" s="56">
        <v>29.294139999999999</v>
      </c>
      <c r="O24" s="56">
        <v>14.827909999999999</v>
      </c>
      <c r="P24" s="57">
        <v>330.51335999999401</v>
      </c>
      <c r="Q24" s="174"/>
    </row>
    <row r="25" spans="1:17" ht="14.4" customHeight="1" x14ac:dyDescent="0.3">
      <c r="A25" s="21" t="s">
        <v>40</v>
      </c>
      <c r="B25" s="58">
        <v>61301.105177258702</v>
      </c>
      <c r="C25" s="59">
        <v>5108.4254314382297</v>
      </c>
      <c r="D25" s="59">
        <v>4652.45957</v>
      </c>
      <c r="E25" s="59">
        <v>4888.1958000000004</v>
      </c>
      <c r="F25" s="59">
        <v>5132.4118900000003</v>
      </c>
      <c r="G25" s="59">
        <v>5471.9664899999998</v>
      </c>
      <c r="H25" s="59">
        <v>5818.2946599999996</v>
      </c>
      <c r="I25" s="59">
        <v>4881.3113000000103</v>
      </c>
      <c r="J25" s="59">
        <v>6401.73632</v>
      </c>
      <c r="K25" s="59">
        <v>5307.8678600000003</v>
      </c>
      <c r="L25" s="59">
        <v>7300.5899900000004</v>
      </c>
      <c r="M25" s="59">
        <v>5916.05782</v>
      </c>
      <c r="N25" s="59">
        <v>5842.6062699999902</v>
      </c>
      <c r="O25" s="59">
        <v>6064.91788000003</v>
      </c>
      <c r="P25" s="60">
        <v>67678.415850000005</v>
      </c>
      <c r="Q25" s="175">
        <v>1.104032556253</v>
      </c>
    </row>
    <row r="26" spans="1:17" ht="14.4" customHeight="1" x14ac:dyDescent="0.3">
      <c r="A26" s="19" t="s">
        <v>41</v>
      </c>
      <c r="B26" s="55">
        <v>5710.2391833633901</v>
      </c>
      <c r="C26" s="56">
        <v>475.85326528028298</v>
      </c>
      <c r="D26" s="56">
        <v>533.51563999999996</v>
      </c>
      <c r="E26" s="56">
        <v>520.32169999999996</v>
      </c>
      <c r="F26" s="56">
        <v>602.92313000000001</v>
      </c>
      <c r="G26" s="56">
        <v>594.98180000000002</v>
      </c>
      <c r="H26" s="56">
        <v>583.80668000000003</v>
      </c>
      <c r="I26" s="56">
        <v>575.81592999999998</v>
      </c>
      <c r="J26" s="56">
        <v>763.93870000000004</v>
      </c>
      <c r="K26" s="56">
        <v>646.31183999999996</v>
      </c>
      <c r="L26" s="56">
        <v>600.79114000000004</v>
      </c>
      <c r="M26" s="56">
        <v>568.81080999999995</v>
      </c>
      <c r="N26" s="56">
        <v>654.19251999999994</v>
      </c>
      <c r="O26" s="56">
        <v>608.27242000000001</v>
      </c>
      <c r="P26" s="57">
        <v>7253.6823100000001</v>
      </c>
      <c r="Q26" s="174">
        <v>1.270293953908</v>
      </c>
    </row>
    <row r="27" spans="1:17" ht="14.4" customHeight="1" x14ac:dyDescent="0.3">
      <c r="A27" s="22" t="s">
        <v>42</v>
      </c>
      <c r="B27" s="58">
        <v>67011.344360622097</v>
      </c>
      <c r="C27" s="59">
        <v>5584.2786967185102</v>
      </c>
      <c r="D27" s="59">
        <v>5185.9752099999996</v>
      </c>
      <c r="E27" s="59">
        <v>5408.5174999999999</v>
      </c>
      <c r="F27" s="59">
        <v>5735.3350200000004</v>
      </c>
      <c r="G27" s="59">
        <v>6066.9482900000003</v>
      </c>
      <c r="H27" s="59">
        <v>6402.1013400000002</v>
      </c>
      <c r="I27" s="59">
        <v>5457.1272300000101</v>
      </c>
      <c r="J27" s="59">
        <v>7165.6750199999997</v>
      </c>
      <c r="K27" s="59">
        <v>5954.1796999999997</v>
      </c>
      <c r="L27" s="59">
        <v>7901.3811299999998</v>
      </c>
      <c r="M27" s="59">
        <v>6484.8686299999999</v>
      </c>
      <c r="N27" s="59">
        <v>6496.7987899999898</v>
      </c>
      <c r="O27" s="59">
        <v>6673.1903000000302</v>
      </c>
      <c r="P27" s="60">
        <v>74932.098159999994</v>
      </c>
      <c r="Q27" s="175">
        <v>1.1182001924439999</v>
      </c>
    </row>
    <row r="28" spans="1:17" ht="14.4" customHeight="1" x14ac:dyDescent="0.3">
      <c r="A28" s="20" t="s">
        <v>43</v>
      </c>
      <c r="B28" s="55">
        <v>76.383075826246994</v>
      </c>
      <c r="C28" s="56">
        <v>6.3652563188529996</v>
      </c>
      <c r="D28" s="56">
        <v>0</v>
      </c>
      <c r="E28" s="56">
        <v>6.8599999999999994E-2</v>
      </c>
      <c r="F28" s="56">
        <v>0.249</v>
      </c>
      <c r="G28" s="56">
        <v>0.16528000000000001</v>
      </c>
      <c r="H28" s="56">
        <v>0</v>
      </c>
      <c r="I28" s="56">
        <v>0</v>
      </c>
      <c r="J28" s="56">
        <v>0</v>
      </c>
      <c r="K28" s="56">
        <v>0</v>
      </c>
      <c r="L28" s="56">
        <v>5.7029999999999997E-2</v>
      </c>
      <c r="M28" s="56">
        <v>0</v>
      </c>
      <c r="N28" s="56">
        <v>0</v>
      </c>
      <c r="O28" s="56">
        <v>0</v>
      </c>
      <c r="P28" s="57">
        <v>0.53991</v>
      </c>
      <c r="Q28" s="174">
        <v>7.0684506239999997E-3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4" t="s">
        <v>281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4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6" t="s">
        <v>281</v>
      </c>
    </row>
    <row r="32" spans="1:17" ht="14.4" customHeight="1" x14ac:dyDescent="0.3"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ht="14.4" customHeight="1" x14ac:dyDescent="0.3">
      <c r="A33" s="210" t="s">
        <v>177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4.4" customHeight="1" x14ac:dyDescent="0.3">
      <c r="A34" s="244" t="s">
        <v>267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t="14.4" customHeight="1" x14ac:dyDescent="0.3">
      <c r="A35" s="245" t="s">
        <v>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8" customWidth="1"/>
    <col min="2" max="11" width="10" style="238" customWidth="1"/>
    <col min="12" max="16384" width="8.88671875" style="238"/>
  </cols>
  <sheetData>
    <row r="1" spans="1:11" s="64" customFormat="1" ht="18.600000000000001" customHeight="1" thickBot="1" x14ac:dyDescent="0.4">
      <c r="A1" s="463" t="s">
        <v>48</v>
      </c>
      <c r="B1" s="463"/>
      <c r="C1" s="463"/>
      <c r="D1" s="463"/>
      <c r="E1" s="463"/>
      <c r="F1" s="463"/>
      <c r="G1" s="463"/>
      <c r="H1" s="468"/>
      <c r="I1" s="468"/>
      <c r="J1" s="468"/>
      <c r="K1" s="468"/>
    </row>
    <row r="2" spans="1:11" s="64" customFormat="1" ht="14.4" customHeight="1" thickBot="1" x14ac:dyDescent="0.35">
      <c r="A2" s="360" t="s">
        <v>280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64" t="s">
        <v>49</v>
      </c>
      <c r="C3" s="465"/>
      <c r="D3" s="465"/>
      <c r="E3" s="465"/>
      <c r="F3" s="471" t="s">
        <v>50</v>
      </c>
      <c r="G3" s="465"/>
      <c r="H3" s="465"/>
      <c r="I3" s="465"/>
      <c r="J3" s="465"/>
      <c r="K3" s="472"/>
    </row>
    <row r="4" spans="1:11" ht="14.4" customHeight="1" x14ac:dyDescent="0.3">
      <c r="A4" s="93"/>
      <c r="B4" s="469"/>
      <c r="C4" s="470"/>
      <c r="D4" s="470"/>
      <c r="E4" s="470"/>
      <c r="F4" s="473" t="s">
        <v>272</v>
      </c>
      <c r="G4" s="475" t="s">
        <v>51</v>
      </c>
      <c r="H4" s="250" t="s">
        <v>164</v>
      </c>
      <c r="I4" s="473" t="s">
        <v>52</v>
      </c>
      <c r="J4" s="475" t="s">
        <v>244</v>
      </c>
      <c r="K4" s="476" t="s">
        <v>274</v>
      </c>
    </row>
    <row r="5" spans="1:11" ht="42" thickBot="1" x14ac:dyDescent="0.35">
      <c r="A5" s="94"/>
      <c r="B5" s="28" t="s">
        <v>268</v>
      </c>
      <c r="C5" s="29" t="s">
        <v>269</v>
      </c>
      <c r="D5" s="30" t="s">
        <v>270</v>
      </c>
      <c r="E5" s="30" t="s">
        <v>271</v>
      </c>
      <c r="F5" s="474"/>
      <c r="G5" s="474"/>
      <c r="H5" s="29" t="s">
        <v>273</v>
      </c>
      <c r="I5" s="474"/>
      <c r="J5" s="474"/>
      <c r="K5" s="477"/>
    </row>
    <row r="6" spans="1:11" ht="14.4" customHeight="1" thickBot="1" x14ac:dyDescent="0.35">
      <c r="A6" s="586" t="s">
        <v>283</v>
      </c>
      <c r="B6" s="568">
        <v>53324.9230497963</v>
      </c>
      <c r="C6" s="568">
        <v>58083.959730000002</v>
      </c>
      <c r="D6" s="569">
        <v>4759.0366802036997</v>
      </c>
      <c r="E6" s="570">
        <v>1.089246011208</v>
      </c>
      <c r="F6" s="568">
        <v>61301.105177258702</v>
      </c>
      <c r="G6" s="569">
        <v>61301.105177258702</v>
      </c>
      <c r="H6" s="571">
        <v>6064.91788000003</v>
      </c>
      <c r="I6" s="568">
        <v>67678.415850000005</v>
      </c>
      <c r="J6" s="569">
        <v>6377.3106727412996</v>
      </c>
      <c r="K6" s="572">
        <v>1.104032556253</v>
      </c>
    </row>
    <row r="7" spans="1:11" ht="14.4" customHeight="1" thickBot="1" x14ac:dyDescent="0.35">
      <c r="A7" s="587" t="s">
        <v>284</v>
      </c>
      <c r="B7" s="568">
        <v>16849.5501002196</v>
      </c>
      <c r="C7" s="568">
        <v>18260.980510000001</v>
      </c>
      <c r="D7" s="569">
        <v>1411.43040978043</v>
      </c>
      <c r="E7" s="570">
        <v>1.083766652604</v>
      </c>
      <c r="F7" s="568">
        <v>18974.7907705006</v>
      </c>
      <c r="G7" s="569">
        <v>18974.7907705006</v>
      </c>
      <c r="H7" s="571">
        <v>1778.6037900000099</v>
      </c>
      <c r="I7" s="568">
        <v>20790.69284</v>
      </c>
      <c r="J7" s="569">
        <v>1815.9020694993701</v>
      </c>
      <c r="K7" s="572">
        <v>1.09570076906</v>
      </c>
    </row>
    <row r="8" spans="1:11" ht="14.4" customHeight="1" thickBot="1" x14ac:dyDescent="0.35">
      <c r="A8" s="588" t="s">
        <v>285</v>
      </c>
      <c r="B8" s="568">
        <v>16550.383065885399</v>
      </c>
      <c r="C8" s="568">
        <v>17951.808509999999</v>
      </c>
      <c r="D8" s="569">
        <v>1401.4254441145999</v>
      </c>
      <c r="E8" s="570">
        <v>1.0846763146530001</v>
      </c>
      <c r="F8" s="568">
        <v>18670.105127699298</v>
      </c>
      <c r="G8" s="569">
        <v>18670.105127699298</v>
      </c>
      <c r="H8" s="571">
        <v>1744.8227900000099</v>
      </c>
      <c r="I8" s="568">
        <v>20491.690839999999</v>
      </c>
      <c r="J8" s="569">
        <v>1821.5857123006699</v>
      </c>
      <c r="K8" s="572">
        <v>1.097566976717</v>
      </c>
    </row>
    <row r="9" spans="1:11" ht="14.4" customHeight="1" thickBot="1" x14ac:dyDescent="0.35">
      <c r="A9" s="589" t="s">
        <v>286</v>
      </c>
      <c r="B9" s="573">
        <v>0</v>
      </c>
      <c r="C9" s="573">
        <v>7.5100000000000002E-3</v>
      </c>
      <c r="D9" s="574">
        <v>7.5100000000000002E-3</v>
      </c>
      <c r="E9" s="575" t="s">
        <v>281</v>
      </c>
      <c r="F9" s="573">
        <v>0</v>
      </c>
      <c r="G9" s="574">
        <v>0</v>
      </c>
      <c r="H9" s="576">
        <v>1.4999999999999999E-4</v>
      </c>
      <c r="I9" s="573">
        <v>8.2100000000000003E-3</v>
      </c>
      <c r="J9" s="574">
        <v>8.2100000000000003E-3</v>
      </c>
      <c r="K9" s="577" t="s">
        <v>281</v>
      </c>
    </row>
    <row r="10" spans="1:11" ht="14.4" customHeight="1" thickBot="1" x14ac:dyDescent="0.35">
      <c r="A10" s="590" t="s">
        <v>287</v>
      </c>
      <c r="B10" s="568">
        <v>0</v>
      </c>
      <c r="C10" s="568">
        <v>7.5100000000000002E-3</v>
      </c>
      <c r="D10" s="569">
        <v>7.5100000000000002E-3</v>
      </c>
      <c r="E10" s="578" t="s">
        <v>281</v>
      </c>
      <c r="F10" s="568">
        <v>0</v>
      </c>
      <c r="G10" s="569">
        <v>0</v>
      </c>
      <c r="H10" s="571">
        <v>1.4999999999999999E-4</v>
      </c>
      <c r="I10" s="568">
        <v>8.2100000000000003E-3</v>
      </c>
      <c r="J10" s="569">
        <v>8.2100000000000003E-3</v>
      </c>
      <c r="K10" s="579" t="s">
        <v>281</v>
      </c>
    </row>
    <row r="11" spans="1:11" ht="14.4" customHeight="1" thickBot="1" x14ac:dyDescent="0.35">
      <c r="A11" s="589" t="s">
        <v>288</v>
      </c>
      <c r="B11" s="573">
        <v>8278.6965014616198</v>
      </c>
      <c r="C11" s="573">
        <v>8899.9275199999993</v>
      </c>
      <c r="D11" s="574">
        <v>621.231018538385</v>
      </c>
      <c r="E11" s="580">
        <v>1.0750397140929999</v>
      </c>
      <c r="F11" s="573">
        <v>9400.2891524788192</v>
      </c>
      <c r="G11" s="574">
        <v>9400.2891524788192</v>
      </c>
      <c r="H11" s="576">
        <v>875.33802000000401</v>
      </c>
      <c r="I11" s="573">
        <v>9973.4979399999993</v>
      </c>
      <c r="J11" s="574">
        <v>573.20878752118699</v>
      </c>
      <c r="K11" s="581">
        <v>1.060977782515</v>
      </c>
    </row>
    <row r="12" spans="1:11" ht="14.4" customHeight="1" thickBot="1" x14ac:dyDescent="0.35">
      <c r="A12" s="590" t="s">
        <v>289</v>
      </c>
      <c r="B12" s="568">
        <v>3569.3113916345701</v>
      </c>
      <c r="C12" s="568">
        <v>3758.3066199999998</v>
      </c>
      <c r="D12" s="569">
        <v>188.99522836543201</v>
      </c>
      <c r="E12" s="570">
        <v>1.0529500532810001</v>
      </c>
      <c r="F12" s="568">
        <v>3999.8941597153398</v>
      </c>
      <c r="G12" s="569">
        <v>3999.8941597153398</v>
      </c>
      <c r="H12" s="571">
        <v>310.90235000000098</v>
      </c>
      <c r="I12" s="568">
        <v>3783.8091599999998</v>
      </c>
      <c r="J12" s="569">
        <v>-216.08499971533899</v>
      </c>
      <c r="K12" s="572">
        <v>0.94597732062700002</v>
      </c>
    </row>
    <row r="13" spans="1:11" ht="14.4" customHeight="1" thickBot="1" x14ac:dyDescent="0.35">
      <c r="A13" s="590" t="s">
        <v>290</v>
      </c>
      <c r="B13" s="568">
        <v>1564</v>
      </c>
      <c r="C13" s="568">
        <v>1542.2070200000001</v>
      </c>
      <c r="D13" s="569">
        <v>-21.792979999999002</v>
      </c>
      <c r="E13" s="570">
        <v>0.98606586956499997</v>
      </c>
      <c r="F13" s="568">
        <v>1613.00013183803</v>
      </c>
      <c r="G13" s="569">
        <v>1613.00013183803</v>
      </c>
      <c r="H13" s="571">
        <v>139.53944000000101</v>
      </c>
      <c r="I13" s="568">
        <v>1581.2873</v>
      </c>
      <c r="J13" s="569">
        <v>-31.712831838025998</v>
      </c>
      <c r="K13" s="572">
        <v>0.98033922551300001</v>
      </c>
    </row>
    <row r="14" spans="1:11" ht="14.4" customHeight="1" thickBot="1" x14ac:dyDescent="0.35">
      <c r="A14" s="590" t="s">
        <v>291</v>
      </c>
      <c r="B14" s="568">
        <v>291</v>
      </c>
      <c r="C14" s="568">
        <v>340.15432000000101</v>
      </c>
      <c r="D14" s="569">
        <v>49.154319999999998</v>
      </c>
      <c r="E14" s="570">
        <v>1.1689151890030001</v>
      </c>
      <c r="F14" s="568">
        <v>343.99993623060999</v>
      </c>
      <c r="G14" s="569">
        <v>343.99993623060999</v>
      </c>
      <c r="H14" s="571">
        <v>15.252470000000001</v>
      </c>
      <c r="I14" s="568">
        <v>172.96305000000001</v>
      </c>
      <c r="J14" s="569">
        <v>-171.03688623061001</v>
      </c>
      <c r="K14" s="572">
        <v>0.50279965715999997</v>
      </c>
    </row>
    <row r="15" spans="1:11" ht="14.4" customHeight="1" thickBot="1" x14ac:dyDescent="0.35">
      <c r="A15" s="590" t="s">
        <v>292</v>
      </c>
      <c r="B15" s="568">
        <v>0</v>
      </c>
      <c r="C15" s="568">
        <v>0</v>
      </c>
      <c r="D15" s="569">
        <v>0</v>
      </c>
      <c r="E15" s="570">
        <v>1</v>
      </c>
      <c r="F15" s="568">
        <v>0</v>
      </c>
      <c r="G15" s="569">
        <v>0</v>
      </c>
      <c r="H15" s="571">
        <v>0</v>
      </c>
      <c r="I15" s="568">
        <v>8.8119999999999994</v>
      </c>
      <c r="J15" s="569">
        <v>8.8119999999999994</v>
      </c>
      <c r="K15" s="579" t="s">
        <v>293</v>
      </c>
    </row>
    <row r="16" spans="1:11" ht="14.4" customHeight="1" thickBot="1" x14ac:dyDescent="0.35">
      <c r="A16" s="590" t="s">
        <v>294</v>
      </c>
      <c r="B16" s="568">
        <v>460.084812392353</v>
      </c>
      <c r="C16" s="568">
        <v>1072.3163</v>
      </c>
      <c r="D16" s="569">
        <v>612.23148760764695</v>
      </c>
      <c r="E16" s="570">
        <v>2.3306926703880002</v>
      </c>
      <c r="F16" s="568">
        <v>744.000067167937</v>
      </c>
      <c r="G16" s="569">
        <v>744.000067167937</v>
      </c>
      <c r="H16" s="571">
        <v>209.10938000000101</v>
      </c>
      <c r="I16" s="568">
        <v>2107.5559600000001</v>
      </c>
      <c r="J16" s="569">
        <v>1363.55589283206</v>
      </c>
      <c r="K16" s="572">
        <v>2.8327362496380002</v>
      </c>
    </row>
    <row r="17" spans="1:11" ht="14.4" customHeight="1" thickBot="1" x14ac:dyDescent="0.35">
      <c r="A17" s="590" t="s">
        <v>295</v>
      </c>
      <c r="B17" s="568">
        <v>64.999997952656997</v>
      </c>
      <c r="C17" s="568">
        <v>383.87331999999998</v>
      </c>
      <c r="D17" s="569">
        <v>318.87332204734201</v>
      </c>
      <c r="E17" s="570">
        <v>5.9057435706310004</v>
      </c>
      <c r="F17" s="568">
        <v>350.00003159782</v>
      </c>
      <c r="G17" s="569">
        <v>350.00003159782</v>
      </c>
      <c r="H17" s="571">
        <v>0</v>
      </c>
      <c r="I17" s="568">
        <v>21.263470000000002</v>
      </c>
      <c r="J17" s="569">
        <v>-328.73656159782001</v>
      </c>
      <c r="K17" s="572">
        <v>6.0752765942999998E-2</v>
      </c>
    </row>
    <row r="18" spans="1:11" ht="14.4" customHeight="1" thickBot="1" x14ac:dyDescent="0.35">
      <c r="A18" s="590" t="s">
        <v>296</v>
      </c>
      <c r="B18" s="568">
        <v>1242.1399438272001</v>
      </c>
      <c r="C18" s="568">
        <v>1147.7063900000001</v>
      </c>
      <c r="D18" s="569">
        <v>-94.433553827200996</v>
      </c>
      <c r="E18" s="570">
        <v>0.92397510900699997</v>
      </c>
      <c r="F18" s="568">
        <v>1293.2325199664399</v>
      </c>
      <c r="G18" s="569">
        <v>1293.2325199664399</v>
      </c>
      <c r="H18" s="571">
        <v>68.135199999999998</v>
      </c>
      <c r="I18" s="568">
        <v>1164.84041</v>
      </c>
      <c r="J18" s="569">
        <v>-128.392109966443</v>
      </c>
      <c r="K18" s="572">
        <v>0.90072001130099999</v>
      </c>
    </row>
    <row r="19" spans="1:11" ht="14.4" customHeight="1" thickBot="1" x14ac:dyDescent="0.35">
      <c r="A19" s="590" t="s">
        <v>297</v>
      </c>
      <c r="B19" s="568">
        <v>936.61017227702405</v>
      </c>
      <c r="C19" s="568">
        <v>505.80714999999998</v>
      </c>
      <c r="D19" s="569">
        <v>-430.80302227702401</v>
      </c>
      <c r="E19" s="570">
        <v>0.54004020559599997</v>
      </c>
      <c r="F19" s="568">
        <v>909.16229269155497</v>
      </c>
      <c r="G19" s="569">
        <v>909.16229269155497</v>
      </c>
      <c r="H19" s="571">
        <v>119.882400000001</v>
      </c>
      <c r="I19" s="568">
        <v>1004.80948</v>
      </c>
      <c r="J19" s="569">
        <v>95.647187308445993</v>
      </c>
      <c r="K19" s="572">
        <v>1.105203645242</v>
      </c>
    </row>
    <row r="20" spans="1:11" ht="14.4" customHeight="1" thickBot="1" x14ac:dyDescent="0.35">
      <c r="A20" s="590" t="s">
        <v>298</v>
      </c>
      <c r="B20" s="568">
        <v>150.550183377812</v>
      </c>
      <c r="C20" s="568">
        <v>149.5564</v>
      </c>
      <c r="D20" s="569">
        <v>-0.99378337781100001</v>
      </c>
      <c r="E20" s="570">
        <v>0.99339898925699999</v>
      </c>
      <c r="F20" s="568">
        <v>147.00001327108501</v>
      </c>
      <c r="G20" s="569">
        <v>147.00001327108501</v>
      </c>
      <c r="H20" s="571">
        <v>12.516780000000001</v>
      </c>
      <c r="I20" s="568">
        <v>128.15710999999999</v>
      </c>
      <c r="J20" s="569">
        <v>-18.842903271084001</v>
      </c>
      <c r="K20" s="572">
        <v>0.87181699612200003</v>
      </c>
    </row>
    <row r="21" spans="1:11" ht="14.4" customHeight="1" thickBot="1" x14ac:dyDescent="0.35">
      <c r="A21" s="589" t="s">
        <v>299</v>
      </c>
      <c r="B21" s="573">
        <v>3631.6084091063499</v>
      </c>
      <c r="C21" s="573">
        <v>4393.1890000000003</v>
      </c>
      <c r="D21" s="574">
        <v>761.58059089365395</v>
      </c>
      <c r="E21" s="580">
        <v>1.2097088961969999</v>
      </c>
      <c r="F21" s="573">
        <v>4662.6962705982696</v>
      </c>
      <c r="G21" s="574">
        <v>4662.6962705982696</v>
      </c>
      <c r="H21" s="576">
        <v>418.56600000000202</v>
      </c>
      <c r="I21" s="573">
        <v>5841.5079999999998</v>
      </c>
      <c r="J21" s="574">
        <v>1178.81172940173</v>
      </c>
      <c r="K21" s="581">
        <v>1.252817610453</v>
      </c>
    </row>
    <row r="22" spans="1:11" ht="14.4" customHeight="1" thickBot="1" x14ac:dyDescent="0.35">
      <c r="A22" s="590" t="s">
        <v>300</v>
      </c>
      <c r="B22" s="568">
        <v>3224.6084219258601</v>
      </c>
      <c r="C22" s="568">
        <v>3866.2629999999999</v>
      </c>
      <c r="D22" s="569">
        <v>641.65457807414305</v>
      </c>
      <c r="E22" s="570">
        <v>1.198986820759</v>
      </c>
      <c r="F22" s="568">
        <v>4101.84861955208</v>
      </c>
      <c r="G22" s="569">
        <v>4101.84861955208</v>
      </c>
      <c r="H22" s="571">
        <v>379.22400000000198</v>
      </c>
      <c r="I22" s="568">
        <v>5196.3580000000002</v>
      </c>
      <c r="J22" s="569">
        <v>1094.50938044792</v>
      </c>
      <c r="K22" s="572">
        <v>1.2668331969219999</v>
      </c>
    </row>
    <row r="23" spans="1:11" ht="14.4" customHeight="1" thickBot="1" x14ac:dyDescent="0.35">
      <c r="A23" s="590" t="s">
        <v>301</v>
      </c>
      <c r="B23" s="568">
        <v>406.99998718048801</v>
      </c>
      <c r="C23" s="568">
        <v>526.92600000000004</v>
      </c>
      <c r="D23" s="569">
        <v>119.926012819512</v>
      </c>
      <c r="E23" s="570">
        <v>1.294658517437</v>
      </c>
      <c r="F23" s="568">
        <v>560.84765104618896</v>
      </c>
      <c r="G23" s="569">
        <v>560.84765104618896</v>
      </c>
      <c r="H23" s="571">
        <v>39.341999999999999</v>
      </c>
      <c r="I23" s="568">
        <v>645.15</v>
      </c>
      <c r="J23" s="569">
        <v>84.302348953809997</v>
      </c>
      <c r="K23" s="572">
        <v>1.15031238661</v>
      </c>
    </row>
    <row r="24" spans="1:11" ht="14.4" customHeight="1" thickBot="1" x14ac:dyDescent="0.35">
      <c r="A24" s="589" t="s">
        <v>302</v>
      </c>
      <c r="B24" s="573">
        <v>3909.3694227553401</v>
      </c>
      <c r="C24" s="573">
        <v>3984.1931199999999</v>
      </c>
      <c r="D24" s="574">
        <v>74.823697244659996</v>
      </c>
      <c r="E24" s="580">
        <v>1.019139582155</v>
      </c>
      <c r="F24" s="573">
        <v>3910.0003529927899</v>
      </c>
      <c r="G24" s="574">
        <v>3910.0003529927899</v>
      </c>
      <c r="H24" s="576">
        <v>372.68555000000202</v>
      </c>
      <c r="I24" s="573">
        <v>3747.9295200000001</v>
      </c>
      <c r="J24" s="574">
        <v>-162.07083299278301</v>
      </c>
      <c r="K24" s="581">
        <v>0.95854966282300003</v>
      </c>
    </row>
    <row r="25" spans="1:11" ht="14.4" customHeight="1" thickBot="1" x14ac:dyDescent="0.35">
      <c r="A25" s="590" t="s">
        <v>303</v>
      </c>
      <c r="B25" s="568">
        <v>629.99998658203197</v>
      </c>
      <c r="C25" s="568">
        <v>551.10703999999998</v>
      </c>
      <c r="D25" s="569">
        <v>-78.892946582031996</v>
      </c>
      <c r="E25" s="570">
        <v>0.874773097996</v>
      </c>
      <c r="F25" s="568">
        <v>600.00005416769102</v>
      </c>
      <c r="G25" s="569">
        <v>600.00005416769102</v>
      </c>
      <c r="H25" s="571">
        <v>136.76338000000101</v>
      </c>
      <c r="I25" s="568">
        <v>578.27327000000105</v>
      </c>
      <c r="J25" s="569">
        <v>-21.726784167689999</v>
      </c>
      <c r="K25" s="572">
        <v>0.96378869632200004</v>
      </c>
    </row>
    <row r="26" spans="1:11" ht="14.4" customHeight="1" thickBot="1" x14ac:dyDescent="0.35">
      <c r="A26" s="590" t="s">
        <v>304</v>
      </c>
      <c r="B26" s="568">
        <v>0.36951998836099997</v>
      </c>
      <c r="C26" s="568">
        <v>1.1046899999999999</v>
      </c>
      <c r="D26" s="569">
        <v>0.735170011638</v>
      </c>
      <c r="E26" s="570">
        <v>2.9895270480480001</v>
      </c>
      <c r="F26" s="568">
        <v>1.0000000902790001</v>
      </c>
      <c r="G26" s="569">
        <v>1.0000000902790001</v>
      </c>
      <c r="H26" s="571">
        <v>0</v>
      </c>
      <c r="I26" s="568">
        <v>0.24743999999999999</v>
      </c>
      <c r="J26" s="569">
        <v>-0.75256009027899995</v>
      </c>
      <c r="K26" s="572">
        <v>0.24743997766100001</v>
      </c>
    </row>
    <row r="27" spans="1:11" ht="14.4" customHeight="1" thickBot="1" x14ac:dyDescent="0.35">
      <c r="A27" s="590" t="s">
        <v>305</v>
      </c>
      <c r="B27" s="568">
        <v>382.999987936428</v>
      </c>
      <c r="C27" s="568">
        <v>372.94108</v>
      </c>
      <c r="D27" s="569">
        <v>-10.058907936428</v>
      </c>
      <c r="E27" s="570">
        <v>0.97373653197499999</v>
      </c>
      <c r="F27" s="568">
        <v>380.00003430620399</v>
      </c>
      <c r="G27" s="569">
        <v>380.00003430620399</v>
      </c>
      <c r="H27" s="571">
        <v>29.539149999999999</v>
      </c>
      <c r="I27" s="568">
        <v>390.47676000000001</v>
      </c>
      <c r="J27" s="569">
        <v>10.476725693796</v>
      </c>
      <c r="K27" s="572">
        <v>1.0275703282840001</v>
      </c>
    </row>
    <row r="28" spans="1:11" ht="14.4" customHeight="1" thickBot="1" x14ac:dyDescent="0.35">
      <c r="A28" s="590" t="s">
        <v>306</v>
      </c>
      <c r="B28" s="568">
        <v>2381.9999434933502</v>
      </c>
      <c r="C28" s="568">
        <v>2281.1239399999999</v>
      </c>
      <c r="D28" s="569">
        <v>-100.876003493346</v>
      </c>
      <c r="E28" s="570">
        <v>0.95765071121400003</v>
      </c>
      <c r="F28" s="568">
        <v>2253.0002033996798</v>
      </c>
      <c r="G28" s="569">
        <v>2253.0002033996798</v>
      </c>
      <c r="H28" s="571">
        <v>157.606310000001</v>
      </c>
      <c r="I28" s="568">
        <v>2071.8252699999998</v>
      </c>
      <c r="J28" s="569">
        <v>-181.174933399678</v>
      </c>
      <c r="K28" s="572">
        <v>0.91958503460100005</v>
      </c>
    </row>
    <row r="29" spans="1:11" ht="14.4" customHeight="1" thickBot="1" x14ac:dyDescent="0.35">
      <c r="A29" s="590" t="s">
        <v>307</v>
      </c>
      <c r="B29" s="568">
        <v>87.999997228213005</v>
      </c>
      <c r="C29" s="568">
        <v>111.18277999999999</v>
      </c>
      <c r="D29" s="569">
        <v>23.182782771786002</v>
      </c>
      <c r="E29" s="570">
        <v>1.2634407216129999</v>
      </c>
      <c r="F29" s="568">
        <v>90.000008125153002</v>
      </c>
      <c r="G29" s="569">
        <v>90.000008125153002</v>
      </c>
      <c r="H29" s="571">
        <v>3.036</v>
      </c>
      <c r="I29" s="568">
        <v>116.51282</v>
      </c>
      <c r="J29" s="569">
        <v>26.512811874846001</v>
      </c>
      <c r="K29" s="572">
        <v>1.2945867720140001</v>
      </c>
    </row>
    <row r="30" spans="1:11" ht="14.4" customHeight="1" thickBot="1" x14ac:dyDescent="0.35">
      <c r="A30" s="590" t="s">
        <v>308</v>
      </c>
      <c r="B30" s="568">
        <v>19.999999370047998</v>
      </c>
      <c r="C30" s="568">
        <v>26.712510000000002</v>
      </c>
      <c r="D30" s="569">
        <v>6.7125106299509998</v>
      </c>
      <c r="E30" s="570">
        <v>1.3356255420680001</v>
      </c>
      <c r="F30" s="568">
        <v>20.000001805589001</v>
      </c>
      <c r="G30" s="569">
        <v>20.000001805589001</v>
      </c>
      <c r="H30" s="571">
        <v>1.5179800000000001</v>
      </c>
      <c r="I30" s="568">
        <v>17.433129999999998</v>
      </c>
      <c r="J30" s="569">
        <v>-2.5668718055889999</v>
      </c>
      <c r="K30" s="572">
        <v>0.87165642130700005</v>
      </c>
    </row>
    <row r="31" spans="1:11" ht="14.4" customHeight="1" thickBot="1" x14ac:dyDescent="0.35">
      <c r="A31" s="590" t="s">
        <v>309</v>
      </c>
      <c r="B31" s="568">
        <v>23.999999244057999</v>
      </c>
      <c r="C31" s="568">
        <v>26.344360000000002</v>
      </c>
      <c r="D31" s="569">
        <v>2.344360755941</v>
      </c>
      <c r="E31" s="570">
        <v>1.09768170124</v>
      </c>
      <c r="F31" s="568">
        <v>25.000002256986999</v>
      </c>
      <c r="G31" s="569">
        <v>25.000002256986999</v>
      </c>
      <c r="H31" s="571">
        <v>1.2729999999999999</v>
      </c>
      <c r="I31" s="568">
        <v>29.179569999999998</v>
      </c>
      <c r="J31" s="569">
        <v>4.179567743012</v>
      </c>
      <c r="K31" s="572">
        <v>1.1671826946270001</v>
      </c>
    </row>
    <row r="32" spans="1:11" ht="14.4" customHeight="1" thickBot="1" x14ac:dyDescent="0.35">
      <c r="A32" s="590" t="s">
        <v>310</v>
      </c>
      <c r="B32" s="568">
        <v>179.99999433043601</v>
      </c>
      <c r="C32" s="568">
        <v>203.56461999999999</v>
      </c>
      <c r="D32" s="569">
        <v>23.564625669563</v>
      </c>
      <c r="E32" s="570">
        <v>1.1309145911759999</v>
      </c>
      <c r="F32" s="568">
        <v>180.000016250307</v>
      </c>
      <c r="G32" s="569">
        <v>180.000016250307</v>
      </c>
      <c r="H32" s="571">
        <v>10.901999999999999</v>
      </c>
      <c r="I32" s="568">
        <v>190.00629000000001</v>
      </c>
      <c r="J32" s="569">
        <v>10.006273749691999</v>
      </c>
      <c r="K32" s="572">
        <v>1.0555904047010001</v>
      </c>
    </row>
    <row r="33" spans="1:11" ht="14.4" customHeight="1" thickBot="1" x14ac:dyDescent="0.35">
      <c r="A33" s="590" t="s">
        <v>311</v>
      </c>
      <c r="B33" s="568">
        <v>198.99999467690901</v>
      </c>
      <c r="C33" s="568">
        <v>229.80734000000001</v>
      </c>
      <c r="D33" s="569">
        <v>30.807345323090001</v>
      </c>
      <c r="E33" s="570">
        <v>1.1548107846589999</v>
      </c>
      <c r="F33" s="568">
        <v>200.00001805589699</v>
      </c>
      <c r="G33" s="569">
        <v>200.00001805589699</v>
      </c>
      <c r="H33" s="571">
        <v>12.08605</v>
      </c>
      <c r="I33" s="568">
        <v>160.16390999999999</v>
      </c>
      <c r="J33" s="569">
        <v>-39.836108055895998</v>
      </c>
      <c r="K33" s="572">
        <v>0.80081947770200002</v>
      </c>
    </row>
    <row r="34" spans="1:11" ht="14.4" customHeight="1" thickBot="1" x14ac:dyDescent="0.35">
      <c r="A34" s="590" t="s">
        <v>312</v>
      </c>
      <c r="B34" s="568">
        <v>0</v>
      </c>
      <c r="C34" s="568">
        <v>177.44334000000001</v>
      </c>
      <c r="D34" s="569">
        <v>177.44334000000001</v>
      </c>
      <c r="E34" s="578" t="s">
        <v>293</v>
      </c>
      <c r="F34" s="568">
        <v>157.00001417387901</v>
      </c>
      <c r="G34" s="569">
        <v>157.00001417387901</v>
      </c>
      <c r="H34" s="571">
        <v>19.961680000000001</v>
      </c>
      <c r="I34" s="568">
        <v>190.39203000000001</v>
      </c>
      <c r="J34" s="569">
        <v>33.392015826121003</v>
      </c>
      <c r="K34" s="572">
        <v>1.212687979691</v>
      </c>
    </row>
    <row r="35" spans="1:11" ht="14.4" customHeight="1" thickBot="1" x14ac:dyDescent="0.35">
      <c r="A35" s="590" t="s">
        <v>313</v>
      </c>
      <c r="B35" s="568">
        <v>2.9999999055069999</v>
      </c>
      <c r="C35" s="568">
        <v>2.8614199999999999</v>
      </c>
      <c r="D35" s="569">
        <v>-0.138579905507</v>
      </c>
      <c r="E35" s="570">
        <v>0.95380669670899998</v>
      </c>
      <c r="F35" s="568">
        <v>4.0000003611170003</v>
      </c>
      <c r="G35" s="569">
        <v>4.0000003611170003</v>
      </c>
      <c r="H35" s="571">
        <v>0</v>
      </c>
      <c r="I35" s="568">
        <v>3.4190299999999998</v>
      </c>
      <c r="J35" s="569">
        <v>-0.58097036111699996</v>
      </c>
      <c r="K35" s="572">
        <v>0.85475742283199996</v>
      </c>
    </row>
    <row r="36" spans="1:11" ht="14.4" customHeight="1" thickBot="1" x14ac:dyDescent="0.35">
      <c r="A36" s="589" t="s">
        <v>314</v>
      </c>
      <c r="B36" s="573">
        <v>58</v>
      </c>
      <c r="C36" s="573">
        <v>66.878950000000003</v>
      </c>
      <c r="D36" s="574">
        <v>8.8789499999999997</v>
      </c>
      <c r="E36" s="580">
        <v>1.153085344827</v>
      </c>
      <c r="F36" s="573">
        <v>65.408991560133998</v>
      </c>
      <c r="G36" s="574">
        <v>65.408991560133998</v>
      </c>
      <c r="H36" s="576">
        <v>4.3939700000000004</v>
      </c>
      <c r="I36" s="573">
        <v>71.293369999999996</v>
      </c>
      <c r="J36" s="574">
        <v>5.8843784398650003</v>
      </c>
      <c r="K36" s="581">
        <v>1.0899628369050001</v>
      </c>
    </row>
    <row r="37" spans="1:11" ht="14.4" customHeight="1" thickBot="1" x14ac:dyDescent="0.35">
      <c r="A37" s="590" t="s">
        <v>315</v>
      </c>
      <c r="B37" s="568">
        <v>38</v>
      </c>
      <c r="C37" s="568">
        <v>43.419110000000003</v>
      </c>
      <c r="D37" s="569">
        <v>5.4191099999999999</v>
      </c>
      <c r="E37" s="570">
        <v>1.1426081578939999</v>
      </c>
      <c r="F37" s="568">
        <v>48.967497144989999</v>
      </c>
      <c r="G37" s="569">
        <v>48.967497144989999</v>
      </c>
      <c r="H37" s="571">
        <v>2.6043500000000002</v>
      </c>
      <c r="I37" s="568">
        <v>46.453159999999997</v>
      </c>
      <c r="J37" s="569">
        <v>-2.5143371449899998</v>
      </c>
      <c r="K37" s="572">
        <v>0.94865293732300005</v>
      </c>
    </row>
    <row r="38" spans="1:11" ht="14.4" customHeight="1" thickBot="1" x14ac:dyDescent="0.35">
      <c r="A38" s="590" t="s">
        <v>316</v>
      </c>
      <c r="B38" s="568">
        <v>20</v>
      </c>
      <c r="C38" s="568">
        <v>23.45984</v>
      </c>
      <c r="D38" s="569">
        <v>3.4598399999999998</v>
      </c>
      <c r="E38" s="570">
        <v>1.172992</v>
      </c>
      <c r="F38" s="568">
        <v>16.441494415143001</v>
      </c>
      <c r="G38" s="569">
        <v>16.441494415143001</v>
      </c>
      <c r="H38" s="571">
        <v>1.78962</v>
      </c>
      <c r="I38" s="568">
        <v>24.840209999999999</v>
      </c>
      <c r="J38" s="569">
        <v>8.3987155848559993</v>
      </c>
      <c r="K38" s="572">
        <v>1.5108243431399999</v>
      </c>
    </row>
    <row r="39" spans="1:11" ht="14.4" customHeight="1" thickBot="1" x14ac:dyDescent="0.35">
      <c r="A39" s="589" t="s">
        <v>317</v>
      </c>
      <c r="B39" s="573">
        <v>341.42880225296801</v>
      </c>
      <c r="C39" s="573">
        <v>378.39614999999998</v>
      </c>
      <c r="D39" s="574">
        <v>36.967347747030999</v>
      </c>
      <c r="E39" s="580">
        <v>1.108272493424</v>
      </c>
      <c r="F39" s="573">
        <v>378.481903829185</v>
      </c>
      <c r="G39" s="574">
        <v>378.481903829185</v>
      </c>
      <c r="H39" s="576">
        <v>49.266640000000002</v>
      </c>
      <c r="I39" s="573">
        <v>403.56081999999998</v>
      </c>
      <c r="J39" s="574">
        <v>25.078916170814999</v>
      </c>
      <c r="K39" s="581">
        <v>1.066261863294</v>
      </c>
    </row>
    <row r="40" spans="1:11" ht="14.4" customHeight="1" thickBot="1" x14ac:dyDescent="0.35">
      <c r="A40" s="590" t="s">
        <v>318</v>
      </c>
      <c r="B40" s="568">
        <v>0</v>
      </c>
      <c r="C40" s="568">
        <v>36.107030000000002</v>
      </c>
      <c r="D40" s="569">
        <v>36.107030000000002</v>
      </c>
      <c r="E40" s="578" t="s">
        <v>293</v>
      </c>
      <c r="F40" s="568">
        <v>19.697506190725001</v>
      </c>
      <c r="G40" s="569">
        <v>19.697506190725001</v>
      </c>
      <c r="H40" s="571">
        <v>0</v>
      </c>
      <c r="I40" s="568">
        <v>-1.4210854715202001E-14</v>
      </c>
      <c r="J40" s="569">
        <v>-19.697506190725001</v>
      </c>
      <c r="K40" s="572">
        <v>-7.2145451193681099E-16</v>
      </c>
    </row>
    <row r="41" spans="1:11" ht="14.4" customHeight="1" thickBot="1" x14ac:dyDescent="0.35">
      <c r="A41" s="590" t="s">
        <v>319</v>
      </c>
      <c r="B41" s="568">
        <v>2.9999999055069999</v>
      </c>
      <c r="C41" s="568">
        <v>7.3582700000000001</v>
      </c>
      <c r="D41" s="569">
        <v>4.3582700944920001</v>
      </c>
      <c r="E41" s="570">
        <v>2.4527567439219999</v>
      </c>
      <c r="F41" s="568">
        <v>8.3343548604290003</v>
      </c>
      <c r="G41" s="569">
        <v>8.3343548604290003</v>
      </c>
      <c r="H41" s="571">
        <v>4.3683699999999996</v>
      </c>
      <c r="I41" s="568">
        <v>16.172930000000001</v>
      </c>
      <c r="J41" s="569">
        <v>7.8385751395699996</v>
      </c>
      <c r="K41" s="572">
        <v>1.940513725517</v>
      </c>
    </row>
    <row r="42" spans="1:11" ht="14.4" customHeight="1" thickBot="1" x14ac:dyDescent="0.35">
      <c r="A42" s="590" t="s">
        <v>320</v>
      </c>
      <c r="B42" s="568">
        <v>225.207701234583</v>
      </c>
      <c r="C42" s="568">
        <v>194.79614000000001</v>
      </c>
      <c r="D42" s="569">
        <v>-30.411561234581999</v>
      </c>
      <c r="E42" s="570">
        <v>0.86496216129400005</v>
      </c>
      <c r="F42" s="568">
        <v>191.80018709975499</v>
      </c>
      <c r="G42" s="569">
        <v>191.80018709975499</v>
      </c>
      <c r="H42" s="571">
        <v>22.95337</v>
      </c>
      <c r="I42" s="568">
        <v>214.85581999999999</v>
      </c>
      <c r="J42" s="569">
        <v>23.055632900245001</v>
      </c>
      <c r="K42" s="572">
        <v>1.120206519341</v>
      </c>
    </row>
    <row r="43" spans="1:11" ht="14.4" customHeight="1" thickBot="1" x14ac:dyDescent="0.35">
      <c r="A43" s="590" t="s">
        <v>321</v>
      </c>
      <c r="B43" s="568">
        <v>35.999998866086997</v>
      </c>
      <c r="C43" s="568">
        <v>46.259569999999997</v>
      </c>
      <c r="D43" s="569">
        <v>10.259571133912001</v>
      </c>
      <c r="E43" s="570">
        <v>1.2849880960290001</v>
      </c>
      <c r="F43" s="568">
        <v>55.601336356822998</v>
      </c>
      <c r="G43" s="569">
        <v>55.601336356822998</v>
      </c>
      <c r="H43" s="571">
        <v>4.8238000000000003</v>
      </c>
      <c r="I43" s="568">
        <v>48.626390000000001</v>
      </c>
      <c r="J43" s="569">
        <v>-6.9749463568229997</v>
      </c>
      <c r="K43" s="572">
        <v>0.874554339628</v>
      </c>
    </row>
    <row r="44" spans="1:11" ht="14.4" customHeight="1" thickBot="1" x14ac:dyDescent="0.35">
      <c r="A44" s="590" t="s">
        <v>322</v>
      </c>
      <c r="B44" s="568">
        <v>2.9999999055069999</v>
      </c>
      <c r="C44" s="568">
        <v>6.5576100000000004</v>
      </c>
      <c r="D44" s="569">
        <v>3.5576100944919999</v>
      </c>
      <c r="E44" s="570">
        <v>2.1858700688489998</v>
      </c>
      <c r="F44" s="568">
        <v>7.2183597543599998</v>
      </c>
      <c r="G44" s="569">
        <v>7.2183597543599998</v>
      </c>
      <c r="H44" s="571">
        <v>0.19550000000000001</v>
      </c>
      <c r="I44" s="568">
        <v>11.74446</v>
      </c>
      <c r="J44" s="569">
        <v>4.5261002456390003</v>
      </c>
      <c r="K44" s="572">
        <v>1.6270261388539999</v>
      </c>
    </row>
    <row r="45" spans="1:11" ht="14.4" customHeight="1" thickBot="1" x14ac:dyDescent="0.35">
      <c r="A45" s="590" t="s">
        <v>323</v>
      </c>
      <c r="B45" s="568">
        <v>0</v>
      </c>
      <c r="C45" s="568">
        <v>0</v>
      </c>
      <c r="D45" s="569">
        <v>0</v>
      </c>
      <c r="E45" s="570">
        <v>1</v>
      </c>
      <c r="F45" s="568">
        <v>0</v>
      </c>
      <c r="G45" s="569">
        <v>0</v>
      </c>
      <c r="H45" s="571">
        <v>0</v>
      </c>
      <c r="I45" s="568">
        <v>0.27224999999999999</v>
      </c>
      <c r="J45" s="569">
        <v>0.27224999999999999</v>
      </c>
      <c r="K45" s="579" t="s">
        <v>293</v>
      </c>
    </row>
    <row r="46" spans="1:11" ht="14.4" customHeight="1" thickBot="1" x14ac:dyDescent="0.35">
      <c r="A46" s="590" t="s">
        <v>324</v>
      </c>
      <c r="B46" s="568">
        <v>24.974210888194001</v>
      </c>
      <c r="C46" s="568">
        <v>20.735659999999999</v>
      </c>
      <c r="D46" s="569">
        <v>-4.2385508881940002</v>
      </c>
      <c r="E46" s="570">
        <v>0.830282890331</v>
      </c>
      <c r="F46" s="568">
        <v>19.466272473231999</v>
      </c>
      <c r="G46" s="569">
        <v>19.466272473231999</v>
      </c>
      <c r="H46" s="571">
        <v>0</v>
      </c>
      <c r="I46" s="568">
        <v>8.3102400000000003</v>
      </c>
      <c r="J46" s="569">
        <v>-11.156032473232001</v>
      </c>
      <c r="K46" s="572">
        <v>0.42690453508300003</v>
      </c>
    </row>
    <row r="47" spans="1:11" ht="14.4" customHeight="1" thickBot="1" x14ac:dyDescent="0.35">
      <c r="A47" s="590" t="s">
        <v>325</v>
      </c>
      <c r="B47" s="568">
        <v>7.2468927759869999</v>
      </c>
      <c r="C47" s="568">
        <v>10.952400000000001</v>
      </c>
      <c r="D47" s="569">
        <v>3.7055072240119999</v>
      </c>
      <c r="E47" s="570">
        <v>1.511323589096</v>
      </c>
      <c r="F47" s="568">
        <v>13.300507797807001</v>
      </c>
      <c r="G47" s="569">
        <v>13.300507797807001</v>
      </c>
      <c r="H47" s="571">
        <v>11.347379999999999</v>
      </c>
      <c r="I47" s="568">
        <v>21.898250000000001</v>
      </c>
      <c r="J47" s="569">
        <v>8.5977422021920002</v>
      </c>
      <c r="K47" s="572">
        <v>1.6464221015380001</v>
      </c>
    </row>
    <row r="48" spans="1:11" ht="14.4" customHeight="1" thickBot="1" x14ac:dyDescent="0.35">
      <c r="A48" s="590" t="s">
        <v>326</v>
      </c>
      <c r="B48" s="568">
        <v>0</v>
      </c>
      <c r="C48" s="568">
        <v>2.8435000000000001</v>
      </c>
      <c r="D48" s="569">
        <v>2.8435000000000001</v>
      </c>
      <c r="E48" s="578" t="s">
        <v>293</v>
      </c>
      <c r="F48" s="568">
        <v>0</v>
      </c>
      <c r="G48" s="569">
        <v>0</v>
      </c>
      <c r="H48" s="571">
        <v>0</v>
      </c>
      <c r="I48" s="568">
        <v>0</v>
      </c>
      <c r="J48" s="569">
        <v>0</v>
      </c>
      <c r="K48" s="579" t="s">
        <v>281</v>
      </c>
    </row>
    <row r="49" spans="1:11" ht="14.4" customHeight="1" thickBot="1" x14ac:dyDescent="0.35">
      <c r="A49" s="590" t="s">
        <v>327</v>
      </c>
      <c r="B49" s="568">
        <v>0</v>
      </c>
      <c r="C49" s="568">
        <v>0</v>
      </c>
      <c r="D49" s="569">
        <v>0</v>
      </c>
      <c r="E49" s="570">
        <v>1</v>
      </c>
      <c r="F49" s="568">
        <v>0</v>
      </c>
      <c r="G49" s="569">
        <v>0</v>
      </c>
      <c r="H49" s="571">
        <v>0</v>
      </c>
      <c r="I49" s="568">
        <v>2.9039999999999999</v>
      </c>
      <c r="J49" s="569">
        <v>2.9039999999999999</v>
      </c>
      <c r="K49" s="579" t="s">
        <v>293</v>
      </c>
    </row>
    <row r="50" spans="1:11" ht="14.4" customHeight="1" thickBot="1" x14ac:dyDescent="0.35">
      <c r="A50" s="590" t="s">
        <v>328</v>
      </c>
      <c r="B50" s="568">
        <v>0</v>
      </c>
      <c r="C50" s="568">
        <v>0</v>
      </c>
      <c r="D50" s="569">
        <v>0</v>
      </c>
      <c r="E50" s="570">
        <v>1</v>
      </c>
      <c r="F50" s="568">
        <v>0</v>
      </c>
      <c r="G50" s="569">
        <v>0</v>
      </c>
      <c r="H50" s="571">
        <v>0</v>
      </c>
      <c r="I50" s="568">
        <v>2.67</v>
      </c>
      <c r="J50" s="569">
        <v>2.67</v>
      </c>
      <c r="K50" s="579" t="s">
        <v>293</v>
      </c>
    </row>
    <row r="51" spans="1:11" ht="14.4" customHeight="1" thickBot="1" x14ac:dyDescent="0.35">
      <c r="A51" s="590" t="s">
        <v>329</v>
      </c>
      <c r="B51" s="568">
        <v>41.999998677100997</v>
      </c>
      <c r="C51" s="568">
        <v>52.785969999999999</v>
      </c>
      <c r="D51" s="569">
        <v>10.785971322898</v>
      </c>
      <c r="E51" s="570">
        <v>1.25680884911</v>
      </c>
      <c r="F51" s="568">
        <v>63.063379296050996</v>
      </c>
      <c r="G51" s="569">
        <v>63.063379296050996</v>
      </c>
      <c r="H51" s="571">
        <v>5.57822</v>
      </c>
      <c r="I51" s="568">
        <v>76.106480000000005</v>
      </c>
      <c r="J51" s="569">
        <v>13.043100703947999</v>
      </c>
      <c r="K51" s="572">
        <v>1.2068252740259999</v>
      </c>
    </row>
    <row r="52" spans="1:11" ht="14.4" customHeight="1" thickBot="1" x14ac:dyDescent="0.35">
      <c r="A52" s="589" t="s">
        <v>330</v>
      </c>
      <c r="B52" s="573">
        <v>203.27993434081901</v>
      </c>
      <c r="C52" s="573">
        <v>97.496250000000003</v>
      </c>
      <c r="D52" s="574">
        <v>-105.78368434081899</v>
      </c>
      <c r="E52" s="580">
        <v>0.47961570981399998</v>
      </c>
      <c r="F52" s="573">
        <v>111.10826860548801</v>
      </c>
      <c r="G52" s="574">
        <v>111.10826860548801</v>
      </c>
      <c r="H52" s="576">
        <v>0.16800000000000001</v>
      </c>
      <c r="I52" s="573">
        <v>234.63054</v>
      </c>
      <c r="J52" s="574">
        <v>123.522271394512</v>
      </c>
      <c r="K52" s="581">
        <v>2.1117288834110002</v>
      </c>
    </row>
    <row r="53" spans="1:11" ht="14.4" customHeight="1" thickBot="1" x14ac:dyDescent="0.35">
      <c r="A53" s="590" t="s">
        <v>331</v>
      </c>
      <c r="B53" s="568">
        <v>0</v>
      </c>
      <c r="C53" s="568">
        <v>0</v>
      </c>
      <c r="D53" s="569">
        <v>0</v>
      </c>
      <c r="E53" s="570">
        <v>1</v>
      </c>
      <c r="F53" s="568">
        <v>0</v>
      </c>
      <c r="G53" s="569">
        <v>0</v>
      </c>
      <c r="H53" s="571">
        <v>0</v>
      </c>
      <c r="I53" s="568">
        <v>18.774000000000001</v>
      </c>
      <c r="J53" s="569">
        <v>18.774000000000001</v>
      </c>
      <c r="K53" s="579" t="s">
        <v>293</v>
      </c>
    </row>
    <row r="54" spans="1:11" ht="14.4" customHeight="1" thickBot="1" x14ac:dyDescent="0.35">
      <c r="A54" s="590" t="s">
        <v>332</v>
      </c>
      <c r="B54" s="568">
        <v>202.27993437231601</v>
      </c>
      <c r="C54" s="568">
        <v>88.399559999999994</v>
      </c>
      <c r="D54" s="569">
        <v>-113.880374372316</v>
      </c>
      <c r="E54" s="570">
        <v>0.43701596144100002</v>
      </c>
      <c r="F54" s="568">
        <v>105.258731244354</v>
      </c>
      <c r="G54" s="569">
        <v>105.258731244354</v>
      </c>
      <c r="H54" s="571">
        <v>0</v>
      </c>
      <c r="I54" s="568">
        <v>207.90558999999999</v>
      </c>
      <c r="J54" s="569">
        <v>102.64685875564599</v>
      </c>
      <c r="K54" s="572">
        <v>1.9751861678560001</v>
      </c>
    </row>
    <row r="55" spans="1:11" ht="14.4" customHeight="1" thickBot="1" x14ac:dyDescent="0.35">
      <c r="A55" s="590" t="s">
        <v>333</v>
      </c>
      <c r="B55" s="568">
        <v>0</v>
      </c>
      <c r="C55" s="568">
        <v>2.8010000000000002</v>
      </c>
      <c r="D55" s="569">
        <v>2.8010000000000002</v>
      </c>
      <c r="E55" s="578" t="s">
        <v>281</v>
      </c>
      <c r="F55" s="568">
        <v>0</v>
      </c>
      <c r="G55" s="569">
        <v>0</v>
      </c>
      <c r="H55" s="571">
        <v>0</v>
      </c>
      <c r="I55" s="568">
        <v>0</v>
      </c>
      <c r="J55" s="569">
        <v>0</v>
      </c>
      <c r="K55" s="579" t="s">
        <v>281</v>
      </c>
    </row>
    <row r="56" spans="1:11" ht="14.4" customHeight="1" thickBot="1" x14ac:dyDescent="0.35">
      <c r="A56" s="590" t="s">
        <v>334</v>
      </c>
      <c r="B56" s="568">
        <v>0.99999996850200001</v>
      </c>
      <c r="C56" s="568">
        <v>6.2956899999999996</v>
      </c>
      <c r="D56" s="569">
        <v>5.2956900314970001</v>
      </c>
      <c r="E56" s="570">
        <v>6.2956901982979998</v>
      </c>
      <c r="F56" s="568">
        <v>5.8495373611329997</v>
      </c>
      <c r="G56" s="569">
        <v>5.8495373611329997</v>
      </c>
      <c r="H56" s="571">
        <v>0.16800000000000001</v>
      </c>
      <c r="I56" s="568">
        <v>7.9509499999999997</v>
      </c>
      <c r="J56" s="569">
        <v>2.1014126388659999</v>
      </c>
      <c r="K56" s="572">
        <v>1.359244246019</v>
      </c>
    </row>
    <row r="57" spans="1:11" ht="14.4" customHeight="1" thickBot="1" x14ac:dyDescent="0.35">
      <c r="A57" s="589" t="s">
        <v>335</v>
      </c>
      <c r="B57" s="573">
        <v>127.99999596831</v>
      </c>
      <c r="C57" s="573">
        <v>131.72001</v>
      </c>
      <c r="D57" s="574">
        <v>3.7200140316889998</v>
      </c>
      <c r="E57" s="580">
        <v>1.029062610537</v>
      </c>
      <c r="F57" s="573">
        <v>142.120187634671</v>
      </c>
      <c r="G57" s="574">
        <v>142.120187634671</v>
      </c>
      <c r="H57" s="576">
        <v>24.40446</v>
      </c>
      <c r="I57" s="573">
        <v>219.26244</v>
      </c>
      <c r="J57" s="574">
        <v>77.142252365329</v>
      </c>
      <c r="K57" s="581">
        <v>1.542795880368</v>
      </c>
    </row>
    <row r="58" spans="1:11" ht="14.4" customHeight="1" thickBot="1" x14ac:dyDescent="0.35">
      <c r="A58" s="590" t="s">
        <v>336</v>
      </c>
      <c r="B58" s="568">
        <v>11.999999622028</v>
      </c>
      <c r="C58" s="568">
        <v>2.3110400000000002</v>
      </c>
      <c r="D58" s="569">
        <v>-9.6889596220279994</v>
      </c>
      <c r="E58" s="570">
        <v>0.192586672732</v>
      </c>
      <c r="F58" s="568">
        <v>0</v>
      </c>
      <c r="G58" s="569">
        <v>0</v>
      </c>
      <c r="H58" s="571">
        <v>0</v>
      </c>
      <c r="I58" s="568">
        <v>8.9540699999999998</v>
      </c>
      <c r="J58" s="569">
        <v>8.9540699999999998</v>
      </c>
      <c r="K58" s="579" t="s">
        <v>281</v>
      </c>
    </row>
    <row r="59" spans="1:11" ht="14.4" customHeight="1" thickBot="1" x14ac:dyDescent="0.35">
      <c r="A59" s="590" t="s">
        <v>337</v>
      </c>
      <c r="B59" s="568">
        <v>4.9999998425119996</v>
      </c>
      <c r="C59" s="568">
        <v>4.0519999999999996</v>
      </c>
      <c r="D59" s="569">
        <v>-0.94799984251199998</v>
      </c>
      <c r="E59" s="570">
        <v>0.81040002552500001</v>
      </c>
      <c r="F59" s="568">
        <v>4.540210264673</v>
      </c>
      <c r="G59" s="569">
        <v>4.540210264673</v>
      </c>
      <c r="H59" s="571">
        <v>0.68969999999999998</v>
      </c>
      <c r="I59" s="568">
        <v>6.1095300000000003</v>
      </c>
      <c r="J59" s="569">
        <v>1.569319735326</v>
      </c>
      <c r="K59" s="572">
        <v>1.3456491316129999</v>
      </c>
    </row>
    <row r="60" spans="1:11" ht="14.4" customHeight="1" thickBot="1" x14ac:dyDescent="0.35">
      <c r="A60" s="590" t="s">
        <v>338</v>
      </c>
      <c r="B60" s="568">
        <v>1.999999937004</v>
      </c>
      <c r="C60" s="568">
        <v>8.1026500000000006</v>
      </c>
      <c r="D60" s="569">
        <v>6.102650062995</v>
      </c>
      <c r="E60" s="570">
        <v>4.0513251276059998</v>
      </c>
      <c r="F60" s="568">
        <v>0</v>
      </c>
      <c r="G60" s="569">
        <v>0</v>
      </c>
      <c r="H60" s="571">
        <v>9.1294299999999993</v>
      </c>
      <c r="I60" s="568">
        <v>10.1477</v>
      </c>
      <c r="J60" s="569">
        <v>10.1477</v>
      </c>
      <c r="K60" s="579" t="s">
        <v>281</v>
      </c>
    </row>
    <row r="61" spans="1:11" ht="14.4" customHeight="1" thickBot="1" x14ac:dyDescent="0.35">
      <c r="A61" s="590" t="s">
        <v>339</v>
      </c>
      <c r="B61" s="568">
        <v>6.9999997795160001</v>
      </c>
      <c r="C61" s="568">
        <v>10.30687</v>
      </c>
      <c r="D61" s="569">
        <v>3.3068702204829998</v>
      </c>
      <c r="E61" s="570">
        <v>1.472410046377</v>
      </c>
      <c r="F61" s="568">
        <v>18.787730906566001</v>
      </c>
      <c r="G61" s="569">
        <v>18.787730906566001</v>
      </c>
      <c r="H61" s="571">
        <v>2.1610399999999998</v>
      </c>
      <c r="I61" s="568">
        <v>23.82281</v>
      </c>
      <c r="J61" s="569">
        <v>5.0350790934329996</v>
      </c>
      <c r="K61" s="572">
        <v>1.2679982547369999</v>
      </c>
    </row>
    <row r="62" spans="1:11" ht="14.4" customHeight="1" thickBot="1" x14ac:dyDescent="0.35">
      <c r="A62" s="590" t="s">
        <v>340</v>
      </c>
      <c r="B62" s="568">
        <v>1.999999937004</v>
      </c>
      <c r="C62" s="568">
        <v>2.0095299999999998</v>
      </c>
      <c r="D62" s="569">
        <v>9.5300629949999997E-3</v>
      </c>
      <c r="E62" s="570">
        <v>1.004765031647</v>
      </c>
      <c r="F62" s="568">
        <v>6.0700633676519997</v>
      </c>
      <c r="G62" s="569">
        <v>6.0700633676519997</v>
      </c>
      <c r="H62" s="571">
        <v>2.3477899999999998</v>
      </c>
      <c r="I62" s="568">
        <v>10.051410000000001</v>
      </c>
      <c r="J62" s="569">
        <v>3.9813466323469999</v>
      </c>
      <c r="K62" s="572">
        <v>1.6558986935060001</v>
      </c>
    </row>
    <row r="63" spans="1:11" ht="14.4" customHeight="1" thickBot="1" x14ac:dyDescent="0.35">
      <c r="A63" s="590" t="s">
        <v>341</v>
      </c>
      <c r="B63" s="568">
        <v>99.999996850241999</v>
      </c>
      <c r="C63" s="568">
        <v>104.93792000000001</v>
      </c>
      <c r="D63" s="569">
        <v>4.9379231497570002</v>
      </c>
      <c r="E63" s="570">
        <v>1.049379233052</v>
      </c>
      <c r="F63" s="568">
        <v>112.722183095779</v>
      </c>
      <c r="G63" s="569">
        <v>112.722183095779</v>
      </c>
      <c r="H63" s="571">
        <v>10.076499999999999</v>
      </c>
      <c r="I63" s="568">
        <v>160.17692</v>
      </c>
      <c r="J63" s="569">
        <v>47.454736904221001</v>
      </c>
      <c r="K63" s="572">
        <v>1.420988447889</v>
      </c>
    </row>
    <row r="64" spans="1:11" ht="14.4" customHeight="1" thickBot="1" x14ac:dyDescent="0.35">
      <c r="A64" s="588" t="s">
        <v>29</v>
      </c>
      <c r="B64" s="568">
        <v>299.16703433417598</v>
      </c>
      <c r="C64" s="568">
        <v>309.17200000000003</v>
      </c>
      <c r="D64" s="569">
        <v>10.004965665823001</v>
      </c>
      <c r="E64" s="570">
        <v>1.0334427410689999</v>
      </c>
      <c r="F64" s="568">
        <v>304.68564280130101</v>
      </c>
      <c r="G64" s="569">
        <v>304.68564280130101</v>
      </c>
      <c r="H64" s="571">
        <v>33.780999999999999</v>
      </c>
      <c r="I64" s="568">
        <v>299.00200000000001</v>
      </c>
      <c r="J64" s="569">
        <v>-5.6836428013000004</v>
      </c>
      <c r="K64" s="572">
        <v>0.981345879152</v>
      </c>
    </row>
    <row r="65" spans="1:11" ht="14.4" customHeight="1" thickBot="1" x14ac:dyDescent="0.35">
      <c r="A65" s="589" t="s">
        <v>342</v>
      </c>
      <c r="B65" s="573">
        <v>299.16703433417598</v>
      </c>
      <c r="C65" s="573">
        <v>309.17200000000003</v>
      </c>
      <c r="D65" s="574">
        <v>10.004965665823001</v>
      </c>
      <c r="E65" s="580">
        <v>1.0334427410689999</v>
      </c>
      <c r="F65" s="573">
        <v>304.68564280130101</v>
      </c>
      <c r="G65" s="574">
        <v>304.68564280130101</v>
      </c>
      <c r="H65" s="576">
        <v>33.780999999999999</v>
      </c>
      <c r="I65" s="573">
        <v>299.00200000000001</v>
      </c>
      <c r="J65" s="574">
        <v>-5.6836428013000004</v>
      </c>
      <c r="K65" s="581">
        <v>0.981345879152</v>
      </c>
    </row>
    <row r="66" spans="1:11" ht="14.4" customHeight="1" thickBot="1" x14ac:dyDescent="0.35">
      <c r="A66" s="590" t="s">
        <v>343</v>
      </c>
      <c r="B66" s="568">
        <v>106.167040413208</v>
      </c>
      <c r="C66" s="568">
        <v>106.074</v>
      </c>
      <c r="D66" s="569">
        <v>-9.3040413207000003E-2</v>
      </c>
      <c r="E66" s="570">
        <v>0.99912364126499997</v>
      </c>
      <c r="F66" s="568">
        <v>104.655162717577</v>
      </c>
      <c r="G66" s="569">
        <v>104.655162717577</v>
      </c>
      <c r="H66" s="571">
        <v>7.7629999999999999</v>
      </c>
      <c r="I66" s="568">
        <v>95.093999999999994</v>
      </c>
      <c r="J66" s="569">
        <v>-9.561162717577</v>
      </c>
      <c r="K66" s="572">
        <v>0.90864127034599995</v>
      </c>
    </row>
    <row r="67" spans="1:11" ht="14.4" customHeight="1" thickBot="1" x14ac:dyDescent="0.35">
      <c r="A67" s="590" t="s">
        <v>344</v>
      </c>
      <c r="B67" s="568">
        <v>29.999999055071999</v>
      </c>
      <c r="C67" s="568">
        <v>26.786000000000001</v>
      </c>
      <c r="D67" s="569">
        <v>-3.2139990550720001</v>
      </c>
      <c r="E67" s="570">
        <v>0.89286669478900005</v>
      </c>
      <c r="F67" s="568">
        <v>25.940625280494999</v>
      </c>
      <c r="G67" s="569">
        <v>25.940625280494999</v>
      </c>
      <c r="H67" s="571">
        <v>1.3779999999999999</v>
      </c>
      <c r="I67" s="568">
        <v>27.087</v>
      </c>
      <c r="J67" s="569">
        <v>1.1463747195039999</v>
      </c>
      <c r="K67" s="572">
        <v>1.0441922547010001</v>
      </c>
    </row>
    <row r="68" spans="1:11" ht="14.4" customHeight="1" thickBot="1" x14ac:dyDescent="0.35">
      <c r="A68" s="590" t="s">
        <v>345</v>
      </c>
      <c r="B68" s="568">
        <v>162.99999486589601</v>
      </c>
      <c r="C68" s="568">
        <v>176.31200000000001</v>
      </c>
      <c r="D68" s="569">
        <v>13.312005134104</v>
      </c>
      <c r="E68" s="570">
        <v>1.0816687457259999</v>
      </c>
      <c r="F68" s="568">
        <v>174.08985480322801</v>
      </c>
      <c r="G68" s="569">
        <v>174.08985480322801</v>
      </c>
      <c r="H68" s="571">
        <v>24.64</v>
      </c>
      <c r="I68" s="568">
        <v>176.821</v>
      </c>
      <c r="J68" s="569">
        <v>2.7311451967720002</v>
      </c>
      <c r="K68" s="572">
        <v>1.0156881353010001</v>
      </c>
    </row>
    <row r="69" spans="1:11" ht="14.4" customHeight="1" thickBot="1" x14ac:dyDescent="0.35">
      <c r="A69" s="591" t="s">
        <v>346</v>
      </c>
      <c r="B69" s="573">
        <v>1404.38135398842</v>
      </c>
      <c r="C69" s="573">
        <v>1589.7145599999999</v>
      </c>
      <c r="D69" s="574">
        <v>185.33320601157499</v>
      </c>
      <c r="E69" s="580">
        <v>1.1319678629200001</v>
      </c>
      <c r="F69" s="573">
        <v>1546.9264129926</v>
      </c>
      <c r="G69" s="574">
        <v>1546.9264129926</v>
      </c>
      <c r="H69" s="576">
        <v>224.669800000001</v>
      </c>
      <c r="I69" s="573">
        <v>1838.4109599999999</v>
      </c>
      <c r="J69" s="574">
        <v>291.48454700740399</v>
      </c>
      <c r="K69" s="581">
        <v>1.188428191903</v>
      </c>
    </row>
    <row r="70" spans="1:11" ht="14.4" customHeight="1" thickBot="1" x14ac:dyDescent="0.35">
      <c r="A70" s="588" t="s">
        <v>32</v>
      </c>
      <c r="B70" s="568">
        <v>574.96339661508296</v>
      </c>
      <c r="C70" s="568">
        <v>534.68736999999999</v>
      </c>
      <c r="D70" s="569">
        <v>-40.276026615082998</v>
      </c>
      <c r="E70" s="570">
        <v>0.92995027709199996</v>
      </c>
      <c r="F70" s="568">
        <v>578.10704015763395</v>
      </c>
      <c r="G70" s="569">
        <v>578.10704015763395</v>
      </c>
      <c r="H70" s="571">
        <v>79.704409999999996</v>
      </c>
      <c r="I70" s="568">
        <v>628.76692000000003</v>
      </c>
      <c r="J70" s="569">
        <v>50.659879842366003</v>
      </c>
      <c r="K70" s="572">
        <v>1.087630622572</v>
      </c>
    </row>
    <row r="71" spans="1:11" ht="14.4" customHeight="1" thickBot="1" x14ac:dyDescent="0.35">
      <c r="A71" s="592" t="s">
        <v>347</v>
      </c>
      <c r="B71" s="568">
        <v>574.96339661508296</v>
      </c>
      <c r="C71" s="568">
        <v>534.68736999999999</v>
      </c>
      <c r="D71" s="569">
        <v>-40.276026615082998</v>
      </c>
      <c r="E71" s="570">
        <v>0.92995027709199996</v>
      </c>
      <c r="F71" s="568">
        <v>578.10704015763395</v>
      </c>
      <c r="G71" s="569">
        <v>578.10704015763395</v>
      </c>
      <c r="H71" s="571">
        <v>79.704409999999996</v>
      </c>
      <c r="I71" s="568">
        <v>628.76692000000003</v>
      </c>
      <c r="J71" s="569">
        <v>50.659879842366003</v>
      </c>
      <c r="K71" s="572">
        <v>1.087630622572</v>
      </c>
    </row>
    <row r="72" spans="1:11" ht="14.4" customHeight="1" thickBot="1" x14ac:dyDescent="0.35">
      <c r="A72" s="590" t="s">
        <v>348</v>
      </c>
      <c r="B72" s="568">
        <v>517.76746542230205</v>
      </c>
      <c r="C72" s="568">
        <v>476.26542999999998</v>
      </c>
      <c r="D72" s="569">
        <v>-41.502035422302001</v>
      </c>
      <c r="E72" s="570">
        <v>0.91984425790699997</v>
      </c>
      <c r="F72" s="568">
        <v>524.76082482663401</v>
      </c>
      <c r="G72" s="569">
        <v>524.76082482663401</v>
      </c>
      <c r="H72" s="571">
        <v>48.652290000000001</v>
      </c>
      <c r="I72" s="568">
        <v>497.05614000000003</v>
      </c>
      <c r="J72" s="569">
        <v>-27.704684826634001</v>
      </c>
      <c r="K72" s="572">
        <v>0.94720511990199996</v>
      </c>
    </row>
    <row r="73" spans="1:11" ht="14.4" customHeight="1" thickBot="1" x14ac:dyDescent="0.35">
      <c r="A73" s="590" t="s">
        <v>349</v>
      </c>
      <c r="B73" s="568">
        <v>4.4653803817720004</v>
      </c>
      <c r="C73" s="568">
        <v>0.59299999999999997</v>
      </c>
      <c r="D73" s="569">
        <v>-3.8723803817719999</v>
      </c>
      <c r="E73" s="570">
        <v>0.13279943684500001</v>
      </c>
      <c r="F73" s="568">
        <v>0</v>
      </c>
      <c r="G73" s="569">
        <v>0</v>
      </c>
      <c r="H73" s="571">
        <v>2.4986000000000002</v>
      </c>
      <c r="I73" s="568">
        <v>6.1201299999999996</v>
      </c>
      <c r="J73" s="569">
        <v>6.1201299999999996</v>
      </c>
      <c r="K73" s="579" t="s">
        <v>281</v>
      </c>
    </row>
    <row r="74" spans="1:11" ht="14.4" customHeight="1" thickBot="1" x14ac:dyDescent="0.35">
      <c r="A74" s="590" t="s">
        <v>350</v>
      </c>
      <c r="B74" s="568">
        <v>35.999998866086997</v>
      </c>
      <c r="C74" s="568">
        <v>27.327850000000002</v>
      </c>
      <c r="D74" s="569">
        <v>-8.6721488660869994</v>
      </c>
      <c r="E74" s="570">
        <v>0.75910696835400004</v>
      </c>
      <c r="F74" s="568">
        <v>23.684919065047001</v>
      </c>
      <c r="G74" s="569">
        <v>23.684919065047001</v>
      </c>
      <c r="H74" s="571">
        <v>25.976279999999999</v>
      </c>
      <c r="I74" s="568">
        <v>95.282449999999997</v>
      </c>
      <c r="J74" s="569">
        <v>71.597530934952999</v>
      </c>
      <c r="K74" s="572">
        <v>4.0229164278890002</v>
      </c>
    </row>
    <row r="75" spans="1:11" ht="14.4" customHeight="1" thickBot="1" x14ac:dyDescent="0.35">
      <c r="A75" s="590" t="s">
        <v>351</v>
      </c>
      <c r="B75" s="568">
        <v>16.730551944921</v>
      </c>
      <c r="C75" s="568">
        <v>30.501090000000001</v>
      </c>
      <c r="D75" s="569">
        <v>13.770538055077999</v>
      </c>
      <c r="E75" s="570">
        <v>1.8230773318419999</v>
      </c>
      <c r="F75" s="568">
        <v>29.661296265952</v>
      </c>
      <c r="G75" s="569">
        <v>29.661296265952</v>
      </c>
      <c r="H75" s="571">
        <v>2.5772400000000002</v>
      </c>
      <c r="I75" s="568">
        <v>30.308199999999999</v>
      </c>
      <c r="J75" s="569">
        <v>0.64690373404699997</v>
      </c>
      <c r="K75" s="572">
        <v>1.021809691938</v>
      </c>
    </row>
    <row r="76" spans="1:11" ht="14.4" customHeight="1" thickBot="1" x14ac:dyDescent="0.35">
      <c r="A76" s="593" t="s">
        <v>33</v>
      </c>
      <c r="B76" s="573">
        <v>0</v>
      </c>
      <c r="C76" s="573">
        <v>119.842</v>
      </c>
      <c r="D76" s="574">
        <v>119.842</v>
      </c>
      <c r="E76" s="575" t="s">
        <v>281</v>
      </c>
      <c r="F76" s="573">
        <v>0</v>
      </c>
      <c r="G76" s="574">
        <v>0</v>
      </c>
      <c r="H76" s="576">
        <v>30.292660000000001</v>
      </c>
      <c r="I76" s="573">
        <v>198.92202</v>
      </c>
      <c r="J76" s="574">
        <v>198.92202</v>
      </c>
      <c r="K76" s="577" t="s">
        <v>281</v>
      </c>
    </row>
    <row r="77" spans="1:11" ht="14.4" customHeight="1" thickBot="1" x14ac:dyDescent="0.35">
      <c r="A77" s="589" t="s">
        <v>352</v>
      </c>
      <c r="B77" s="573">
        <v>0</v>
      </c>
      <c r="C77" s="573">
        <v>39.792999999999999</v>
      </c>
      <c r="D77" s="574">
        <v>39.792999999999999</v>
      </c>
      <c r="E77" s="575" t="s">
        <v>281</v>
      </c>
      <c r="F77" s="573">
        <v>0</v>
      </c>
      <c r="G77" s="574">
        <v>0</v>
      </c>
      <c r="H77" s="576">
        <v>13.318</v>
      </c>
      <c r="I77" s="573">
        <v>164.571</v>
      </c>
      <c r="J77" s="574">
        <v>164.571</v>
      </c>
      <c r="K77" s="577" t="s">
        <v>281</v>
      </c>
    </row>
    <row r="78" spans="1:11" ht="14.4" customHeight="1" thickBot="1" x14ac:dyDescent="0.35">
      <c r="A78" s="590" t="s">
        <v>353</v>
      </c>
      <c r="B78" s="568">
        <v>0</v>
      </c>
      <c r="C78" s="568">
        <v>28.533000000000001</v>
      </c>
      <c r="D78" s="569">
        <v>28.533000000000001</v>
      </c>
      <c r="E78" s="578" t="s">
        <v>281</v>
      </c>
      <c r="F78" s="568">
        <v>0</v>
      </c>
      <c r="G78" s="569">
        <v>0</v>
      </c>
      <c r="H78" s="571">
        <v>9.9979999999999993</v>
      </c>
      <c r="I78" s="568">
        <v>77.301000000000002</v>
      </c>
      <c r="J78" s="569">
        <v>77.301000000000002</v>
      </c>
      <c r="K78" s="579" t="s">
        <v>281</v>
      </c>
    </row>
    <row r="79" spans="1:11" ht="14.4" customHeight="1" thickBot="1" x14ac:dyDescent="0.35">
      <c r="A79" s="590" t="s">
        <v>354</v>
      </c>
      <c r="B79" s="568">
        <v>0</v>
      </c>
      <c r="C79" s="568">
        <v>11.26</v>
      </c>
      <c r="D79" s="569">
        <v>11.26</v>
      </c>
      <c r="E79" s="578" t="s">
        <v>281</v>
      </c>
      <c r="F79" s="568">
        <v>0</v>
      </c>
      <c r="G79" s="569">
        <v>0</v>
      </c>
      <c r="H79" s="571">
        <v>3.32</v>
      </c>
      <c r="I79" s="568">
        <v>87.27</v>
      </c>
      <c r="J79" s="569">
        <v>87.27</v>
      </c>
      <c r="K79" s="579" t="s">
        <v>281</v>
      </c>
    </row>
    <row r="80" spans="1:11" ht="14.4" customHeight="1" thickBot="1" x14ac:dyDescent="0.35">
      <c r="A80" s="589" t="s">
        <v>355</v>
      </c>
      <c r="B80" s="573">
        <v>0</v>
      </c>
      <c r="C80" s="573">
        <v>80.049000000000007</v>
      </c>
      <c r="D80" s="574">
        <v>80.049000000000007</v>
      </c>
      <c r="E80" s="575" t="s">
        <v>281</v>
      </c>
      <c r="F80" s="573">
        <v>0</v>
      </c>
      <c r="G80" s="574">
        <v>0</v>
      </c>
      <c r="H80" s="576">
        <v>16.97466</v>
      </c>
      <c r="I80" s="573">
        <v>34.351019999999998</v>
      </c>
      <c r="J80" s="574">
        <v>34.351019999999998</v>
      </c>
      <c r="K80" s="577" t="s">
        <v>281</v>
      </c>
    </row>
    <row r="81" spans="1:11" ht="14.4" customHeight="1" thickBot="1" x14ac:dyDescent="0.35">
      <c r="A81" s="590" t="s">
        <v>356</v>
      </c>
      <c r="B81" s="568">
        <v>0</v>
      </c>
      <c r="C81" s="568">
        <v>80.049000000000007</v>
      </c>
      <c r="D81" s="569">
        <v>80.049000000000007</v>
      </c>
      <c r="E81" s="578" t="s">
        <v>293</v>
      </c>
      <c r="F81" s="568">
        <v>0</v>
      </c>
      <c r="G81" s="569">
        <v>0</v>
      </c>
      <c r="H81" s="571">
        <v>8.7840000000000007</v>
      </c>
      <c r="I81" s="568">
        <v>17.568000000000001</v>
      </c>
      <c r="J81" s="569">
        <v>17.568000000000001</v>
      </c>
      <c r="K81" s="579" t="s">
        <v>281</v>
      </c>
    </row>
    <row r="82" spans="1:11" ht="14.4" customHeight="1" thickBot="1" x14ac:dyDescent="0.35">
      <c r="A82" s="590" t="s">
        <v>357</v>
      </c>
      <c r="B82" s="568">
        <v>0</v>
      </c>
      <c r="C82" s="568">
        <v>0</v>
      </c>
      <c r="D82" s="569">
        <v>0</v>
      </c>
      <c r="E82" s="578" t="s">
        <v>281</v>
      </c>
      <c r="F82" s="568">
        <v>0</v>
      </c>
      <c r="G82" s="569">
        <v>0</v>
      </c>
      <c r="H82" s="571">
        <v>8.1906599999999994</v>
      </c>
      <c r="I82" s="568">
        <v>16.78302</v>
      </c>
      <c r="J82" s="569">
        <v>16.78302</v>
      </c>
      <c r="K82" s="579" t="s">
        <v>293</v>
      </c>
    </row>
    <row r="83" spans="1:11" ht="14.4" customHeight="1" thickBot="1" x14ac:dyDescent="0.35">
      <c r="A83" s="588" t="s">
        <v>34</v>
      </c>
      <c r="B83" s="568">
        <v>829.41795737334201</v>
      </c>
      <c r="C83" s="568">
        <v>935.18519000000003</v>
      </c>
      <c r="D83" s="569">
        <v>105.767232626658</v>
      </c>
      <c r="E83" s="570">
        <v>1.1275198248189999</v>
      </c>
      <c r="F83" s="568">
        <v>968.81937283496302</v>
      </c>
      <c r="G83" s="569">
        <v>968.81937283496302</v>
      </c>
      <c r="H83" s="571">
        <v>114.67273</v>
      </c>
      <c r="I83" s="568">
        <v>1010.72202</v>
      </c>
      <c r="J83" s="569">
        <v>41.902647165037003</v>
      </c>
      <c r="K83" s="572">
        <v>1.0432512482089999</v>
      </c>
    </row>
    <row r="84" spans="1:11" ht="14.4" customHeight="1" thickBot="1" x14ac:dyDescent="0.35">
      <c r="A84" s="589" t="s">
        <v>358</v>
      </c>
      <c r="B84" s="573">
        <v>6.9999997795160001</v>
      </c>
      <c r="C84" s="573">
        <v>3.4409000000000001</v>
      </c>
      <c r="D84" s="574">
        <v>-3.559099779516</v>
      </c>
      <c r="E84" s="580">
        <v>0.49155715834000002</v>
      </c>
      <c r="F84" s="573">
        <v>5.2766745769999996</v>
      </c>
      <c r="G84" s="574">
        <v>5.2766745769999996</v>
      </c>
      <c r="H84" s="576">
        <v>0</v>
      </c>
      <c r="I84" s="573">
        <v>0</v>
      </c>
      <c r="J84" s="574">
        <v>-5.2766745769999996</v>
      </c>
      <c r="K84" s="581">
        <v>0</v>
      </c>
    </row>
    <row r="85" spans="1:11" ht="14.4" customHeight="1" thickBot="1" x14ac:dyDescent="0.35">
      <c r="A85" s="590" t="s">
        <v>359</v>
      </c>
      <c r="B85" s="568">
        <v>6.9999997795160001</v>
      </c>
      <c r="C85" s="568">
        <v>3.4409000000000001</v>
      </c>
      <c r="D85" s="569">
        <v>-3.559099779516</v>
      </c>
      <c r="E85" s="570">
        <v>0.49155715834000002</v>
      </c>
      <c r="F85" s="568">
        <v>5.2766745769999996</v>
      </c>
      <c r="G85" s="569">
        <v>5.2766745769999996</v>
      </c>
      <c r="H85" s="571">
        <v>0</v>
      </c>
      <c r="I85" s="568">
        <v>0</v>
      </c>
      <c r="J85" s="569">
        <v>-5.2766745769999996</v>
      </c>
      <c r="K85" s="572">
        <v>0</v>
      </c>
    </row>
    <row r="86" spans="1:11" ht="14.4" customHeight="1" thickBot="1" x14ac:dyDescent="0.35">
      <c r="A86" s="589" t="s">
        <v>360</v>
      </c>
      <c r="B86" s="573">
        <v>6.2488507842930003</v>
      </c>
      <c r="C86" s="573">
        <v>5.7269199999999998</v>
      </c>
      <c r="D86" s="574">
        <v>-0.52193078429299999</v>
      </c>
      <c r="E86" s="580">
        <v>0.91647571652600002</v>
      </c>
      <c r="F86" s="573">
        <v>5.8516966701799999</v>
      </c>
      <c r="G86" s="574">
        <v>5.8516966701799999</v>
      </c>
      <c r="H86" s="576">
        <v>0.49813000000000002</v>
      </c>
      <c r="I86" s="573">
        <v>5.7067899999999998</v>
      </c>
      <c r="J86" s="574">
        <v>-0.14490667018</v>
      </c>
      <c r="K86" s="581">
        <v>0.97523681107399995</v>
      </c>
    </row>
    <row r="87" spans="1:11" ht="14.4" customHeight="1" thickBot="1" x14ac:dyDescent="0.35">
      <c r="A87" s="590" t="s">
        <v>361</v>
      </c>
      <c r="B87" s="568">
        <v>1.1983282151400001</v>
      </c>
      <c r="C87" s="568">
        <v>1.1076999999999999</v>
      </c>
      <c r="D87" s="569">
        <v>-9.0628215139999996E-2</v>
      </c>
      <c r="E87" s="570">
        <v>0.92437112470799998</v>
      </c>
      <c r="F87" s="568">
        <v>0.73088596033300002</v>
      </c>
      <c r="G87" s="569">
        <v>0.73088596033300002</v>
      </c>
      <c r="H87" s="571">
        <v>5.4199999999999998E-2</v>
      </c>
      <c r="I87" s="568">
        <v>1.2236</v>
      </c>
      <c r="J87" s="569">
        <v>0.49271403966600003</v>
      </c>
      <c r="K87" s="572">
        <v>1.674132582108</v>
      </c>
    </row>
    <row r="88" spans="1:11" ht="14.4" customHeight="1" thickBot="1" x14ac:dyDescent="0.35">
      <c r="A88" s="590" t="s">
        <v>362</v>
      </c>
      <c r="B88" s="568">
        <v>5.0505225691520002</v>
      </c>
      <c r="C88" s="568">
        <v>4.6192200000000003</v>
      </c>
      <c r="D88" s="569">
        <v>-0.43130256915199999</v>
      </c>
      <c r="E88" s="570">
        <v>0.914602387525</v>
      </c>
      <c r="F88" s="568">
        <v>5.1208107098470004</v>
      </c>
      <c r="G88" s="569">
        <v>5.1208107098470004</v>
      </c>
      <c r="H88" s="571">
        <v>0.44392999999999999</v>
      </c>
      <c r="I88" s="568">
        <v>4.4831899999999996</v>
      </c>
      <c r="J88" s="569">
        <v>-0.63762070984700003</v>
      </c>
      <c r="K88" s="572">
        <v>0.87548442112400005</v>
      </c>
    </row>
    <row r="89" spans="1:11" ht="14.4" customHeight="1" thickBot="1" x14ac:dyDescent="0.35">
      <c r="A89" s="589" t="s">
        <v>363</v>
      </c>
      <c r="B89" s="573">
        <v>33.001785633859001</v>
      </c>
      <c r="C89" s="573">
        <v>31.54907</v>
      </c>
      <c r="D89" s="574">
        <v>-1.4527156338589999</v>
      </c>
      <c r="E89" s="580">
        <v>0.95598069601500002</v>
      </c>
      <c r="F89" s="573">
        <v>35.893306920904003</v>
      </c>
      <c r="G89" s="574">
        <v>35.893306920904003</v>
      </c>
      <c r="H89" s="576">
        <v>0</v>
      </c>
      <c r="I89" s="573">
        <v>34.533819999999999</v>
      </c>
      <c r="J89" s="574">
        <v>-1.3594869209039999</v>
      </c>
      <c r="K89" s="581">
        <v>0.96212422210299997</v>
      </c>
    </row>
    <row r="90" spans="1:11" ht="14.4" customHeight="1" thickBot="1" x14ac:dyDescent="0.35">
      <c r="A90" s="590" t="s">
        <v>364</v>
      </c>
      <c r="B90" s="568">
        <v>13.001786263811001</v>
      </c>
      <c r="C90" s="568">
        <v>12.96</v>
      </c>
      <c r="D90" s="569">
        <v>-4.1786263810000002E-2</v>
      </c>
      <c r="E90" s="570">
        <v>0.99678611361799996</v>
      </c>
      <c r="F90" s="568">
        <v>12.999979310038</v>
      </c>
      <c r="G90" s="569">
        <v>12.999979310038</v>
      </c>
      <c r="H90" s="571">
        <v>0</v>
      </c>
      <c r="I90" s="568">
        <v>12.96</v>
      </c>
      <c r="J90" s="569">
        <v>-3.9979310038000003E-2</v>
      </c>
      <c r="K90" s="572">
        <v>0.996924663564</v>
      </c>
    </row>
    <row r="91" spans="1:11" ht="14.4" customHeight="1" thickBot="1" x14ac:dyDescent="0.35">
      <c r="A91" s="590" t="s">
        <v>365</v>
      </c>
      <c r="B91" s="568">
        <v>19.999999370047998</v>
      </c>
      <c r="C91" s="568">
        <v>18.58907</v>
      </c>
      <c r="D91" s="569">
        <v>-1.4109293700479999</v>
      </c>
      <c r="E91" s="570">
        <v>0.92945352927500002</v>
      </c>
      <c r="F91" s="568">
        <v>22.893327610865999</v>
      </c>
      <c r="G91" s="569">
        <v>22.893327610865999</v>
      </c>
      <c r="H91" s="571">
        <v>0</v>
      </c>
      <c r="I91" s="568">
        <v>21.573820000000001</v>
      </c>
      <c r="J91" s="569">
        <v>-1.319507610866</v>
      </c>
      <c r="K91" s="572">
        <v>0.94236278651600003</v>
      </c>
    </row>
    <row r="92" spans="1:11" ht="14.4" customHeight="1" thickBot="1" x14ac:dyDescent="0.35">
      <c r="A92" s="589" t="s">
        <v>366</v>
      </c>
      <c r="B92" s="573">
        <v>492.15895404046103</v>
      </c>
      <c r="C92" s="573">
        <v>439.22807999999998</v>
      </c>
      <c r="D92" s="574">
        <v>-52.930874040460999</v>
      </c>
      <c r="E92" s="580">
        <v>0.892451669108</v>
      </c>
      <c r="F92" s="573">
        <v>448.06023074944898</v>
      </c>
      <c r="G92" s="574">
        <v>448.06023074944898</v>
      </c>
      <c r="H92" s="576">
        <v>43.232930000000003</v>
      </c>
      <c r="I92" s="573">
        <v>455.68596000000002</v>
      </c>
      <c r="J92" s="574">
        <v>7.6257292505510001</v>
      </c>
      <c r="K92" s="581">
        <v>1.0170194289229999</v>
      </c>
    </row>
    <row r="93" spans="1:11" ht="14.4" customHeight="1" thickBot="1" x14ac:dyDescent="0.35">
      <c r="A93" s="590" t="s">
        <v>367</v>
      </c>
      <c r="B93" s="568">
        <v>492.15895404046103</v>
      </c>
      <c r="C93" s="568">
        <v>439.22807999999998</v>
      </c>
      <c r="D93" s="569">
        <v>-52.930874040460999</v>
      </c>
      <c r="E93" s="570">
        <v>0.892451669108</v>
      </c>
      <c r="F93" s="568">
        <v>448.06023074944898</v>
      </c>
      <c r="G93" s="569">
        <v>448.06023074944898</v>
      </c>
      <c r="H93" s="571">
        <v>32.754330000000003</v>
      </c>
      <c r="I93" s="568">
        <v>405.51229999999998</v>
      </c>
      <c r="J93" s="569">
        <v>-42.547930749448</v>
      </c>
      <c r="K93" s="572">
        <v>0.90503970709799997</v>
      </c>
    </row>
    <row r="94" spans="1:11" ht="14.4" customHeight="1" thickBot="1" x14ac:dyDescent="0.35">
      <c r="A94" s="590" t="s">
        <v>368</v>
      </c>
      <c r="B94" s="568">
        <v>0</v>
      </c>
      <c r="C94" s="568">
        <v>0</v>
      </c>
      <c r="D94" s="569">
        <v>0</v>
      </c>
      <c r="E94" s="570">
        <v>1</v>
      </c>
      <c r="F94" s="568">
        <v>0</v>
      </c>
      <c r="G94" s="569">
        <v>0</v>
      </c>
      <c r="H94" s="571">
        <v>10.4786</v>
      </c>
      <c r="I94" s="568">
        <v>43.736660000000001</v>
      </c>
      <c r="J94" s="569">
        <v>43.736660000000001</v>
      </c>
      <c r="K94" s="579" t="s">
        <v>293</v>
      </c>
    </row>
    <row r="95" spans="1:11" ht="14.4" customHeight="1" thickBot="1" x14ac:dyDescent="0.35">
      <c r="A95" s="590" t="s">
        <v>369</v>
      </c>
      <c r="B95" s="568">
        <v>0</v>
      </c>
      <c r="C95" s="568">
        <v>0</v>
      </c>
      <c r="D95" s="569">
        <v>0</v>
      </c>
      <c r="E95" s="570">
        <v>1</v>
      </c>
      <c r="F95" s="568">
        <v>0</v>
      </c>
      <c r="G95" s="569">
        <v>0</v>
      </c>
      <c r="H95" s="571">
        <v>0</v>
      </c>
      <c r="I95" s="568">
        <v>6.4370000000000003</v>
      </c>
      <c r="J95" s="569">
        <v>6.4370000000000003</v>
      </c>
      <c r="K95" s="579" t="s">
        <v>293</v>
      </c>
    </row>
    <row r="96" spans="1:11" ht="14.4" customHeight="1" thickBot="1" x14ac:dyDescent="0.35">
      <c r="A96" s="589" t="s">
        <v>370</v>
      </c>
      <c r="B96" s="573">
        <v>291.00836713521102</v>
      </c>
      <c r="C96" s="573">
        <v>455.24022000000002</v>
      </c>
      <c r="D96" s="574">
        <v>164.231852864789</v>
      </c>
      <c r="E96" s="580">
        <v>1.5643544014949999</v>
      </c>
      <c r="F96" s="573">
        <v>473.73746391742799</v>
      </c>
      <c r="G96" s="574">
        <v>473.73746391742799</v>
      </c>
      <c r="H96" s="576">
        <v>70.941670000000002</v>
      </c>
      <c r="I96" s="573">
        <v>514.79544999999996</v>
      </c>
      <c r="J96" s="574">
        <v>41.057986082570999</v>
      </c>
      <c r="K96" s="581">
        <v>1.0866682270450001</v>
      </c>
    </row>
    <row r="97" spans="1:11" ht="14.4" customHeight="1" thickBot="1" x14ac:dyDescent="0.35">
      <c r="A97" s="590" t="s">
        <v>371</v>
      </c>
      <c r="B97" s="568">
        <v>0</v>
      </c>
      <c r="C97" s="568">
        <v>14.103999999999999</v>
      </c>
      <c r="D97" s="569">
        <v>14.103999999999999</v>
      </c>
      <c r="E97" s="578" t="s">
        <v>293</v>
      </c>
      <c r="F97" s="568">
        <v>0.99999840846400001</v>
      </c>
      <c r="G97" s="569">
        <v>0.99999840846400001</v>
      </c>
      <c r="H97" s="571">
        <v>0</v>
      </c>
      <c r="I97" s="568">
        <v>0.90500000000000003</v>
      </c>
      <c r="J97" s="569">
        <v>-9.4998408463999998E-2</v>
      </c>
      <c r="K97" s="572">
        <v>0.90500144034100005</v>
      </c>
    </row>
    <row r="98" spans="1:11" ht="14.4" customHeight="1" thickBot="1" x14ac:dyDescent="0.35">
      <c r="A98" s="590" t="s">
        <v>372</v>
      </c>
      <c r="B98" s="568">
        <v>223.92129432073099</v>
      </c>
      <c r="C98" s="568">
        <v>382.61306999999999</v>
      </c>
      <c r="D98" s="569">
        <v>158.69177567926801</v>
      </c>
      <c r="E98" s="570">
        <v>1.7086944373049999</v>
      </c>
      <c r="F98" s="568">
        <v>380.53282531032397</v>
      </c>
      <c r="G98" s="569">
        <v>380.53282531032397</v>
      </c>
      <c r="H98" s="571">
        <v>66.990099999999998</v>
      </c>
      <c r="I98" s="568">
        <v>458.89452999999997</v>
      </c>
      <c r="J98" s="569">
        <v>78.361704689674994</v>
      </c>
      <c r="K98" s="572">
        <v>1.20592626832</v>
      </c>
    </row>
    <row r="99" spans="1:11" ht="14.4" customHeight="1" thickBot="1" x14ac:dyDescent="0.35">
      <c r="A99" s="590" t="s">
        <v>373</v>
      </c>
      <c r="B99" s="568">
        <v>3.9999998740090001</v>
      </c>
      <c r="C99" s="568">
        <v>3.9849999999999999</v>
      </c>
      <c r="D99" s="569">
        <v>-1.4999874009E-2</v>
      </c>
      <c r="E99" s="570">
        <v>0.99625003137900003</v>
      </c>
      <c r="F99" s="568">
        <v>5.999990450786</v>
      </c>
      <c r="G99" s="569">
        <v>5.999990450786</v>
      </c>
      <c r="H99" s="571">
        <v>0</v>
      </c>
      <c r="I99" s="568">
        <v>4.2519999999999998</v>
      </c>
      <c r="J99" s="569">
        <v>-1.747990450786</v>
      </c>
      <c r="K99" s="572">
        <v>0.70866779453600004</v>
      </c>
    </row>
    <row r="100" spans="1:11" ht="14.4" customHeight="1" thickBot="1" x14ac:dyDescent="0.35">
      <c r="A100" s="590" t="s">
        <v>374</v>
      </c>
      <c r="B100" s="568">
        <v>1.4608597273840001</v>
      </c>
      <c r="C100" s="568">
        <v>0.82279999999999998</v>
      </c>
      <c r="D100" s="569">
        <v>-0.63805972738399996</v>
      </c>
      <c r="E100" s="570">
        <v>0.56322998339599994</v>
      </c>
      <c r="F100" s="568">
        <v>1.7826979080700001</v>
      </c>
      <c r="G100" s="569">
        <v>1.7826979080700001</v>
      </c>
      <c r="H100" s="571">
        <v>0</v>
      </c>
      <c r="I100" s="568">
        <v>0.77439999999999998</v>
      </c>
      <c r="J100" s="569">
        <v>-1.0082979080700001</v>
      </c>
      <c r="K100" s="572">
        <v>0.43439777232799998</v>
      </c>
    </row>
    <row r="101" spans="1:11" ht="14.4" customHeight="1" thickBot="1" x14ac:dyDescent="0.35">
      <c r="A101" s="590" t="s">
        <v>375</v>
      </c>
      <c r="B101" s="568">
        <v>61.626213213085002</v>
      </c>
      <c r="C101" s="568">
        <v>53.715350000000001</v>
      </c>
      <c r="D101" s="569">
        <v>-7.9108632130850003</v>
      </c>
      <c r="E101" s="570">
        <v>0.87163152170699998</v>
      </c>
      <c r="F101" s="568">
        <v>84.421951839781997</v>
      </c>
      <c r="G101" s="569">
        <v>84.421951839781997</v>
      </c>
      <c r="H101" s="571">
        <v>3.9515699999999998</v>
      </c>
      <c r="I101" s="568">
        <v>49.969520000000003</v>
      </c>
      <c r="J101" s="569">
        <v>-34.452431839782001</v>
      </c>
      <c r="K101" s="572">
        <v>0.59190197467600003</v>
      </c>
    </row>
    <row r="102" spans="1:11" ht="14.4" customHeight="1" thickBot="1" x14ac:dyDescent="0.35">
      <c r="A102" s="587" t="s">
        <v>35</v>
      </c>
      <c r="B102" s="568">
        <v>33265.998952201597</v>
      </c>
      <c r="C102" s="568">
        <v>36337.680039999999</v>
      </c>
      <c r="D102" s="569">
        <v>3071.6810877983798</v>
      </c>
      <c r="E102" s="570">
        <v>1.092336956187</v>
      </c>
      <c r="F102" s="568">
        <v>38949.383767820298</v>
      </c>
      <c r="G102" s="569">
        <v>38949.383767820298</v>
      </c>
      <c r="H102" s="571">
        <v>3895.7035300000198</v>
      </c>
      <c r="I102" s="568">
        <v>42785.85441</v>
      </c>
      <c r="J102" s="569">
        <v>3836.47064217969</v>
      </c>
      <c r="K102" s="572">
        <v>1.098498879084</v>
      </c>
    </row>
    <row r="103" spans="1:11" ht="14.4" customHeight="1" thickBot="1" x14ac:dyDescent="0.35">
      <c r="A103" s="593" t="s">
        <v>376</v>
      </c>
      <c r="B103" s="573">
        <v>24690.9992222933</v>
      </c>
      <c r="C103" s="573">
        <v>27010.187999999998</v>
      </c>
      <c r="D103" s="574">
        <v>2319.1887777066599</v>
      </c>
      <c r="E103" s="580">
        <v>1.093928510419</v>
      </c>
      <c r="F103" s="573">
        <v>28782.183045425601</v>
      </c>
      <c r="G103" s="574">
        <v>28782.183045425601</v>
      </c>
      <c r="H103" s="576">
        <v>2941.95100000001</v>
      </c>
      <c r="I103" s="573">
        <v>31677.327000000001</v>
      </c>
      <c r="J103" s="574">
        <v>2895.1439545743801</v>
      </c>
      <c r="K103" s="581">
        <v>1.1005880599810001</v>
      </c>
    </row>
    <row r="104" spans="1:11" ht="14.4" customHeight="1" thickBot="1" x14ac:dyDescent="0.35">
      <c r="A104" s="589" t="s">
        <v>377</v>
      </c>
      <c r="B104" s="573">
        <v>24499.9992283094</v>
      </c>
      <c r="C104" s="573">
        <v>26900.275000000001</v>
      </c>
      <c r="D104" s="574">
        <v>2400.2757716906199</v>
      </c>
      <c r="E104" s="580">
        <v>1.097970442746</v>
      </c>
      <c r="F104" s="573">
        <v>28640.0020342934</v>
      </c>
      <c r="G104" s="574">
        <v>28640.0020342934</v>
      </c>
      <c r="H104" s="576">
        <v>2928.3100000000099</v>
      </c>
      <c r="I104" s="573">
        <v>31543.356</v>
      </c>
      <c r="J104" s="574">
        <v>2903.3539657065799</v>
      </c>
      <c r="K104" s="581">
        <v>1.1013740837799999</v>
      </c>
    </row>
    <row r="105" spans="1:11" ht="14.4" customHeight="1" thickBot="1" x14ac:dyDescent="0.35">
      <c r="A105" s="590" t="s">
        <v>378</v>
      </c>
      <c r="B105" s="568">
        <v>24499.9992283094</v>
      </c>
      <c r="C105" s="568">
        <v>26900.275000000001</v>
      </c>
      <c r="D105" s="569">
        <v>2400.2757716906199</v>
      </c>
      <c r="E105" s="570">
        <v>1.097970442746</v>
      </c>
      <c r="F105" s="568">
        <v>28640.0020342934</v>
      </c>
      <c r="G105" s="569">
        <v>28640.0020342934</v>
      </c>
      <c r="H105" s="571">
        <v>2928.3100000000099</v>
      </c>
      <c r="I105" s="568">
        <v>31543.356</v>
      </c>
      <c r="J105" s="569">
        <v>2903.3539657065799</v>
      </c>
      <c r="K105" s="572">
        <v>1.1013740837799999</v>
      </c>
    </row>
    <row r="106" spans="1:11" ht="14.4" customHeight="1" thickBot="1" x14ac:dyDescent="0.35">
      <c r="A106" s="589" t="s">
        <v>379</v>
      </c>
      <c r="B106" s="573">
        <v>114.999996377779</v>
      </c>
      <c r="C106" s="573">
        <v>56.497999999999998</v>
      </c>
      <c r="D106" s="574">
        <v>-58.501996377777999</v>
      </c>
      <c r="E106" s="580">
        <v>0.49128697199600002</v>
      </c>
      <c r="F106" s="573">
        <v>60.000005416769</v>
      </c>
      <c r="G106" s="574">
        <v>60.000005416769</v>
      </c>
      <c r="H106" s="576">
        <v>0</v>
      </c>
      <c r="I106" s="573">
        <v>67.2</v>
      </c>
      <c r="J106" s="574">
        <v>7.1999945832299996</v>
      </c>
      <c r="K106" s="581">
        <v>1.119999898886</v>
      </c>
    </row>
    <row r="107" spans="1:11" ht="14.4" customHeight="1" thickBot="1" x14ac:dyDescent="0.35">
      <c r="A107" s="590" t="s">
        <v>380</v>
      </c>
      <c r="B107" s="568">
        <v>114.999996377779</v>
      </c>
      <c r="C107" s="568">
        <v>56.497999999999998</v>
      </c>
      <c r="D107" s="569">
        <v>-58.501996377777999</v>
      </c>
      <c r="E107" s="570">
        <v>0.49128697199600002</v>
      </c>
      <c r="F107" s="568">
        <v>60.000005416769</v>
      </c>
      <c r="G107" s="569">
        <v>60.000005416769</v>
      </c>
      <c r="H107" s="571">
        <v>0</v>
      </c>
      <c r="I107" s="568">
        <v>67.2</v>
      </c>
      <c r="J107" s="569">
        <v>7.1999945832299996</v>
      </c>
      <c r="K107" s="572">
        <v>1.119999898886</v>
      </c>
    </row>
    <row r="108" spans="1:11" ht="14.4" customHeight="1" thickBot="1" x14ac:dyDescent="0.35">
      <c r="A108" s="589" t="s">
        <v>381</v>
      </c>
      <c r="B108" s="573">
        <v>75.999997606183996</v>
      </c>
      <c r="C108" s="573">
        <v>53.414999999999999</v>
      </c>
      <c r="D108" s="574">
        <v>-22.584997606184</v>
      </c>
      <c r="E108" s="580">
        <v>0.70282896950499996</v>
      </c>
      <c r="F108" s="573">
        <v>82.181005715430999</v>
      </c>
      <c r="G108" s="574">
        <v>82.181005715430999</v>
      </c>
      <c r="H108" s="576">
        <v>13.641</v>
      </c>
      <c r="I108" s="573">
        <v>66.771000000000001</v>
      </c>
      <c r="J108" s="574">
        <v>-15.410005715431</v>
      </c>
      <c r="K108" s="581">
        <v>0.81248701471399998</v>
      </c>
    </row>
    <row r="109" spans="1:11" ht="14.4" customHeight="1" thickBot="1" x14ac:dyDescent="0.35">
      <c r="A109" s="590" t="s">
        <v>382</v>
      </c>
      <c r="B109" s="568">
        <v>75.999997606183996</v>
      </c>
      <c r="C109" s="568">
        <v>53.414999999999999</v>
      </c>
      <c r="D109" s="569">
        <v>-22.584997606184</v>
      </c>
      <c r="E109" s="570">
        <v>0.70282896950499996</v>
      </c>
      <c r="F109" s="568">
        <v>82.181005715430999</v>
      </c>
      <c r="G109" s="569">
        <v>82.181005715430999</v>
      </c>
      <c r="H109" s="571">
        <v>13.641</v>
      </c>
      <c r="I109" s="568">
        <v>66.771000000000001</v>
      </c>
      <c r="J109" s="569">
        <v>-15.410005715431</v>
      </c>
      <c r="K109" s="572">
        <v>0.81248701471399998</v>
      </c>
    </row>
    <row r="110" spans="1:11" ht="14.4" customHeight="1" thickBot="1" x14ac:dyDescent="0.35">
      <c r="A110" s="588" t="s">
        <v>383</v>
      </c>
      <c r="B110" s="568">
        <v>8329.9997376251904</v>
      </c>
      <c r="C110" s="568">
        <v>9057.9548200000008</v>
      </c>
      <c r="D110" s="569">
        <v>727.95508237481397</v>
      </c>
      <c r="E110" s="570">
        <v>1.0873895684629999</v>
      </c>
      <c r="F110" s="568">
        <v>9737.6006917700306</v>
      </c>
      <c r="G110" s="569">
        <v>9737.6006917700306</v>
      </c>
      <c r="H110" s="571">
        <v>909.62385000000404</v>
      </c>
      <c r="I110" s="568">
        <v>10634.37478</v>
      </c>
      <c r="J110" s="569">
        <v>896.77408822997302</v>
      </c>
      <c r="K110" s="572">
        <v>1.0920939476380001</v>
      </c>
    </row>
    <row r="111" spans="1:11" ht="14.4" customHeight="1" thickBot="1" x14ac:dyDescent="0.35">
      <c r="A111" s="589" t="s">
        <v>384</v>
      </c>
      <c r="B111" s="573">
        <v>2204.99993054784</v>
      </c>
      <c r="C111" s="573">
        <v>2421.0213199999998</v>
      </c>
      <c r="D111" s="574">
        <v>216.021389452156</v>
      </c>
      <c r="E111" s="580">
        <v>1.0979688871910001</v>
      </c>
      <c r="F111" s="573">
        <v>2577.6001831966701</v>
      </c>
      <c r="G111" s="574">
        <v>2577.6001831966701</v>
      </c>
      <c r="H111" s="576">
        <v>263.550600000001</v>
      </c>
      <c r="I111" s="573">
        <v>2838.89878</v>
      </c>
      <c r="J111" s="574">
        <v>261.29859680332999</v>
      </c>
      <c r="K111" s="581">
        <v>1.1013728189909999</v>
      </c>
    </row>
    <row r="112" spans="1:11" ht="14.4" customHeight="1" thickBot="1" x14ac:dyDescent="0.35">
      <c r="A112" s="590" t="s">
        <v>385</v>
      </c>
      <c r="B112" s="568">
        <v>2204.99993054784</v>
      </c>
      <c r="C112" s="568">
        <v>2421.0213199999998</v>
      </c>
      <c r="D112" s="569">
        <v>216.021389452156</v>
      </c>
      <c r="E112" s="570">
        <v>1.0979688871910001</v>
      </c>
      <c r="F112" s="568">
        <v>2577.6001831966701</v>
      </c>
      <c r="G112" s="569">
        <v>2577.6001831966701</v>
      </c>
      <c r="H112" s="571">
        <v>263.550600000001</v>
      </c>
      <c r="I112" s="568">
        <v>2838.89878</v>
      </c>
      <c r="J112" s="569">
        <v>261.29859680332999</v>
      </c>
      <c r="K112" s="572">
        <v>1.1013728189909999</v>
      </c>
    </row>
    <row r="113" spans="1:11" ht="14.4" customHeight="1" thickBot="1" x14ac:dyDescent="0.35">
      <c r="A113" s="589" t="s">
        <v>386</v>
      </c>
      <c r="B113" s="573">
        <v>6124.9998070773399</v>
      </c>
      <c r="C113" s="573">
        <v>6636.9335000000001</v>
      </c>
      <c r="D113" s="574">
        <v>511.93369292265697</v>
      </c>
      <c r="E113" s="580">
        <v>1.0835810137220001</v>
      </c>
      <c r="F113" s="573">
        <v>7160.0005085733601</v>
      </c>
      <c r="G113" s="574">
        <v>7160.0005085733601</v>
      </c>
      <c r="H113" s="576">
        <v>646.07325000000299</v>
      </c>
      <c r="I113" s="573">
        <v>7795.4759999999997</v>
      </c>
      <c r="J113" s="574">
        <v>635.475491426644</v>
      </c>
      <c r="K113" s="581">
        <v>1.08875355395</v>
      </c>
    </row>
    <row r="114" spans="1:11" ht="14.4" customHeight="1" thickBot="1" x14ac:dyDescent="0.35">
      <c r="A114" s="590" t="s">
        <v>387</v>
      </c>
      <c r="B114" s="568">
        <v>6124.9998070773399</v>
      </c>
      <c r="C114" s="568">
        <v>6636.9335000000001</v>
      </c>
      <c r="D114" s="569">
        <v>511.93369292265697</v>
      </c>
      <c r="E114" s="570">
        <v>1.0835810137220001</v>
      </c>
      <c r="F114" s="568">
        <v>7160.0005085733601</v>
      </c>
      <c r="G114" s="569">
        <v>7160.0005085733601</v>
      </c>
      <c r="H114" s="571">
        <v>646.07325000000299</v>
      </c>
      <c r="I114" s="568">
        <v>7795.4759999999997</v>
      </c>
      <c r="J114" s="569">
        <v>635.475491426644</v>
      </c>
      <c r="K114" s="572">
        <v>1.08875355395</v>
      </c>
    </row>
    <row r="115" spans="1:11" ht="14.4" customHeight="1" thickBot="1" x14ac:dyDescent="0.35">
      <c r="A115" s="588" t="s">
        <v>388</v>
      </c>
      <c r="B115" s="568">
        <v>244.999992283094</v>
      </c>
      <c r="C115" s="568">
        <v>269.53721999999999</v>
      </c>
      <c r="D115" s="569">
        <v>24.537227716905999</v>
      </c>
      <c r="E115" s="570">
        <v>1.100151953019</v>
      </c>
      <c r="F115" s="568">
        <v>429.60003062466399</v>
      </c>
      <c r="G115" s="569">
        <v>429.60003062466399</v>
      </c>
      <c r="H115" s="571">
        <v>44.128680000000003</v>
      </c>
      <c r="I115" s="568">
        <v>474.15262999999999</v>
      </c>
      <c r="J115" s="569">
        <v>44.552599375336001</v>
      </c>
      <c r="K115" s="572">
        <v>1.1037071606119999</v>
      </c>
    </row>
    <row r="116" spans="1:11" ht="14.4" customHeight="1" thickBot="1" x14ac:dyDescent="0.35">
      <c r="A116" s="589" t="s">
        <v>389</v>
      </c>
      <c r="B116" s="573">
        <v>244.999992283094</v>
      </c>
      <c r="C116" s="573">
        <v>269.53721999999999</v>
      </c>
      <c r="D116" s="574">
        <v>24.537227716905999</v>
      </c>
      <c r="E116" s="580">
        <v>1.100151953019</v>
      </c>
      <c r="F116" s="573">
        <v>429.60003062466399</v>
      </c>
      <c r="G116" s="574">
        <v>429.60003062466399</v>
      </c>
      <c r="H116" s="576">
        <v>44.128680000000003</v>
      </c>
      <c r="I116" s="573">
        <v>474.15262999999999</v>
      </c>
      <c r="J116" s="574">
        <v>44.552599375336001</v>
      </c>
      <c r="K116" s="581">
        <v>1.1037071606119999</v>
      </c>
    </row>
    <row r="117" spans="1:11" ht="14.4" customHeight="1" thickBot="1" x14ac:dyDescent="0.35">
      <c r="A117" s="590" t="s">
        <v>390</v>
      </c>
      <c r="B117" s="568">
        <v>244.999992283094</v>
      </c>
      <c r="C117" s="568">
        <v>269.53721999999999</v>
      </c>
      <c r="D117" s="569">
        <v>24.537227716905999</v>
      </c>
      <c r="E117" s="570">
        <v>1.100151953019</v>
      </c>
      <c r="F117" s="568">
        <v>429.60003062466399</v>
      </c>
      <c r="G117" s="569">
        <v>429.60003062466399</v>
      </c>
      <c r="H117" s="571">
        <v>44.128680000000003</v>
      </c>
      <c r="I117" s="568">
        <v>474.15262999999999</v>
      </c>
      <c r="J117" s="569">
        <v>44.552599375336001</v>
      </c>
      <c r="K117" s="572">
        <v>1.1037071606119999</v>
      </c>
    </row>
    <row r="118" spans="1:11" ht="14.4" customHeight="1" thickBot="1" x14ac:dyDescent="0.35">
      <c r="A118" s="587" t="s">
        <v>391</v>
      </c>
      <c r="B118" s="568">
        <v>0</v>
      </c>
      <c r="C118" s="568">
        <v>128.24770000000001</v>
      </c>
      <c r="D118" s="569">
        <v>128.24770000000001</v>
      </c>
      <c r="E118" s="578" t="s">
        <v>281</v>
      </c>
      <c r="F118" s="568">
        <v>0</v>
      </c>
      <c r="G118" s="569">
        <v>0</v>
      </c>
      <c r="H118" s="571">
        <v>14.58783</v>
      </c>
      <c r="I118" s="568">
        <v>327.65883000000002</v>
      </c>
      <c r="J118" s="569">
        <v>327.65883000000002</v>
      </c>
      <c r="K118" s="579" t="s">
        <v>281</v>
      </c>
    </row>
    <row r="119" spans="1:11" ht="14.4" customHeight="1" thickBot="1" x14ac:dyDescent="0.35">
      <c r="A119" s="588" t="s">
        <v>392</v>
      </c>
      <c r="B119" s="568">
        <v>0</v>
      </c>
      <c r="C119" s="568">
        <v>128.24770000000001</v>
      </c>
      <c r="D119" s="569">
        <v>128.24770000000001</v>
      </c>
      <c r="E119" s="578" t="s">
        <v>281</v>
      </c>
      <c r="F119" s="568">
        <v>0</v>
      </c>
      <c r="G119" s="569">
        <v>0</v>
      </c>
      <c r="H119" s="571">
        <v>14.58783</v>
      </c>
      <c r="I119" s="568">
        <v>327.65883000000002</v>
      </c>
      <c r="J119" s="569">
        <v>327.65883000000002</v>
      </c>
      <c r="K119" s="579" t="s">
        <v>281</v>
      </c>
    </row>
    <row r="120" spans="1:11" ht="14.4" customHeight="1" thickBot="1" x14ac:dyDescent="0.35">
      <c r="A120" s="589" t="s">
        <v>393</v>
      </c>
      <c r="B120" s="573">
        <v>0</v>
      </c>
      <c r="C120" s="573">
        <v>122.9477</v>
      </c>
      <c r="D120" s="574">
        <v>122.9477</v>
      </c>
      <c r="E120" s="575" t="s">
        <v>281</v>
      </c>
      <c r="F120" s="573">
        <v>0</v>
      </c>
      <c r="G120" s="574">
        <v>0</v>
      </c>
      <c r="H120" s="576">
        <v>7.5878300000000003</v>
      </c>
      <c r="I120" s="573">
        <v>298.55883</v>
      </c>
      <c r="J120" s="574">
        <v>298.55883</v>
      </c>
      <c r="K120" s="577" t="s">
        <v>281</v>
      </c>
    </row>
    <row r="121" spans="1:11" ht="14.4" customHeight="1" thickBot="1" x14ac:dyDescent="0.35">
      <c r="A121" s="590" t="s">
        <v>394</v>
      </c>
      <c r="B121" s="568">
        <v>0</v>
      </c>
      <c r="C121" s="568">
        <v>0.30299999999999999</v>
      </c>
      <c r="D121" s="569">
        <v>0.30299999999999999</v>
      </c>
      <c r="E121" s="578" t="s">
        <v>281</v>
      </c>
      <c r="F121" s="568">
        <v>0</v>
      </c>
      <c r="G121" s="569">
        <v>0</v>
      </c>
      <c r="H121" s="571">
        <v>9.5829999999999999E-2</v>
      </c>
      <c r="I121" s="568">
        <v>1.88083</v>
      </c>
      <c r="J121" s="569">
        <v>1.88083</v>
      </c>
      <c r="K121" s="579" t="s">
        <v>281</v>
      </c>
    </row>
    <row r="122" spans="1:11" ht="14.4" customHeight="1" thickBot="1" x14ac:dyDescent="0.35">
      <c r="A122" s="590" t="s">
        <v>395</v>
      </c>
      <c r="B122" s="568">
        <v>0</v>
      </c>
      <c r="C122" s="568">
        <v>13.9</v>
      </c>
      <c r="D122" s="569">
        <v>13.9</v>
      </c>
      <c r="E122" s="578" t="s">
        <v>281</v>
      </c>
      <c r="F122" s="568">
        <v>0</v>
      </c>
      <c r="G122" s="569">
        <v>0</v>
      </c>
      <c r="H122" s="571">
        <v>0</v>
      </c>
      <c r="I122" s="568">
        <v>5</v>
      </c>
      <c r="J122" s="569">
        <v>5</v>
      </c>
      <c r="K122" s="579" t="s">
        <v>281</v>
      </c>
    </row>
    <row r="123" spans="1:11" ht="14.4" customHeight="1" thickBot="1" x14ac:dyDescent="0.35">
      <c r="A123" s="590" t="s">
        <v>396</v>
      </c>
      <c r="B123" s="568">
        <v>0</v>
      </c>
      <c r="C123" s="568">
        <v>66.081999999999994</v>
      </c>
      <c r="D123" s="569">
        <v>66.081999999999994</v>
      </c>
      <c r="E123" s="578" t="s">
        <v>281</v>
      </c>
      <c r="F123" s="568">
        <v>0</v>
      </c>
      <c r="G123" s="569">
        <v>0</v>
      </c>
      <c r="H123" s="571">
        <v>7.492</v>
      </c>
      <c r="I123" s="568">
        <v>194.39699999999999</v>
      </c>
      <c r="J123" s="569">
        <v>194.39699999999999</v>
      </c>
      <c r="K123" s="579" t="s">
        <v>281</v>
      </c>
    </row>
    <row r="124" spans="1:11" ht="14.4" customHeight="1" thickBot="1" x14ac:dyDescent="0.35">
      <c r="A124" s="590" t="s">
        <v>397</v>
      </c>
      <c r="B124" s="568">
        <v>0</v>
      </c>
      <c r="C124" s="568">
        <v>0.1</v>
      </c>
      <c r="D124" s="569">
        <v>0.1</v>
      </c>
      <c r="E124" s="578" t="s">
        <v>293</v>
      </c>
      <c r="F124" s="568">
        <v>0</v>
      </c>
      <c r="G124" s="569">
        <v>0</v>
      </c>
      <c r="H124" s="571">
        <v>0</v>
      </c>
      <c r="I124" s="568">
        <v>0</v>
      </c>
      <c r="J124" s="569">
        <v>0</v>
      </c>
      <c r="K124" s="579" t="s">
        <v>281</v>
      </c>
    </row>
    <row r="125" spans="1:11" ht="14.4" customHeight="1" thickBot="1" x14ac:dyDescent="0.35">
      <c r="A125" s="590" t="s">
        <v>398</v>
      </c>
      <c r="B125" s="568">
        <v>0</v>
      </c>
      <c r="C125" s="568">
        <v>42.5627</v>
      </c>
      <c r="D125" s="569">
        <v>42.5627</v>
      </c>
      <c r="E125" s="578" t="s">
        <v>293</v>
      </c>
      <c r="F125" s="568">
        <v>0</v>
      </c>
      <c r="G125" s="569">
        <v>0</v>
      </c>
      <c r="H125" s="571">
        <v>0</v>
      </c>
      <c r="I125" s="568">
        <v>97.281000000000006</v>
      </c>
      <c r="J125" s="569">
        <v>97.281000000000006</v>
      </c>
      <c r="K125" s="579" t="s">
        <v>281</v>
      </c>
    </row>
    <row r="126" spans="1:11" ht="14.4" customHeight="1" thickBot="1" x14ac:dyDescent="0.35">
      <c r="A126" s="592" t="s">
        <v>399</v>
      </c>
      <c r="B126" s="568">
        <v>0</v>
      </c>
      <c r="C126" s="568">
        <v>5.3</v>
      </c>
      <c r="D126" s="569">
        <v>5.3</v>
      </c>
      <c r="E126" s="578" t="s">
        <v>281</v>
      </c>
      <c r="F126" s="568">
        <v>0</v>
      </c>
      <c r="G126" s="569">
        <v>0</v>
      </c>
      <c r="H126" s="571">
        <v>7</v>
      </c>
      <c r="I126" s="568">
        <v>27.6</v>
      </c>
      <c r="J126" s="569">
        <v>27.6</v>
      </c>
      <c r="K126" s="579" t="s">
        <v>281</v>
      </c>
    </row>
    <row r="127" spans="1:11" ht="14.4" customHeight="1" thickBot="1" x14ac:dyDescent="0.35">
      <c r="A127" s="590" t="s">
        <v>400</v>
      </c>
      <c r="B127" s="568">
        <v>0</v>
      </c>
      <c r="C127" s="568">
        <v>5.3</v>
      </c>
      <c r="D127" s="569">
        <v>5.3</v>
      </c>
      <c r="E127" s="578" t="s">
        <v>281</v>
      </c>
      <c r="F127" s="568">
        <v>0</v>
      </c>
      <c r="G127" s="569">
        <v>0</v>
      </c>
      <c r="H127" s="571">
        <v>7</v>
      </c>
      <c r="I127" s="568">
        <v>27.6</v>
      </c>
      <c r="J127" s="569">
        <v>27.6</v>
      </c>
      <c r="K127" s="579" t="s">
        <v>281</v>
      </c>
    </row>
    <row r="128" spans="1:11" ht="14.4" customHeight="1" thickBot="1" x14ac:dyDescent="0.35">
      <c r="A128" s="592" t="s">
        <v>401</v>
      </c>
      <c r="B128" s="568">
        <v>0</v>
      </c>
      <c r="C128" s="568">
        <v>0</v>
      </c>
      <c r="D128" s="569">
        <v>0</v>
      </c>
      <c r="E128" s="570">
        <v>1</v>
      </c>
      <c r="F128" s="568">
        <v>0</v>
      </c>
      <c r="G128" s="569">
        <v>0</v>
      </c>
      <c r="H128" s="571">
        <v>0</v>
      </c>
      <c r="I128" s="568">
        <v>1.5</v>
      </c>
      <c r="J128" s="569">
        <v>1.5</v>
      </c>
      <c r="K128" s="579" t="s">
        <v>293</v>
      </c>
    </row>
    <row r="129" spans="1:11" ht="14.4" customHeight="1" thickBot="1" x14ac:dyDescent="0.35">
      <c r="A129" s="590" t="s">
        <v>402</v>
      </c>
      <c r="B129" s="568">
        <v>0</v>
      </c>
      <c r="C129" s="568">
        <v>0</v>
      </c>
      <c r="D129" s="569">
        <v>0</v>
      </c>
      <c r="E129" s="570">
        <v>1</v>
      </c>
      <c r="F129" s="568">
        <v>0</v>
      </c>
      <c r="G129" s="569">
        <v>0</v>
      </c>
      <c r="H129" s="571">
        <v>0</v>
      </c>
      <c r="I129" s="568">
        <v>1.5</v>
      </c>
      <c r="J129" s="569">
        <v>1.5</v>
      </c>
      <c r="K129" s="579" t="s">
        <v>293</v>
      </c>
    </row>
    <row r="130" spans="1:11" ht="14.4" customHeight="1" thickBot="1" x14ac:dyDescent="0.35">
      <c r="A130" s="587" t="s">
        <v>403</v>
      </c>
      <c r="B130" s="568">
        <v>1804.9926433867099</v>
      </c>
      <c r="C130" s="568">
        <v>1766.4012</v>
      </c>
      <c r="D130" s="569">
        <v>-38.591443386705997</v>
      </c>
      <c r="E130" s="570">
        <v>0.97861961181400003</v>
      </c>
      <c r="F130" s="568">
        <v>1830.00422594517</v>
      </c>
      <c r="G130" s="569">
        <v>1830.00422594517</v>
      </c>
      <c r="H130" s="571">
        <v>151.11300000000099</v>
      </c>
      <c r="I130" s="568">
        <v>1932.9524899999999</v>
      </c>
      <c r="J130" s="569">
        <v>102.948264054834</v>
      </c>
      <c r="K130" s="572">
        <v>1.056255752088</v>
      </c>
    </row>
    <row r="131" spans="1:11" ht="14.4" customHeight="1" thickBot="1" x14ac:dyDescent="0.35">
      <c r="A131" s="588" t="s">
        <v>404</v>
      </c>
      <c r="B131" s="568">
        <v>1654.9926433867099</v>
      </c>
      <c r="C131" s="568">
        <v>1609.9380000000001</v>
      </c>
      <c r="D131" s="569">
        <v>-45.054643386705997</v>
      </c>
      <c r="E131" s="570">
        <v>0.97277652951100002</v>
      </c>
      <c r="F131" s="568">
        <v>1830.00422594517</v>
      </c>
      <c r="G131" s="569">
        <v>1830.00422594517</v>
      </c>
      <c r="H131" s="571">
        <v>151.11300000000099</v>
      </c>
      <c r="I131" s="568">
        <v>1836.3420000000001</v>
      </c>
      <c r="J131" s="569">
        <v>6.3377740548329999</v>
      </c>
      <c r="K131" s="572">
        <v>1.0034632565129999</v>
      </c>
    </row>
    <row r="132" spans="1:11" ht="14.4" customHeight="1" thickBot="1" x14ac:dyDescent="0.35">
      <c r="A132" s="589" t="s">
        <v>405</v>
      </c>
      <c r="B132" s="573">
        <v>1654.9926433867099</v>
      </c>
      <c r="C132" s="573">
        <v>1573.877</v>
      </c>
      <c r="D132" s="574">
        <v>-81.115643386705997</v>
      </c>
      <c r="E132" s="580">
        <v>0.95098730878899995</v>
      </c>
      <c r="F132" s="573">
        <v>1830.00422594517</v>
      </c>
      <c r="G132" s="574">
        <v>1830.00422594517</v>
      </c>
      <c r="H132" s="576">
        <v>151.11300000000099</v>
      </c>
      <c r="I132" s="573">
        <v>1836.3420000000001</v>
      </c>
      <c r="J132" s="574">
        <v>6.3377740548329999</v>
      </c>
      <c r="K132" s="581">
        <v>1.0034632565129999</v>
      </c>
    </row>
    <row r="133" spans="1:11" ht="14.4" customHeight="1" thickBot="1" x14ac:dyDescent="0.35">
      <c r="A133" s="590" t="s">
        <v>406</v>
      </c>
      <c r="B133" s="568">
        <v>72.999997700674996</v>
      </c>
      <c r="C133" s="568">
        <v>72.837999999999994</v>
      </c>
      <c r="D133" s="569">
        <v>-0.16199770067499999</v>
      </c>
      <c r="E133" s="570">
        <v>0.997780853345</v>
      </c>
      <c r="F133" s="568">
        <v>73.000168575954007</v>
      </c>
      <c r="G133" s="569">
        <v>73.000168575954007</v>
      </c>
      <c r="H133" s="571">
        <v>6.4610000000000003</v>
      </c>
      <c r="I133" s="568">
        <v>74.475999999999999</v>
      </c>
      <c r="J133" s="569">
        <v>1.4758314240449999</v>
      </c>
      <c r="K133" s="572">
        <v>1.020216822136</v>
      </c>
    </row>
    <row r="134" spans="1:11" ht="14.4" customHeight="1" thickBot="1" x14ac:dyDescent="0.35">
      <c r="A134" s="590" t="s">
        <v>407</v>
      </c>
      <c r="B134" s="568">
        <v>832.99997376250303</v>
      </c>
      <c r="C134" s="568">
        <v>752.60500000000002</v>
      </c>
      <c r="D134" s="569">
        <v>-80.394973762502005</v>
      </c>
      <c r="E134" s="570">
        <v>0.90348742341499999</v>
      </c>
      <c r="F134" s="568">
        <v>1061.00245012449</v>
      </c>
      <c r="G134" s="569">
        <v>1061.00245012449</v>
      </c>
      <c r="H134" s="571">
        <v>86.947000000000003</v>
      </c>
      <c r="I134" s="568">
        <v>1067.693</v>
      </c>
      <c r="J134" s="569">
        <v>6.6905498755070001</v>
      </c>
      <c r="K134" s="572">
        <v>1.006305875989</v>
      </c>
    </row>
    <row r="135" spans="1:11" ht="14.4" customHeight="1" thickBot="1" x14ac:dyDescent="0.35">
      <c r="A135" s="590" t="s">
        <v>408</v>
      </c>
      <c r="B135" s="568">
        <v>592.992676837153</v>
      </c>
      <c r="C135" s="568">
        <v>592.69399999999996</v>
      </c>
      <c r="D135" s="569">
        <v>-0.29867683715299997</v>
      </c>
      <c r="E135" s="570">
        <v>0.99949632289000001</v>
      </c>
      <c r="F135" s="568">
        <v>593.00136939097501</v>
      </c>
      <c r="G135" s="569">
        <v>593.00136939097501</v>
      </c>
      <c r="H135" s="571">
        <v>50.345999999999997</v>
      </c>
      <c r="I135" s="568">
        <v>596.52800000000002</v>
      </c>
      <c r="J135" s="569">
        <v>3.5266306090250001</v>
      </c>
      <c r="K135" s="572">
        <v>1.005947086787</v>
      </c>
    </row>
    <row r="136" spans="1:11" ht="14.4" customHeight="1" thickBot="1" x14ac:dyDescent="0.35">
      <c r="A136" s="590" t="s">
        <v>409</v>
      </c>
      <c r="B136" s="568">
        <v>155.99999508637501</v>
      </c>
      <c r="C136" s="568">
        <v>155.74</v>
      </c>
      <c r="D136" s="569">
        <v>-0.25999508637500002</v>
      </c>
      <c r="E136" s="570">
        <v>0.99833336477800005</v>
      </c>
      <c r="F136" s="568">
        <v>103.000237853744</v>
      </c>
      <c r="G136" s="569">
        <v>103.000237853744</v>
      </c>
      <c r="H136" s="571">
        <v>7.359</v>
      </c>
      <c r="I136" s="568">
        <v>97.644999999999996</v>
      </c>
      <c r="J136" s="569">
        <v>-5.3552378537439997</v>
      </c>
      <c r="K136" s="572">
        <v>0.94800751954200002</v>
      </c>
    </row>
    <row r="137" spans="1:11" ht="14.4" customHeight="1" thickBot="1" x14ac:dyDescent="0.35">
      <c r="A137" s="589" t="s">
        <v>410</v>
      </c>
      <c r="B137" s="573">
        <v>0</v>
      </c>
      <c r="C137" s="573">
        <v>36.061</v>
      </c>
      <c r="D137" s="574">
        <v>36.061</v>
      </c>
      <c r="E137" s="575" t="s">
        <v>281</v>
      </c>
      <c r="F137" s="573">
        <v>0</v>
      </c>
      <c r="G137" s="574">
        <v>0</v>
      </c>
      <c r="H137" s="576">
        <v>0</v>
      </c>
      <c r="I137" s="573">
        <v>0</v>
      </c>
      <c r="J137" s="574">
        <v>0</v>
      </c>
      <c r="K137" s="577" t="s">
        <v>281</v>
      </c>
    </row>
    <row r="138" spans="1:11" ht="14.4" customHeight="1" thickBot="1" x14ac:dyDescent="0.35">
      <c r="A138" s="590" t="s">
        <v>411</v>
      </c>
      <c r="B138" s="568">
        <v>0</v>
      </c>
      <c r="C138" s="568">
        <v>36.061</v>
      </c>
      <c r="D138" s="569">
        <v>36.061</v>
      </c>
      <c r="E138" s="578" t="s">
        <v>293</v>
      </c>
      <c r="F138" s="568">
        <v>0</v>
      </c>
      <c r="G138" s="569">
        <v>0</v>
      </c>
      <c r="H138" s="571">
        <v>0</v>
      </c>
      <c r="I138" s="568">
        <v>0</v>
      </c>
      <c r="J138" s="569">
        <v>0</v>
      </c>
      <c r="K138" s="579" t="s">
        <v>281</v>
      </c>
    </row>
    <row r="139" spans="1:11" ht="14.4" customHeight="1" thickBot="1" x14ac:dyDescent="0.35">
      <c r="A139" s="588" t="s">
        <v>412</v>
      </c>
      <c r="B139" s="568">
        <v>150</v>
      </c>
      <c r="C139" s="568">
        <v>156.4632</v>
      </c>
      <c r="D139" s="569">
        <v>6.4631999999999996</v>
      </c>
      <c r="E139" s="570">
        <v>1.043088</v>
      </c>
      <c r="F139" s="568">
        <v>0</v>
      </c>
      <c r="G139" s="569">
        <v>0</v>
      </c>
      <c r="H139" s="571">
        <v>0</v>
      </c>
      <c r="I139" s="568">
        <v>96.610489999999999</v>
      </c>
      <c r="J139" s="569">
        <v>96.610489999999999</v>
      </c>
      <c r="K139" s="579" t="s">
        <v>281</v>
      </c>
    </row>
    <row r="140" spans="1:11" ht="14.4" customHeight="1" thickBot="1" x14ac:dyDescent="0.35">
      <c r="A140" s="589" t="s">
        <v>413</v>
      </c>
      <c r="B140" s="573">
        <v>150</v>
      </c>
      <c r="C140" s="573">
        <v>122.91679999999999</v>
      </c>
      <c r="D140" s="574">
        <v>-27.083200000000001</v>
      </c>
      <c r="E140" s="580">
        <v>0.81944533333299996</v>
      </c>
      <c r="F140" s="573">
        <v>0</v>
      </c>
      <c r="G140" s="574">
        <v>0</v>
      </c>
      <c r="H140" s="576">
        <v>0</v>
      </c>
      <c r="I140" s="573">
        <v>92.042490000000001</v>
      </c>
      <c r="J140" s="574">
        <v>92.042490000000001</v>
      </c>
      <c r="K140" s="577" t="s">
        <v>281</v>
      </c>
    </row>
    <row r="141" spans="1:11" ht="14.4" customHeight="1" thickBot="1" x14ac:dyDescent="0.35">
      <c r="A141" s="590" t="s">
        <v>414</v>
      </c>
      <c r="B141" s="568">
        <v>150</v>
      </c>
      <c r="C141" s="568">
        <v>122.91679999999999</v>
      </c>
      <c r="D141" s="569">
        <v>-27.083200000000001</v>
      </c>
      <c r="E141" s="570">
        <v>0.81944533333299996</v>
      </c>
      <c r="F141" s="568">
        <v>0</v>
      </c>
      <c r="G141" s="569">
        <v>0</v>
      </c>
      <c r="H141" s="571">
        <v>0</v>
      </c>
      <c r="I141" s="568">
        <v>92.042490000000001</v>
      </c>
      <c r="J141" s="569">
        <v>92.042490000000001</v>
      </c>
      <c r="K141" s="579" t="s">
        <v>281</v>
      </c>
    </row>
    <row r="142" spans="1:11" ht="14.4" customHeight="1" thickBot="1" x14ac:dyDescent="0.35">
      <c r="A142" s="589" t="s">
        <v>415</v>
      </c>
      <c r="B142" s="573">
        <v>0</v>
      </c>
      <c r="C142" s="573">
        <v>3.49</v>
      </c>
      <c r="D142" s="574">
        <v>3.49</v>
      </c>
      <c r="E142" s="575" t="s">
        <v>293</v>
      </c>
      <c r="F142" s="573">
        <v>0</v>
      </c>
      <c r="G142" s="574">
        <v>0</v>
      </c>
      <c r="H142" s="576">
        <v>0</v>
      </c>
      <c r="I142" s="573">
        <v>4.5679999999999996</v>
      </c>
      <c r="J142" s="574">
        <v>4.5679999999999996</v>
      </c>
      <c r="K142" s="577" t="s">
        <v>281</v>
      </c>
    </row>
    <row r="143" spans="1:11" ht="14.4" customHeight="1" thickBot="1" x14ac:dyDescent="0.35">
      <c r="A143" s="590" t="s">
        <v>416</v>
      </c>
      <c r="B143" s="568">
        <v>0</v>
      </c>
      <c r="C143" s="568">
        <v>0</v>
      </c>
      <c r="D143" s="569">
        <v>0</v>
      </c>
      <c r="E143" s="570">
        <v>1</v>
      </c>
      <c r="F143" s="568">
        <v>0</v>
      </c>
      <c r="G143" s="569">
        <v>0</v>
      </c>
      <c r="H143" s="571">
        <v>0</v>
      </c>
      <c r="I143" s="568">
        <v>4.5679999999999996</v>
      </c>
      <c r="J143" s="569">
        <v>4.5679999999999996</v>
      </c>
      <c r="K143" s="579" t="s">
        <v>293</v>
      </c>
    </row>
    <row r="144" spans="1:11" ht="14.4" customHeight="1" thickBot="1" x14ac:dyDescent="0.35">
      <c r="A144" s="590" t="s">
        <v>417</v>
      </c>
      <c r="B144" s="568">
        <v>0</v>
      </c>
      <c r="C144" s="568">
        <v>3.49</v>
      </c>
      <c r="D144" s="569">
        <v>3.49</v>
      </c>
      <c r="E144" s="578" t="s">
        <v>293</v>
      </c>
      <c r="F144" s="568">
        <v>0</v>
      </c>
      <c r="G144" s="569">
        <v>0</v>
      </c>
      <c r="H144" s="571">
        <v>0</v>
      </c>
      <c r="I144" s="568">
        <v>0</v>
      </c>
      <c r="J144" s="569">
        <v>0</v>
      </c>
      <c r="K144" s="579" t="s">
        <v>281</v>
      </c>
    </row>
    <row r="145" spans="1:11" ht="14.4" customHeight="1" thickBot="1" x14ac:dyDescent="0.35">
      <c r="A145" s="589" t="s">
        <v>418</v>
      </c>
      <c r="B145" s="573">
        <v>0</v>
      </c>
      <c r="C145" s="573">
        <v>30.0564</v>
      </c>
      <c r="D145" s="574">
        <v>30.0564</v>
      </c>
      <c r="E145" s="575" t="s">
        <v>293</v>
      </c>
      <c r="F145" s="573">
        <v>0</v>
      </c>
      <c r="G145" s="574">
        <v>0</v>
      </c>
      <c r="H145" s="576">
        <v>0</v>
      </c>
      <c r="I145" s="573">
        <v>0</v>
      </c>
      <c r="J145" s="574">
        <v>0</v>
      </c>
      <c r="K145" s="577" t="s">
        <v>281</v>
      </c>
    </row>
    <row r="146" spans="1:11" ht="14.4" customHeight="1" thickBot="1" x14ac:dyDescent="0.35">
      <c r="A146" s="590" t="s">
        <v>419</v>
      </c>
      <c r="B146" s="568">
        <v>0</v>
      </c>
      <c r="C146" s="568">
        <v>30.0564</v>
      </c>
      <c r="D146" s="569">
        <v>30.0564</v>
      </c>
      <c r="E146" s="578" t="s">
        <v>293</v>
      </c>
      <c r="F146" s="568">
        <v>0</v>
      </c>
      <c r="G146" s="569">
        <v>0</v>
      </c>
      <c r="H146" s="571">
        <v>0</v>
      </c>
      <c r="I146" s="568">
        <v>0</v>
      </c>
      <c r="J146" s="569">
        <v>0</v>
      </c>
      <c r="K146" s="579" t="s">
        <v>281</v>
      </c>
    </row>
    <row r="147" spans="1:11" ht="14.4" customHeight="1" thickBot="1" x14ac:dyDescent="0.35">
      <c r="A147" s="587" t="s">
        <v>420</v>
      </c>
      <c r="B147" s="568">
        <v>0</v>
      </c>
      <c r="C147" s="568">
        <v>0.93572</v>
      </c>
      <c r="D147" s="569">
        <v>0.93572</v>
      </c>
      <c r="E147" s="578" t="s">
        <v>281</v>
      </c>
      <c r="F147" s="568">
        <v>0</v>
      </c>
      <c r="G147" s="569">
        <v>0</v>
      </c>
      <c r="H147" s="571">
        <v>0.23993</v>
      </c>
      <c r="I147" s="568">
        <v>2.84632</v>
      </c>
      <c r="J147" s="569">
        <v>2.84632</v>
      </c>
      <c r="K147" s="579" t="s">
        <v>281</v>
      </c>
    </row>
    <row r="148" spans="1:11" ht="14.4" customHeight="1" thickBot="1" x14ac:dyDescent="0.35">
      <c r="A148" s="588" t="s">
        <v>421</v>
      </c>
      <c r="B148" s="568">
        <v>0</v>
      </c>
      <c r="C148" s="568">
        <v>0.93572</v>
      </c>
      <c r="D148" s="569">
        <v>0.93572</v>
      </c>
      <c r="E148" s="578" t="s">
        <v>281</v>
      </c>
      <c r="F148" s="568">
        <v>0</v>
      </c>
      <c r="G148" s="569">
        <v>0</v>
      </c>
      <c r="H148" s="571">
        <v>0.23993</v>
      </c>
      <c r="I148" s="568">
        <v>2.84632</v>
      </c>
      <c r="J148" s="569">
        <v>2.84632</v>
      </c>
      <c r="K148" s="579" t="s">
        <v>281</v>
      </c>
    </row>
    <row r="149" spans="1:11" ht="14.4" customHeight="1" thickBot="1" x14ac:dyDescent="0.35">
      <c r="A149" s="589" t="s">
        <v>422</v>
      </c>
      <c r="B149" s="573">
        <v>0</v>
      </c>
      <c r="C149" s="573">
        <v>0.93572</v>
      </c>
      <c r="D149" s="574">
        <v>0.93572</v>
      </c>
      <c r="E149" s="575" t="s">
        <v>281</v>
      </c>
      <c r="F149" s="573">
        <v>0</v>
      </c>
      <c r="G149" s="574">
        <v>0</v>
      </c>
      <c r="H149" s="576">
        <v>0.23993</v>
      </c>
      <c r="I149" s="573">
        <v>2.84632</v>
      </c>
      <c r="J149" s="574">
        <v>2.84632</v>
      </c>
      <c r="K149" s="577" t="s">
        <v>281</v>
      </c>
    </row>
    <row r="150" spans="1:11" ht="14.4" customHeight="1" thickBot="1" x14ac:dyDescent="0.35">
      <c r="A150" s="590" t="s">
        <v>423</v>
      </c>
      <c r="B150" s="568">
        <v>0</v>
      </c>
      <c r="C150" s="568">
        <v>0.93572</v>
      </c>
      <c r="D150" s="569">
        <v>0.93572</v>
      </c>
      <c r="E150" s="578" t="s">
        <v>281</v>
      </c>
      <c r="F150" s="568">
        <v>0</v>
      </c>
      <c r="G150" s="569">
        <v>0</v>
      </c>
      <c r="H150" s="571">
        <v>0.23993</v>
      </c>
      <c r="I150" s="568">
        <v>2.84632</v>
      </c>
      <c r="J150" s="569">
        <v>2.84632</v>
      </c>
      <c r="K150" s="579" t="s">
        <v>281</v>
      </c>
    </row>
    <row r="151" spans="1:11" ht="14.4" customHeight="1" thickBot="1" x14ac:dyDescent="0.35">
      <c r="A151" s="586" t="s">
        <v>424</v>
      </c>
      <c r="B151" s="568">
        <v>49986.791658001202</v>
      </c>
      <c r="C151" s="568">
        <v>58316.267789999998</v>
      </c>
      <c r="D151" s="569">
        <v>8329.4761319987992</v>
      </c>
      <c r="E151" s="570">
        <v>1.1666335416960001</v>
      </c>
      <c r="F151" s="568">
        <v>55975.388680743898</v>
      </c>
      <c r="G151" s="569">
        <v>55975.388680743898</v>
      </c>
      <c r="H151" s="571">
        <v>4827.3413399999999</v>
      </c>
      <c r="I151" s="568">
        <v>58577.900070000003</v>
      </c>
      <c r="J151" s="569">
        <v>2602.5113892560898</v>
      </c>
      <c r="K151" s="572">
        <v>1.0464938511470001</v>
      </c>
    </row>
    <row r="152" spans="1:11" ht="14.4" customHeight="1" thickBot="1" x14ac:dyDescent="0.35">
      <c r="A152" s="587" t="s">
        <v>425</v>
      </c>
      <c r="B152" s="568">
        <v>49986.791658001202</v>
      </c>
      <c r="C152" s="568">
        <v>58312.77792</v>
      </c>
      <c r="D152" s="569">
        <v>8325.9862619988107</v>
      </c>
      <c r="E152" s="570">
        <v>1.1665637258529999</v>
      </c>
      <c r="F152" s="568">
        <v>55975.388680743898</v>
      </c>
      <c r="G152" s="569">
        <v>55975.388680743898</v>
      </c>
      <c r="H152" s="571">
        <v>4827.3413399999999</v>
      </c>
      <c r="I152" s="568">
        <v>58479.182789999999</v>
      </c>
      <c r="J152" s="569">
        <v>2503.79410925609</v>
      </c>
      <c r="K152" s="572">
        <v>1.044730267502</v>
      </c>
    </row>
    <row r="153" spans="1:11" ht="14.4" customHeight="1" thickBot="1" x14ac:dyDescent="0.35">
      <c r="A153" s="588" t="s">
        <v>426</v>
      </c>
      <c r="B153" s="568">
        <v>49986.791658001202</v>
      </c>
      <c r="C153" s="568">
        <v>58312.77792</v>
      </c>
      <c r="D153" s="569">
        <v>8325.9862619988107</v>
      </c>
      <c r="E153" s="570">
        <v>1.1665637258529999</v>
      </c>
      <c r="F153" s="568">
        <v>55975.388680743898</v>
      </c>
      <c r="G153" s="569">
        <v>55975.388680743898</v>
      </c>
      <c r="H153" s="571">
        <v>4827.3413399999999</v>
      </c>
      <c r="I153" s="568">
        <v>58479.182789999999</v>
      </c>
      <c r="J153" s="569">
        <v>2503.79410925609</v>
      </c>
      <c r="K153" s="572">
        <v>1.044730267502</v>
      </c>
    </row>
    <row r="154" spans="1:11" ht="14.4" customHeight="1" thickBot="1" x14ac:dyDescent="0.35">
      <c r="A154" s="589" t="s">
        <v>427</v>
      </c>
      <c r="B154" s="573">
        <v>0.79165798813300003</v>
      </c>
      <c r="C154" s="573">
        <v>70.479020000000006</v>
      </c>
      <c r="D154" s="574">
        <v>69.687362011866</v>
      </c>
      <c r="E154" s="580">
        <v>89.027106473307001</v>
      </c>
      <c r="F154" s="573">
        <v>76.383075826246994</v>
      </c>
      <c r="G154" s="574">
        <v>76.383075826246994</v>
      </c>
      <c r="H154" s="576">
        <v>0</v>
      </c>
      <c r="I154" s="573">
        <v>0.53991</v>
      </c>
      <c r="J154" s="574">
        <v>-75.843165826247002</v>
      </c>
      <c r="K154" s="581">
        <v>7.0684506239999997E-3</v>
      </c>
    </row>
    <row r="155" spans="1:11" ht="14.4" customHeight="1" thickBot="1" x14ac:dyDescent="0.35">
      <c r="A155" s="590" t="s">
        <v>428</v>
      </c>
      <c r="B155" s="568">
        <v>0.65108494530700001</v>
      </c>
      <c r="C155" s="568">
        <v>0.63222</v>
      </c>
      <c r="D155" s="569">
        <v>-1.8864945306999999E-2</v>
      </c>
      <c r="E155" s="570">
        <v>0.97102537012400003</v>
      </c>
      <c r="F155" s="568">
        <v>0.649188720464</v>
      </c>
      <c r="G155" s="569">
        <v>0.649188720464</v>
      </c>
      <c r="H155" s="571">
        <v>0</v>
      </c>
      <c r="I155" s="568">
        <v>5.7029999999999997E-2</v>
      </c>
      <c r="J155" s="569">
        <v>-0.59215872046399998</v>
      </c>
      <c r="K155" s="572">
        <v>8.7848106723999994E-2</v>
      </c>
    </row>
    <row r="156" spans="1:11" ht="14.4" customHeight="1" thickBot="1" x14ac:dyDescent="0.35">
      <c r="A156" s="590" t="s">
        <v>429</v>
      </c>
      <c r="B156" s="568">
        <v>0</v>
      </c>
      <c r="C156" s="568">
        <v>0</v>
      </c>
      <c r="D156" s="569">
        <v>0</v>
      </c>
      <c r="E156" s="570">
        <v>1</v>
      </c>
      <c r="F156" s="568">
        <v>0</v>
      </c>
      <c r="G156" s="569">
        <v>0</v>
      </c>
      <c r="H156" s="571">
        <v>0</v>
      </c>
      <c r="I156" s="568">
        <v>0.41427999999999998</v>
      </c>
      <c r="J156" s="569">
        <v>0.41427999999999998</v>
      </c>
      <c r="K156" s="579" t="s">
        <v>293</v>
      </c>
    </row>
    <row r="157" spans="1:11" ht="14.4" customHeight="1" thickBot="1" x14ac:dyDescent="0.35">
      <c r="A157" s="590" t="s">
        <v>430</v>
      </c>
      <c r="B157" s="568">
        <v>0</v>
      </c>
      <c r="C157" s="568">
        <v>69.569940000000003</v>
      </c>
      <c r="D157" s="569">
        <v>69.569940000000003</v>
      </c>
      <c r="E157" s="578" t="s">
        <v>293</v>
      </c>
      <c r="F157" s="568">
        <v>75.516133172428994</v>
      </c>
      <c r="G157" s="569">
        <v>75.516133172428994</v>
      </c>
      <c r="H157" s="571">
        <v>0</v>
      </c>
      <c r="I157" s="568">
        <v>0</v>
      </c>
      <c r="J157" s="569">
        <v>-75.516133172428994</v>
      </c>
      <c r="K157" s="572">
        <v>0</v>
      </c>
    </row>
    <row r="158" spans="1:11" ht="14.4" customHeight="1" thickBot="1" x14ac:dyDescent="0.35">
      <c r="A158" s="590" t="s">
        <v>431</v>
      </c>
      <c r="B158" s="568">
        <v>0.14057304282499999</v>
      </c>
      <c r="C158" s="568">
        <v>0.27685999999999999</v>
      </c>
      <c r="D158" s="569">
        <v>0.136286957174</v>
      </c>
      <c r="E158" s="570">
        <v>1.9695099034250001</v>
      </c>
      <c r="F158" s="568">
        <v>0.217753933353</v>
      </c>
      <c r="G158" s="569">
        <v>0.217753933353</v>
      </c>
      <c r="H158" s="571">
        <v>0</v>
      </c>
      <c r="I158" s="568">
        <v>6.8599999999999994E-2</v>
      </c>
      <c r="J158" s="569">
        <v>-0.14915393335300001</v>
      </c>
      <c r="K158" s="572">
        <v>0.31503449303300002</v>
      </c>
    </row>
    <row r="159" spans="1:11" ht="14.4" customHeight="1" thickBot="1" x14ac:dyDescent="0.35">
      <c r="A159" s="589" t="s">
        <v>432</v>
      </c>
      <c r="B159" s="573">
        <v>18.000000000004</v>
      </c>
      <c r="C159" s="573">
        <v>96.065539999999999</v>
      </c>
      <c r="D159" s="574">
        <v>78.065539999994996</v>
      </c>
      <c r="E159" s="580">
        <v>5.3369744444430003</v>
      </c>
      <c r="F159" s="573">
        <v>100.00001002686599</v>
      </c>
      <c r="G159" s="574">
        <v>100.00001002686599</v>
      </c>
      <c r="H159" s="576">
        <v>0</v>
      </c>
      <c r="I159" s="573">
        <v>121.66717</v>
      </c>
      <c r="J159" s="574">
        <v>21.667159973134002</v>
      </c>
      <c r="K159" s="581">
        <v>1.2166715780049999</v>
      </c>
    </row>
    <row r="160" spans="1:11" ht="14.4" customHeight="1" thickBot="1" x14ac:dyDescent="0.35">
      <c r="A160" s="590" t="s">
        <v>433</v>
      </c>
      <c r="B160" s="568">
        <v>18.000000000004</v>
      </c>
      <c r="C160" s="568">
        <v>96.065539999999999</v>
      </c>
      <c r="D160" s="569">
        <v>78.065539999994996</v>
      </c>
      <c r="E160" s="570">
        <v>5.3369744444430003</v>
      </c>
      <c r="F160" s="568">
        <v>100.00001002686599</v>
      </c>
      <c r="G160" s="569">
        <v>100.00001002686599</v>
      </c>
      <c r="H160" s="571">
        <v>0</v>
      </c>
      <c r="I160" s="568">
        <v>121.66717</v>
      </c>
      <c r="J160" s="569">
        <v>21.667159973134002</v>
      </c>
      <c r="K160" s="572">
        <v>1.2166715780049999</v>
      </c>
    </row>
    <row r="161" spans="1:11" ht="14.4" customHeight="1" thickBot="1" x14ac:dyDescent="0.35">
      <c r="A161" s="589" t="s">
        <v>434</v>
      </c>
      <c r="B161" s="573">
        <v>581.000000000152</v>
      </c>
      <c r="C161" s="573">
        <v>0</v>
      </c>
      <c r="D161" s="574">
        <v>-581.000000000152</v>
      </c>
      <c r="E161" s="580">
        <v>0</v>
      </c>
      <c r="F161" s="573">
        <v>0</v>
      </c>
      <c r="G161" s="574">
        <v>0</v>
      </c>
      <c r="H161" s="576">
        <v>0</v>
      </c>
      <c r="I161" s="573">
        <v>45.041820000000001</v>
      </c>
      <c r="J161" s="574">
        <v>45.041820000000001</v>
      </c>
      <c r="K161" s="577" t="s">
        <v>281</v>
      </c>
    </row>
    <row r="162" spans="1:11" ht="14.4" customHeight="1" thickBot="1" x14ac:dyDescent="0.35">
      <c r="A162" s="590" t="s">
        <v>435</v>
      </c>
      <c r="B162" s="568">
        <v>581.000000000152</v>
      </c>
      <c r="C162" s="568">
        <v>0</v>
      </c>
      <c r="D162" s="569">
        <v>-581.000000000152</v>
      </c>
      <c r="E162" s="570">
        <v>0</v>
      </c>
      <c r="F162" s="568">
        <v>0</v>
      </c>
      <c r="G162" s="569">
        <v>0</v>
      </c>
      <c r="H162" s="571">
        <v>0</v>
      </c>
      <c r="I162" s="568">
        <v>45.041820000000001</v>
      </c>
      <c r="J162" s="569">
        <v>45.041820000000001</v>
      </c>
      <c r="K162" s="579" t="s">
        <v>281</v>
      </c>
    </row>
    <row r="163" spans="1:11" ht="14.4" customHeight="1" thickBot="1" x14ac:dyDescent="0.35">
      <c r="A163" s="589" t="s">
        <v>436</v>
      </c>
      <c r="B163" s="573">
        <v>0</v>
      </c>
      <c r="C163" s="573">
        <v>-5.5191400000000002</v>
      </c>
      <c r="D163" s="574">
        <v>-5.5191400000000002</v>
      </c>
      <c r="E163" s="575" t="s">
        <v>293</v>
      </c>
      <c r="F163" s="573">
        <v>0</v>
      </c>
      <c r="G163" s="574">
        <v>0</v>
      </c>
      <c r="H163" s="576">
        <v>0</v>
      </c>
      <c r="I163" s="573">
        <v>0</v>
      </c>
      <c r="J163" s="574">
        <v>0</v>
      </c>
      <c r="K163" s="577" t="s">
        <v>281</v>
      </c>
    </row>
    <row r="164" spans="1:11" ht="14.4" customHeight="1" thickBot="1" x14ac:dyDescent="0.35">
      <c r="A164" s="590" t="s">
        <v>437</v>
      </c>
      <c r="B164" s="568">
        <v>0</v>
      </c>
      <c r="C164" s="568">
        <v>-5.5191400000000002</v>
      </c>
      <c r="D164" s="569">
        <v>-5.5191400000000002</v>
      </c>
      <c r="E164" s="578" t="s">
        <v>293</v>
      </c>
      <c r="F164" s="568">
        <v>0</v>
      </c>
      <c r="G164" s="569">
        <v>0</v>
      </c>
      <c r="H164" s="571">
        <v>0</v>
      </c>
      <c r="I164" s="568">
        <v>0</v>
      </c>
      <c r="J164" s="569">
        <v>0</v>
      </c>
      <c r="K164" s="579" t="s">
        <v>281</v>
      </c>
    </row>
    <row r="165" spans="1:11" ht="14.4" customHeight="1" thickBot="1" x14ac:dyDescent="0.35">
      <c r="A165" s="589" t="s">
        <v>438</v>
      </c>
      <c r="B165" s="573">
        <v>49387.0000000129</v>
      </c>
      <c r="C165" s="573">
        <v>55746.343180000003</v>
      </c>
      <c r="D165" s="574">
        <v>6359.3431799870996</v>
      </c>
      <c r="E165" s="580">
        <v>1.128765528985</v>
      </c>
      <c r="F165" s="573">
        <v>55799.005594890798</v>
      </c>
      <c r="G165" s="574">
        <v>55799.005594890798</v>
      </c>
      <c r="H165" s="576">
        <v>4166.7090500000004</v>
      </c>
      <c r="I165" s="573">
        <v>54864.114220000003</v>
      </c>
      <c r="J165" s="574">
        <v>-934.89137489079405</v>
      </c>
      <c r="K165" s="581">
        <v>0.98324537570199999</v>
      </c>
    </row>
    <row r="166" spans="1:11" ht="14.4" customHeight="1" thickBot="1" x14ac:dyDescent="0.35">
      <c r="A166" s="590" t="s">
        <v>439</v>
      </c>
      <c r="B166" s="568">
        <v>24100.000000006301</v>
      </c>
      <c r="C166" s="568">
        <v>25003.89401</v>
      </c>
      <c r="D166" s="569">
        <v>903.89400999370605</v>
      </c>
      <c r="E166" s="570">
        <v>1.0375059755180001</v>
      </c>
      <c r="F166" s="568">
        <v>26725.002679679899</v>
      </c>
      <c r="G166" s="569">
        <v>26725.002679679899</v>
      </c>
      <c r="H166" s="571">
        <v>2354.31077</v>
      </c>
      <c r="I166" s="568">
        <v>26934.4768</v>
      </c>
      <c r="J166" s="569">
        <v>209.474120320141</v>
      </c>
      <c r="K166" s="572">
        <v>1.0078381328079999</v>
      </c>
    </row>
    <row r="167" spans="1:11" ht="14.4" customHeight="1" thickBot="1" x14ac:dyDescent="0.35">
      <c r="A167" s="590" t="s">
        <v>440</v>
      </c>
      <c r="B167" s="568">
        <v>25287.000000006599</v>
      </c>
      <c r="C167" s="568">
        <v>30742.44917</v>
      </c>
      <c r="D167" s="569">
        <v>5455.4491699933897</v>
      </c>
      <c r="E167" s="570">
        <v>1.2157412571670001</v>
      </c>
      <c r="F167" s="568">
        <v>29074.002915210898</v>
      </c>
      <c r="G167" s="569">
        <v>29074.002915210898</v>
      </c>
      <c r="H167" s="571">
        <v>1812.3982800000001</v>
      </c>
      <c r="I167" s="568">
        <v>27929.637419999999</v>
      </c>
      <c r="J167" s="569">
        <v>-1144.36549521094</v>
      </c>
      <c r="K167" s="572">
        <v>0.96063956179099996</v>
      </c>
    </row>
    <row r="168" spans="1:11" ht="14.4" customHeight="1" thickBot="1" x14ac:dyDescent="0.35">
      <c r="A168" s="589" t="s">
        <v>441</v>
      </c>
      <c r="B168" s="573">
        <v>0</v>
      </c>
      <c r="C168" s="573">
        <v>2405.4093200000002</v>
      </c>
      <c r="D168" s="574">
        <v>2405.4093200000002</v>
      </c>
      <c r="E168" s="575" t="s">
        <v>281</v>
      </c>
      <c r="F168" s="573">
        <v>0</v>
      </c>
      <c r="G168" s="574">
        <v>0</v>
      </c>
      <c r="H168" s="576">
        <v>660.63229000000001</v>
      </c>
      <c r="I168" s="573">
        <v>3447.8196699999999</v>
      </c>
      <c r="J168" s="574">
        <v>3447.8196699999999</v>
      </c>
      <c r="K168" s="577" t="s">
        <v>281</v>
      </c>
    </row>
    <row r="169" spans="1:11" ht="14.4" customHeight="1" thickBot="1" x14ac:dyDescent="0.35">
      <c r="A169" s="590" t="s">
        <v>442</v>
      </c>
      <c r="B169" s="568">
        <v>0</v>
      </c>
      <c r="C169" s="568">
        <v>545.13715999999999</v>
      </c>
      <c r="D169" s="569">
        <v>545.13715999999999</v>
      </c>
      <c r="E169" s="578" t="s">
        <v>281</v>
      </c>
      <c r="F169" s="568">
        <v>0</v>
      </c>
      <c r="G169" s="569">
        <v>0</v>
      </c>
      <c r="H169" s="571">
        <v>0</v>
      </c>
      <c r="I169" s="568">
        <v>390.40561000000002</v>
      </c>
      <c r="J169" s="569">
        <v>390.40561000000002</v>
      </c>
      <c r="K169" s="579" t="s">
        <v>281</v>
      </c>
    </row>
    <row r="170" spans="1:11" ht="14.4" customHeight="1" thickBot="1" x14ac:dyDescent="0.35">
      <c r="A170" s="590" t="s">
        <v>443</v>
      </c>
      <c r="B170" s="568">
        <v>0</v>
      </c>
      <c r="C170" s="568">
        <v>1860.27216</v>
      </c>
      <c r="D170" s="569">
        <v>1860.27216</v>
      </c>
      <c r="E170" s="578" t="s">
        <v>281</v>
      </c>
      <c r="F170" s="568">
        <v>0</v>
      </c>
      <c r="G170" s="569">
        <v>0</v>
      </c>
      <c r="H170" s="571">
        <v>660.63229000000001</v>
      </c>
      <c r="I170" s="568">
        <v>3057.4140600000001</v>
      </c>
      <c r="J170" s="569">
        <v>3057.4140600000001</v>
      </c>
      <c r="K170" s="579" t="s">
        <v>281</v>
      </c>
    </row>
    <row r="171" spans="1:11" ht="14.4" customHeight="1" thickBot="1" x14ac:dyDescent="0.35">
      <c r="A171" s="587" t="s">
        <v>444</v>
      </c>
      <c r="B171" s="568">
        <v>0</v>
      </c>
      <c r="C171" s="568">
        <v>3.4898699999999998</v>
      </c>
      <c r="D171" s="569">
        <v>3.4898699999999998</v>
      </c>
      <c r="E171" s="578" t="s">
        <v>281</v>
      </c>
      <c r="F171" s="568">
        <v>0</v>
      </c>
      <c r="G171" s="569">
        <v>0</v>
      </c>
      <c r="H171" s="571">
        <v>0</v>
      </c>
      <c r="I171" s="568">
        <v>4.9172799999999999</v>
      </c>
      <c r="J171" s="569">
        <v>4.9172799999999999</v>
      </c>
      <c r="K171" s="579" t="s">
        <v>281</v>
      </c>
    </row>
    <row r="172" spans="1:11" ht="14.4" customHeight="1" thickBot="1" x14ac:dyDescent="0.35">
      <c r="A172" s="593" t="s">
        <v>445</v>
      </c>
      <c r="B172" s="573">
        <v>0</v>
      </c>
      <c r="C172" s="573">
        <v>3.4898699999999998</v>
      </c>
      <c r="D172" s="574">
        <v>3.4898699999999998</v>
      </c>
      <c r="E172" s="575" t="s">
        <v>281</v>
      </c>
      <c r="F172" s="573">
        <v>0</v>
      </c>
      <c r="G172" s="574">
        <v>0</v>
      </c>
      <c r="H172" s="576">
        <v>0</v>
      </c>
      <c r="I172" s="573">
        <v>4.9172799999999999</v>
      </c>
      <c r="J172" s="574">
        <v>4.9172799999999999</v>
      </c>
      <c r="K172" s="577" t="s">
        <v>281</v>
      </c>
    </row>
    <row r="173" spans="1:11" ht="14.4" customHeight="1" thickBot="1" x14ac:dyDescent="0.35">
      <c r="A173" s="589" t="s">
        <v>446</v>
      </c>
      <c r="B173" s="573">
        <v>0</v>
      </c>
      <c r="C173" s="573">
        <v>-1.2999999999999999E-4</v>
      </c>
      <c r="D173" s="574">
        <v>-1.2999999999999999E-4</v>
      </c>
      <c r="E173" s="575" t="s">
        <v>281</v>
      </c>
      <c r="F173" s="573">
        <v>0</v>
      </c>
      <c r="G173" s="574">
        <v>0</v>
      </c>
      <c r="H173" s="576">
        <v>0</v>
      </c>
      <c r="I173" s="573">
        <v>-1.3999999999999999E-4</v>
      </c>
      <c r="J173" s="574">
        <v>-1.3999999999999999E-4</v>
      </c>
      <c r="K173" s="577" t="s">
        <v>281</v>
      </c>
    </row>
    <row r="174" spans="1:11" ht="14.4" customHeight="1" thickBot="1" x14ac:dyDescent="0.35">
      <c r="A174" s="590" t="s">
        <v>447</v>
      </c>
      <c r="B174" s="568">
        <v>0</v>
      </c>
      <c r="C174" s="568">
        <v>-1.2999999999999999E-4</v>
      </c>
      <c r="D174" s="569">
        <v>-1.2999999999999999E-4</v>
      </c>
      <c r="E174" s="578" t="s">
        <v>293</v>
      </c>
      <c r="F174" s="568">
        <v>0</v>
      </c>
      <c r="G174" s="569">
        <v>0</v>
      </c>
      <c r="H174" s="571">
        <v>0</v>
      </c>
      <c r="I174" s="568">
        <v>-1.3999999999999999E-4</v>
      </c>
      <c r="J174" s="569">
        <v>-1.3999999999999999E-4</v>
      </c>
      <c r="K174" s="579" t="s">
        <v>281</v>
      </c>
    </row>
    <row r="175" spans="1:11" ht="14.4" customHeight="1" thickBot="1" x14ac:dyDescent="0.35">
      <c r="A175" s="589" t="s">
        <v>448</v>
      </c>
      <c r="B175" s="573">
        <v>0</v>
      </c>
      <c r="C175" s="573">
        <v>0</v>
      </c>
      <c r="D175" s="574">
        <v>0</v>
      </c>
      <c r="E175" s="575" t="s">
        <v>281</v>
      </c>
      <c r="F175" s="573">
        <v>0</v>
      </c>
      <c r="G175" s="574">
        <v>0</v>
      </c>
      <c r="H175" s="576">
        <v>0</v>
      </c>
      <c r="I175" s="573">
        <v>4.9174199999999999</v>
      </c>
      <c r="J175" s="574">
        <v>4.9174199999999999</v>
      </c>
      <c r="K175" s="577" t="s">
        <v>293</v>
      </c>
    </row>
    <row r="176" spans="1:11" ht="14.4" customHeight="1" thickBot="1" x14ac:dyDescent="0.35">
      <c r="A176" s="590" t="s">
        <v>449</v>
      </c>
      <c r="B176" s="568">
        <v>0</v>
      </c>
      <c r="C176" s="568">
        <v>0</v>
      </c>
      <c r="D176" s="569">
        <v>0</v>
      </c>
      <c r="E176" s="570">
        <v>1</v>
      </c>
      <c r="F176" s="568">
        <v>0</v>
      </c>
      <c r="G176" s="569">
        <v>0</v>
      </c>
      <c r="H176" s="571">
        <v>0</v>
      </c>
      <c r="I176" s="568">
        <v>4.9174199999999999</v>
      </c>
      <c r="J176" s="569">
        <v>4.9174199999999999</v>
      </c>
      <c r="K176" s="579" t="s">
        <v>293</v>
      </c>
    </row>
    <row r="177" spans="1:11" ht="14.4" customHeight="1" thickBot="1" x14ac:dyDescent="0.35">
      <c r="A177" s="589" t="s">
        <v>450</v>
      </c>
      <c r="B177" s="573">
        <v>0</v>
      </c>
      <c r="C177" s="573">
        <v>3.49</v>
      </c>
      <c r="D177" s="574">
        <v>3.49</v>
      </c>
      <c r="E177" s="575" t="s">
        <v>293</v>
      </c>
      <c r="F177" s="573">
        <v>0</v>
      </c>
      <c r="G177" s="574">
        <v>0</v>
      </c>
      <c r="H177" s="576">
        <v>0</v>
      </c>
      <c r="I177" s="573">
        <v>0</v>
      </c>
      <c r="J177" s="574">
        <v>0</v>
      </c>
      <c r="K177" s="577" t="s">
        <v>281</v>
      </c>
    </row>
    <row r="178" spans="1:11" ht="14.4" customHeight="1" thickBot="1" x14ac:dyDescent="0.35">
      <c r="A178" s="590" t="s">
        <v>451</v>
      </c>
      <c r="B178" s="568">
        <v>0</v>
      </c>
      <c r="C178" s="568">
        <v>3.49</v>
      </c>
      <c r="D178" s="569">
        <v>3.49</v>
      </c>
      <c r="E178" s="578" t="s">
        <v>293</v>
      </c>
      <c r="F178" s="568">
        <v>0</v>
      </c>
      <c r="G178" s="569">
        <v>0</v>
      </c>
      <c r="H178" s="571">
        <v>0</v>
      </c>
      <c r="I178" s="568">
        <v>0</v>
      </c>
      <c r="J178" s="569">
        <v>0</v>
      </c>
      <c r="K178" s="579" t="s">
        <v>281</v>
      </c>
    </row>
    <row r="179" spans="1:11" ht="14.4" customHeight="1" thickBot="1" x14ac:dyDescent="0.35">
      <c r="A179" s="587" t="s">
        <v>452</v>
      </c>
      <c r="B179" s="568">
        <v>0</v>
      </c>
      <c r="C179" s="568">
        <v>0</v>
      </c>
      <c r="D179" s="569">
        <v>0</v>
      </c>
      <c r="E179" s="570">
        <v>1</v>
      </c>
      <c r="F179" s="568">
        <v>0</v>
      </c>
      <c r="G179" s="569">
        <v>0</v>
      </c>
      <c r="H179" s="571">
        <v>0</v>
      </c>
      <c r="I179" s="568">
        <v>93.8</v>
      </c>
      <c r="J179" s="569">
        <v>93.8</v>
      </c>
      <c r="K179" s="579" t="s">
        <v>293</v>
      </c>
    </row>
    <row r="180" spans="1:11" ht="14.4" customHeight="1" thickBot="1" x14ac:dyDescent="0.35">
      <c r="A180" s="593" t="s">
        <v>453</v>
      </c>
      <c r="B180" s="573">
        <v>0</v>
      </c>
      <c r="C180" s="573">
        <v>0</v>
      </c>
      <c r="D180" s="574">
        <v>0</v>
      </c>
      <c r="E180" s="580">
        <v>1</v>
      </c>
      <c r="F180" s="573">
        <v>0</v>
      </c>
      <c r="G180" s="574">
        <v>0</v>
      </c>
      <c r="H180" s="576">
        <v>0</v>
      </c>
      <c r="I180" s="573">
        <v>93.8</v>
      </c>
      <c r="J180" s="574">
        <v>93.8</v>
      </c>
      <c r="K180" s="577" t="s">
        <v>293</v>
      </c>
    </row>
    <row r="181" spans="1:11" ht="14.4" customHeight="1" thickBot="1" x14ac:dyDescent="0.35">
      <c r="A181" s="589" t="s">
        <v>454</v>
      </c>
      <c r="B181" s="573">
        <v>0</v>
      </c>
      <c r="C181" s="573">
        <v>0</v>
      </c>
      <c r="D181" s="574">
        <v>0</v>
      </c>
      <c r="E181" s="580">
        <v>1</v>
      </c>
      <c r="F181" s="573">
        <v>0</v>
      </c>
      <c r="G181" s="574">
        <v>0</v>
      </c>
      <c r="H181" s="576">
        <v>0</v>
      </c>
      <c r="I181" s="573">
        <v>93.8</v>
      </c>
      <c r="J181" s="574">
        <v>93.8</v>
      </c>
      <c r="K181" s="577" t="s">
        <v>293</v>
      </c>
    </row>
    <row r="182" spans="1:11" ht="14.4" customHeight="1" thickBot="1" x14ac:dyDescent="0.35">
      <c r="A182" s="590" t="s">
        <v>455</v>
      </c>
      <c r="B182" s="568">
        <v>0</v>
      </c>
      <c r="C182" s="568">
        <v>0</v>
      </c>
      <c r="D182" s="569">
        <v>0</v>
      </c>
      <c r="E182" s="570">
        <v>1</v>
      </c>
      <c r="F182" s="568">
        <v>0</v>
      </c>
      <c r="G182" s="569">
        <v>0</v>
      </c>
      <c r="H182" s="571">
        <v>0</v>
      </c>
      <c r="I182" s="568">
        <v>93.8</v>
      </c>
      <c r="J182" s="569">
        <v>93.8</v>
      </c>
      <c r="K182" s="579" t="s">
        <v>293</v>
      </c>
    </row>
    <row r="183" spans="1:11" ht="14.4" customHeight="1" thickBot="1" x14ac:dyDescent="0.35">
      <c r="A183" s="586" t="s">
        <v>456</v>
      </c>
      <c r="B183" s="568">
        <v>4961.9649527312404</v>
      </c>
      <c r="C183" s="568">
        <v>6588.7310000000098</v>
      </c>
      <c r="D183" s="569">
        <v>1626.7660472687601</v>
      </c>
      <c r="E183" s="570">
        <v>1.3278471457909999</v>
      </c>
      <c r="F183" s="568">
        <v>5710.2391833633901</v>
      </c>
      <c r="G183" s="569">
        <v>5710.2391833633901</v>
      </c>
      <c r="H183" s="571">
        <v>608.27242000000001</v>
      </c>
      <c r="I183" s="568">
        <v>7253.6823100000001</v>
      </c>
      <c r="J183" s="569">
        <v>1543.44312663661</v>
      </c>
      <c r="K183" s="572">
        <v>1.270293953908</v>
      </c>
    </row>
    <row r="184" spans="1:11" ht="14.4" customHeight="1" thickBot="1" x14ac:dyDescent="0.35">
      <c r="A184" s="591" t="s">
        <v>457</v>
      </c>
      <c r="B184" s="573">
        <v>4961.9649527312404</v>
      </c>
      <c r="C184" s="573">
        <v>6588.7310000000098</v>
      </c>
      <c r="D184" s="574">
        <v>1626.7660472687601</v>
      </c>
      <c r="E184" s="580">
        <v>1.3278471457909999</v>
      </c>
      <c r="F184" s="573">
        <v>5710.2391833633901</v>
      </c>
      <c r="G184" s="574">
        <v>5710.2391833633901</v>
      </c>
      <c r="H184" s="576">
        <v>608.27242000000001</v>
      </c>
      <c r="I184" s="573">
        <v>7253.6823100000001</v>
      </c>
      <c r="J184" s="574">
        <v>1543.44312663661</v>
      </c>
      <c r="K184" s="581">
        <v>1.270293953908</v>
      </c>
    </row>
    <row r="185" spans="1:11" ht="14.4" customHeight="1" thickBot="1" x14ac:dyDescent="0.35">
      <c r="A185" s="593" t="s">
        <v>41</v>
      </c>
      <c r="B185" s="573">
        <v>4961.9649527312404</v>
      </c>
      <c r="C185" s="573">
        <v>6588.7310000000098</v>
      </c>
      <c r="D185" s="574">
        <v>1626.7660472687601</v>
      </c>
      <c r="E185" s="580">
        <v>1.3278471457909999</v>
      </c>
      <c r="F185" s="573">
        <v>5710.2391833633901</v>
      </c>
      <c r="G185" s="574">
        <v>5710.2391833633901</v>
      </c>
      <c r="H185" s="576">
        <v>608.27242000000001</v>
      </c>
      <c r="I185" s="573">
        <v>7253.6823100000001</v>
      </c>
      <c r="J185" s="574">
        <v>1543.44312663661</v>
      </c>
      <c r="K185" s="581">
        <v>1.270293953908</v>
      </c>
    </row>
    <row r="186" spans="1:11" ht="14.4" customHeight="1" thickBot="1" x14ac:dyDescent="0.35">
      <c r="A186" s="589" t="s">
        <v>458</v>
      </c>
      <c r="B186" s="573">
        <v>52.810639490086999</v>
      </c>
      <c r="C186" s="573">
        <v>58.076999999999998</v>
      </c>
      <c r="D186" s="574">
        <v>5.2663605099120003</v>
      </c>
      <c r="E186" s="580">
        <v>1.0997215818770001</v>
      </c>
      <c r="F186" s="573">
        <v>65.082376034798003</v>
      </c>
      <c r="G186" s="574">
        <v>65.082376034798003</v>
      </c>
      <c r="H186" s="576">
        <v>4.8499999999999996</v>
      </c>
      <c r="I186" s="573">
        <v>59.03</v>
      </c>
      <c r="J186" s="574">
        <v>-6.0523760347979998</v>
      </c>
      <c r="K186" s="581">
        <v>0.90700437808900003</v>
      </c>
    </row>
    <row r="187" spans="1:11" ht="14.4" customHeight="1" thickBot="1" x14ac:dyDescent="0.35">
      <c r="A187" s="590" t="s">
        <v>459</v>
      </c>
      <c r="B187" s="568">
        <v>52.810639490086999</v>
      </c>
      <c r="C187" s="568">
        <v>58.076999999999998</v>
      </c>
      <c r="D187" s="569">
        <v>5.2663605099120003</v>
      </c>
      <c r="E187" s="570">
        <v>1.0997215818770001</v>
      </c>
      <c r="F187" s="568">
        <v>65.082376034798003</v>
      </c>
      <c r="G187" s="569">
        <v>65.082376034798003</v>
      </c>
      <c r="H187" s="571">
        <v>4.8499999999999996</v>
      </c>
      <c r="I187" s="568">
        <v>59.03</v>
      </c>
      <c r="J187" s="569">
        <v>-6.0523760347979998</v>
      </c>
      <c r="K187" s="572">
        <v>0.90700437808900003</v>
      </c>
    </row>
    <row r="188" spans="1:11" ht="14.4" customHeight="1" thickBot="1" x14ac:dyDescent="0.35">
      <c r="A188" s="589" t="s">
        <v>460</v>
      </c>
      <c r="B188" s="573">
        <v>127.878461897069</v>
      </c>
      <c r="C188" s="573">
        <v>139.48228</v>
      </c>
      <c r="D188" s="574">
        <v>11.603818102930999</v>
      </c>
      <c r="E188" s="580">
        <v>1.090740988988</v>
      </c>
      <c r="F188" s="573">
        <v>165.015191100767</v>
      </c>
      <c r="G188" s="574">
        <v>165.015191100767</v>
      </c>
      <c r="H188" s="576">
        <v>10.35676</v>
      </c>
      <c r="I188" s="573">
        <v>129.59556000000001</v>
      </c>
      <c r="J188" s="574">
        <v>-35.419631100765997</v>
      </c>
      <c r="K188" s="581">
        <v>0.78535533083599995</v>
      </c>
    </row>
    <row r="189" spans="1:11" ht="14.4" customHeight="1" thickBot="1" x14ac:dyDescent="0.35">
      <c r="A189" s="590" t="s">
        <v>461</v>
      </c>
      <c r="B189" s="568">
        <v>94.478955572876004</v>
      </c>
      <c r="C189" s="568">
        <v>119.88</v>
      </c>
      <c r="D189" s="569">
        <v>25.401044427123001</v>
      </c>
      <c r="E189" s="570">
        <v>1.2688539926489999</v>
      </c>
      <c r="F189" s="568">
        <v>124.677433413537</v>
      </c>
      <c r="G189" s="569">
        <v>124.677433413537</v>
      </c>
      <c r="H189" s="571">
        <v>8.14</v>
      </c>
      <c r="I189" s="568">
        <v>105.08</v>
      </c>
      <c r="J189" s="569">
        <v>-19.597433413535999</v>
      </c>
      <c r="K189" s="572">
        <v>0.84281491143200005</v>
      </c>
    </row>
    <row r="190" spans="1:11" ht="14.4" customHeight="1" thickBot="1" x14ac:dyDescent="0.35">
      <c r="A190" s="590" t="s">
        <v>462</v>
      </c>
      <c r="B190" s="568">
        <v>12.181883537022999</v>
      </c>
      <c r="C190" s="568">
        <v>8.9499999999999996E-2</v>
      </c>
      <c r="D190" s="569">
        <v>-12.092383537023</v>
      </c>
      <c r="E190" s="570">
        <v>7.3469755080000001E-3</v>
      </c>
      <c r="F190" s="568">
        <v>19.560651888146001</v>
      </c>
      <c r="G190" s="569">
        <v>19.560651888146001</v>
      </c>
      <c r="H190" s="571">
        <v>0</v>
      </c>
      <c r="I190" s="568">
        <v>4.4824000000000002</v>
      </c>
      <c r="J190" s="569">
        <v>-15.078251888145999</v>
      </c>
      <c r="K190" s="572">
        <v>0.229153917038</v>
      </c>
    </row>
    <row r="191" spans="1:11" ht="14.4" customHeight="1" thickBot="1" x14ac:dyDescent="0.35">
      <c r="A191" s="590" t="s">
        <v>463</v>
      </c>
      <c r="B191" s="568">
        <v>21.217622787168001</v>
      </c>
      <c r="C191" s="568">
        <v>19.512779999999999</v>
      </c>
      <c r="D191" s="569">
        <v>-1.7048427871680001</v>
      </c>
      <c r="E191" s="570">
        <v>0.91964967968900002</v>
      </c>
      <c r="F191" s="568">
        <v>20.777105799084001</v>
      </c>
      <c r="G191" s="569">
        <v>20.777105799084001</v>
      </c>
      <c r="H191" s="571">
        <v>2.2167599999999998</v>
      </c>
      <c r="I191" s="568">
        <v>20.033159999999999</v>
      </c>
      <c r="J191" s="569">
        <v>-0.74394579908400005</v>
      </c>
      <c r="K191" s="572">
        <v>0.96419396395800006</v>
      </c>
    </row>
    <row r="192" spans="1:11" ht="14.4" customHeight="1" thickBot="1" x14ac:dyDescent="0.35">
      <c r="A192" s="589" t="s">
        <v>464</v>
      </c>
      <c r="B192" s="573">
        <v>771.42964844331095</v>
      </c>
      <c r="C192" s="573">
        <v>774.254330000001</v>
      </c>
      <c r="D192" s="574">
        <v>2.8246815566899999</v>
      </c>
      <c r="E192" s="580">
        <v>1.0036616191279999</v>
      </c>
      <c r="F192" s="573">
        <v>745.22421780198897</v>
      </c>
      <c r="G192" s="574">
        <v>745.22421780198897</v>
      </c>
      <c r="H192" s="576">
        <v>55.267569999999999</v>
      </c>
      <c r="I192" s="573">
        <v>770.65670999999998</v>
      </c>
      <c r="J192" s="574">
        <v>25.432492198009999</v>
      </c>
      <c r="K192" s="581">
        <v>1.034127302348</v>
      </c>
    </row>
    <row r="193" spans="1:11" ht="14.4" customHeight="1" thickBot="1" x14ac:dyDescent="0.35">
      <c r="A193" s="590" t="s">
        <v>465</v>
      </c>
      <c r="B193" s="568">
        <v>771.42964844331095</v>
      </c>
      <c r="C193" s="568">
        <v>774.254330000001</v>
      </c>
      <c r="D193" s="569">
        <v>2.8246815566899999</v>
      </c>
      <c r="E193" s="570">
        <v>1.0036616191279999</v>
      </c>
      <c r="F193" s="568">
        <v>745.22421780198897</v>
      </c>
      <c r="G193" s="569">
        <v>745.22421780198897</v>
      </c>
      <c r="H193" s="571">
        <v>55.267569999999999</v>
      </c>
      <c r="I193" s="568">
        <v>770.65670999999998</v>
      </c>
      <c r="J193" s="569">
        <v>25.432492198009999</v>
      </c>
      <c r="K193" s="572">
        <v>1.034127302348</v>
      </c>
    </row>
    <row r="194" spans="1:11" ht="14.4" customHeight="1" thickBot="1" x14ac:dyDescent="0.35">
      <c r="A194" s="589" t="s">
        <v>466</v>
      </c>
      <c r="B194" s="573">
        <v>0</v>
      </c>
      <c r="C194" s="573">
        <v>2.5579999999999998</v>
      </c>
      <c r="D194" s="574">
        <v>2.5579999999999998</v>
      </c>
      <c r="E194" s="575" t="s">
        <v>281</v>
      </c>
      <c r="F194" s="573">
        <v>0</v>
      </c>
      <c r="G194" s="574">
        <v>0</v>
      </c>
      <c r="H194" s="576">
        <v>0</v>
      </c>
      <c r="I194" s="573">
        <v>1.0069999999999999</v>
      </c>
      <c r="J194" s="574">
        <v>1.0069999999999999</v>
      </c>
      <c r="K194" s="577" t="s">
        <v>293</v>
      </c>
    </row>
    <row r="195" spans="1:11" ht="14.4" customHeight="1" thickBot="1" x14ac:dyDescent="0.35">
      <c r="A195" s="590" t="s">
        <v>467</v>
      </c>
      <c r="B195" s="568">
        <v>0</v>
      </c>
      <c r="C195" s="568">
        <v>2.5579999999999998</v>
      </c>
      <c r="D195" s="569">
        <v>2.5579999999999998</v>
      </c>
      <c r="E195" s="578" t="s">
        <v>281</v>
      </c>
      <c r="F195" s="568">
        <v>0</v>
      </c>
      <c r="G195" s="569">
        <v>0</v>
      </c>
      <c r="H195" s="571">
        <v>0</v>
      </c>
      <c r="I195" s="568">
        <v>1.0069999999999999</v>
      </c>
      <c r="J195" s="569">
        <v>1.0069999999999999</v>
      </c>
      <c r="K195" s="579" t="s">
        <v>293</v>
      </c>
    </row>
    <row r="196" spans="1:11" ht="14.4" customHeight="1" thickBot="1" x14ac:dyDescent="0.35">
      <c r="A196" s="589" t="s">
        <v>468</v>
      </c>
      <c r="B196" s="573">
        <v>375</v>
      </c>
      <c r="C196" s="573">
        <v>342.89377000000002</v>
      </c>
      <c r="D196" s="574">
        <v>-32.106229999999002</v>
      </c>
      <c r="E196" s="580">
        <v>0.91438338666600005</v>
      </c>
      <c r="F196" s="573">
        <v>318.44877067894498</v>
      </c>
      <c r="G196" s="574">
        <v>318.44877067894498</v>
      </c>
      <c r="H196" s="576">
        <v>31.804169999999999</v>
      </c>
      <c r="I196" s="573">
        <v>304.68792999999999</v>
      </c>
      <c r="J196" s="574">
        <v>-13.760840678944</v>
      </c>
      <c r="K196" s="581">
        <v>0.95678789825499999</v>
      </c>
    </row>
    <row r="197" spans="1:11" ht="14.4" customHeight="1" thickBot="1" x14ac:dyDescent="0.35">
      <c r="A197" s="590" t="s">
        <v>469</v>
      </c>
      <c r="B197" s="568">
        <v>375</v>
      </c>
      <c r="C197" s="568">
        <v>342.89377000000002</v>
      </c>
      <c r="D197" s="569">
        <v>-32.106229999999002</v>
      </c>
      <c r="E197" s="570">
        <v>0.91438338666600005</v>
      </c>
      <c r="F197" s="568">
        <v>318.44877067894498</v>
      </c>
      <c r="G197" s="569">
        <v>318.44877067894498</v>
      </c>
      <c r="H197" s="571">
        <v>31.804169999999999</v>
      </c>
      <c r="I197" s="568">
        <v>304.68792999999999</v>
      </c>
      <c r="J197" s="569">
        <v>-13.760840678944</v>
      </c>
      <c r="K197" s="572">
        <v>0.95678789825499999</v>
      </c>
    </row>
    <row r="198" spans="1:11" ht="14.4" customHeight="1" thickBot="1" x14ac:dyDescent="0.35">
      <c r="A198" s="589" t="s">
        <v>470</v>
      </c>
      <c r="B198" s="573">
        <v>0</v>
      </c>
      <c r="C198" s="573">
        <v>1453.2966799999999</v>
      </c>
      <c r="D198" s="574">
        <v>1453.2966799999999</v>
      </c>
      <c r="E198" s="575" t="s">
        <v>281</v>
      </c>
      <c r="F198" s="573">
        <v>0</v>
      </c>
      <c r="G198" s="574">
        <v>0</v>
      </c>
      <c r="H198" s="576">
        <v>149.29485</v>
      </c>
      <c r="I198" s="573">
        <v>1662.9827</v>
      </c>
      <c r="J198" s="574">
        <v>1662.9827</v>
      </c>
      <c r="K198" s="577" t="s">
        <v>293</v>
      </c>
    </row>
    <row r="199" spans="1:11" ht="14.4" customHeight="1" thickBot="1" x14ac:dyDescent="0.35">
      <c r="A199" s="590" t="s">
        <v>471</v>
      </c>
      <c r="B199" s="568">
        <v>0</v>
      </c>
      <c r="C199" s="568">
        <v>1453.2966799999999</v>
      </c>
      <c r="D199" s="569">
        <v>1453.2966799999999</v>
      </c>
      <c r="E199" s="578" t="s">
        <v>281</v>
      </c>
      <c r="F199" s="568">
        <v>0</v>
      </c>
      <c r="G199" s="569">
        <v>0</v>
      </c>
      <c r="H199" s="571">
        <v>149.29485</v>
      </c>
      <c r="I199" s="568">
        <v>1662.9827</v>
      </c>
      <c r="J199" s="569">
        <v>1662.9827</v>
      </c>
      <c r="K199" s="579" t="s">
        <v>293</v>
      </c>
    </row>
    <row r="200" spans="1:11" ht="14.4" customHeight="1" thickBot="1" x14ac:dyDescent="0.35">
      <c r="A200" s="589" t="s">
        <v>472</v>
      </c>
      <c r="B200" s="573">
        <v>3634.8462029007801</v>
      </c>
      <c r="C200" s="573">
        <v>3818.16894</v>
      </c>
      <c r="D200" s="574">
        <v>183.32273709922799</v>
      </c>
      <c r="E200" s="580">
        <v>1.0504347988510001</v>
      </c>
      <c r="F200" s="573">
        <v>4416.4686277469</v>
      </c>
      <c r="G200" s="574">
        <v>4416.4686277469</v>
      </c>
      <c r="H200" s="576">
        <v>356.69907000000001</v>
      </c>
      <c r="I200" s="573">
        <v>4325.7224100000003</v>
      </c>
      <c r="J200" s="574">
        <v>-90.746217746894999</v>
      </c>
      <c r="K200" s="581">
        <v>0.97945276523000002</v>
      </c>
    </row>
    <row r="201" spans="1:11" ht="14.4" customHeight="1" thickBot="1" x14ac:dyDescent="0.35">
      <c r="A201" s="590" t="s">
        <v>473</v>
      </c>
      <c r="B201" s="568">
        <v>3634.8462029007801</v>
      </c>
      <c r="C201" s="568">
        <v>3818.16894</v>
      </c>
      <c r="D201" s="569">
        <v>183.32273709922799</v>
      </c>
      <c r="E201" s="570">
        <v>1.0504347988510001</v>
      </c>
      <c r="F201" s="568">
        <v>4416.4686277469</v>
      </c>
      <c r="G201" s="569">
        <v>4416.4686277469</v>
      </c>
      <c r="H201" s="571">
        <v>356.69907000000001</v>
      </c>
      <c r="I201" s="568">
        <v>4325.7224100000003</v>
      </c>
      <c r="J201" s="569">
        <v>-90.746217746894999</v>
      </c>
      <c r="K201" s="572">
        <v>0.97945276523000002</v>
      </c>
    </row>
    <row r="202" spans="1:11" ht="14.4" customHeight="1" thickBot="1" x14ac:dyDescent="0.35">
      <c r="A202" s="594" t="s">
        <v>474</v>
      </c>
      <c r="B202" s="573">
        <v>0</v>
      </c>
      <c r="C202" s="573">
        <v>0</v>
      </c>
      <c r="D202" s="574">
        <v>0</v>
      </c>
      <c r="E202" s="575" t="s">
        <v>281</v>
      </c>
      <c r="F202" s="573">
        <v>0</v>
      </c>
      <c r="G202" s="574">
        <v>0</v>
      </c>
      <c r="H202" s="576">
        <v>0</v>
      </c>
      <c r="I202" s="573">
        <v>3.3210000000000003E-2</v>
      </c>
      <c r="J202" s="574">
        <v>3.3210000000000003E-2</v>
      </c>
      <c r="K202" s="577" t="s">
        <v>293</v>
      </c>
    </row>
    <row r="203" spans="1:11" ht="14.4" customHeight="1" thickBot="1" x14ac:dyDescent="0.35">
      <c r="A203" s="591" t="s">
        <v>475</v>
      </c>
      <c r="B203" s="573">
        <v>0</v>
      </c>
      <c r="C203" s="573">
        <v>0</v>
      </c>
      <c r="D203" s="574">
        <v>0</v>
      </c>
      <c r="E203" s="575" t="s">
        <v>281</v>
      </c>
      <c r="F203" s="573">
        <v>0</v>
      </c>
      <c r="G203" s="574">
        <v>0</v>
      </c>
      <c r="H203" s="576">
        <v>0</v>
      </c>
      <c r="I203" s="573">
        <v>3.3210000000000003E-2</v>
      </c>
      <c r="J203" s="574">
        <v>3.3210000000000003E-2</v>
      </c>
      <c r="K203" s="577" t="s">
        <v>293</v>
      </c>
    </row>
    <row r="204" spans="1:11" ht="14.4" customHeight="1" thickBot="1" x14ac:dyDescent="0.35">
      <c r="A204" s="593" t="s">
        <v>476</v>
      </c>
      <c r="B204" s="573">
        <v>0</v>
      </c>
      <c r="C204" s="573">
        <v>0</v>
      </c>
      <c r="D204" s="574">
        <v>0</v>
      </c>
      <c r="E204" s="575" t="s">
        <v>281</v>
      </c>
      <c r="F204" s="573">
        <v>0</v>
      </c>
      <c r="G204" s="574">
        <v>0</v>
      </c>
      <c r="H204" s="576">
        <v>0</v>
      </c>
      <c r="I204" s="573">
        <v>3.3210000000000003E-2</v>
      </c>
      <c r="J204" s="574">
        <v>3.3210000000000003E-2</v>
      </c>
      <c r="K204" s="577" t="s">
        <v>293</v>
      </c>
    </row>
    <row r="205" spans="1:11" ht="14.4" customHeight="1" thickBot="1" x14ac:dyDescent="0.35">
      <c r="A205" s="589" t="s">
        <v>477</v>
      </c>
      <c r="B205" s="573">
        <v>0</v>
      </c>
      <c r="C205" s="573">
        <v>0</v>
      </c>
      <c r="D205" s="574">
        <v>0</v>
      </c>
      <c r="E205" s="575" t="s">
        <v>281</v>
      </c>
      <c r="F205" s="573">
        <v>0</v>
      </c>
      <c r="G205" s="574">
        <v>0</v>
      </c>
      <c r="H205" s="576">
        <v>0</v>
      </c>
      <c r="I205" s="573">
        <v>3.3210000000000003E-2</v>
      </c>
      <c r="J205" s="574">
        <v>3.3210000000000003E-2</v>
      </c>
      <c r="K205" s="577" t="s">
        <v>293</v>
      </c>
    </row>
    <row r="206" spans="1:11" ht="14.4" customHeight="1" thickBot="1" x14ac:dyDescent="0.35">
      <c r="A206" s="590" t="s">
        <v>478</v>
      </c>
      <c r="B206" s="568">
        <v>0</v>
      </c>
      <c r="C206" s="568">
        <v>0</v>
      </c>
      <c r="D206" s="569">
        <v>0</v>
      </c>
      <c r="E206" s="570">
        <v>1</v>
      </c>
      <c r="F206" s="568">
        <v>0</v>
      </c>
      <c r="G206" s="569">
        <v>0</v>
      </c>
      <c r="H206" s="571">
        <v>0</v>
      </c>
      <c r="I206" s="568">
        <v>3.3210000000000003E-2</v>
      </c>
      <c r="J206" s="569">
        <v>3.3210000000000003E-2</v>
      </c>
      <c r="K206" s="579" t="s">
        <v>293</v>
      </c>
    </row>
    <row r="207" spans="1:11" ht="14.4" customHeight="1" thickBot="1" x14ac:dyDescent="0.35">
      <c r="A207" s="595"/>
      <c r="B207" s="568">
        <v>-8300.0963445263696</v>
      </c>
      <c r="C207" s="568">
        <v>-6356.4229400000304</v>
      </c>
      <c r="D207" s="569">
        <v>1943.6734045263399</v>
      </c>
      <c r="E207" s="570">
        <v>0.76582519962999995</v>
      </c>
      <c r="F207" s="568">
        <v>-11035.9556798782</v>
      </c>
      <c r="G207" s="569">
        <v>-11035.9556798782</v>
      </c>
      <c r="H207" s="571">
        <v>-1845.84896000003</v>
      </c>
      <c r="I207" s="568">
        <v>-16354.16488</v>
      </c>
      <c r="J207" s="569">
        <v>-5318.2092001218298</v>
      </c>
      <c r="K207" s="572">
        <v>1.4818983832829999</v>
      </c>
    </row>
    <row r="208" spans="1:11" ht="14.4" customHeight="1" thickBot="1" x14ac:dyDescent="0.35">
      <c r="A208" s="596" t="s">
        <v>53</v>
      </c>
      <c r="B208" s="582">
        <v>-8300.0963445263696</v>
      </c>
      <c r="C208" s="582">
        <v>-6356.4229400000304</v>
      </c>
      <c r="D208" s="583">
        <v>1943.6734045263399</v>
      </c>
      <c r="E208" s="584" t="s">
        <v>281</v>
      </c>
      <c r="F208" s="582">
        <v>-11035.9556798782</v>
      </c>
      <c r="G208" s="583">
        <v>-11035.9556798782</v>
      </c>
      <c r="H208" s="582">
        <v>-1845.84896000003</v>
      </c>
      <c r="I208" s="582">
        <v>-16354.16488</v>
      </c>
      <c r="J208" s="583">
        <v>-5318.2092001218098</v>
      </c>
      <c r="K208" s="585">
        <v>1.4818983832829999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19" customWidth="1"/>
    <col min="2" max="2" width="61.109375" style="319" customWidth="1"/>
    <col min="3" max="3" width="9.5546875" style="238" customWidth="1"/>
    <col min="4" max="4" width="9.5546875" style="320" customWidth="1"/>
    <col min="5" max="5" width="2.21875" style="320" customWidth="1"/>
    <col min="6" max="6" width="9.5546875" style="321" customWidth="1"/>
    <col min="7" max="7" width="9.5546875" style="318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3" t="s">
        <v>158</v>
      </c>
      <c r="B1" s="484"/>
      <c r="C1" s="484"/>
      <c r="D1" s="484"/>
      <c r="E1" s="484"/>
      <c r="F1" s="484"/>
      <c r="G1" s="455"/>
      <c r="H1" s="485"/>
      <c r="I1" s="485"/>
    </row>
    <row r="2" spans="1:10" ht="14.4" customHeight="1" thickBot="1" x14ac:dyDescent="0.35">
      <c r="A2" s="360" t="s">
        <v>280</v>
      </c>
      <c r="B2" s="317"/>
      <c r="C2" s="317"/>
      <c r="D2" s="317"/>
      <c r="E2" s="317"/>
      <c r="F2" s="317"/>
    </row>
    <row r="3" spans="1:10" ht="14.4" customHeight="1" thickBot="1" x14ac:dyDescent="0.35">
      <c r="A3" s="360"/>
      <c r="B3" s="317"/>
      <c r="C3" s="420">
        <v>2014</v>
      </c>
      <c r="D3" s="421">
        <v>2015</v>
      </c>
      <c r="E3" s="11"/>
      <c r="F3" s="478">
        <v>2016</v>
      </c>
      <c r="G3" s="479"/>
      <c r="H3" s="479"/>
      <c r="I3" s="480"/>
    </row>
    <row r="4" spans="1:10" ht="14.4" customHeight="1" thickBot="1" x14ac:dyDescent="0.35">
      <c r="A4" s="425" t="s">
        <v>0</v>
      </c>
      <c r="B4" s="426" t="s">
        <v>229</v>
      </c>
      <c r="C4" s="481" t="s">
        <v>81</v>
      </c>
      <c r="D4" s="482"/>
      <c r="E4" s="427"/>
      <c r="F4" s="422" t="s">
        <v>81</v>
      </c>
      <c r="G4" s="423" t="s">
        <v>82</v>
      </c>
      <c r="H4" s="423" t="s">
        <v>56</v>
      </c>
      <c r="I4" s="424" t="s">
        <v>83</v>
      </c>
    </row>
    <row r="5" spans="1:10" ht="14.4" customHeight="1" x14ac:dyDescent="0.3">
      <c r="A5" s="597" t="s">
        <v>479</v>
      </c>
      <c r="B5" s="598" t="s">
        <v>480</v>
      </c>
      <c r="C5" s="599" t="s">
        <v>481</v>
      </c>
      <c r="D5" s="599" t="s">
        <v>481</v>
      </c>
      <c r="E5" s="599"/>
      <c r="F5" s="599" t="s">
        <v>481</v>
      </c>
      <c r="G5" s="599" t="s">
        <v>481</v>
      </c>
      <c r="H5" s="599" t="s">
        <v>481</v>
      </c>
      <c r="I5" s="600" t="s">
        <v>481</v>
      </c>
      <c r="J5" s="601" t="s">
        <v>61</v>
      </c>
    </row>
    <row r="6" spans="1:10" ht="14.4" customHeight="1" x14ac:dyDescent="0.3">
      <c r="A6" s="597" t="s">
        <v>479</v>
      </c>
      <c r="B6" s="598" t="s">
        <v>289</v>
      </c>
      <c r="C6" s="599">
        <v>3317.3073700000009</v>
      </c>
      <c r="D6" s="599">
        <v>3758.3066200000012</v>
      </c>
      <c r="E6" s="599"/>
      <c r="F6" s="599">
        <v>3783.8091600000016</v>
      </c>
      <c r="G6" s="599">
        <v>3999.8941597153398</v>
      </c>
      <c r="H6" s="599">
        <v>-216.0849997153382</v>
      </c>
      <c r="I6" s="600">
        <v>0.94597732062722473</v>
      </c>
      <c r="J6" s="601" t="s">
        <v>1</v>
      </c>
    </row>
    <row r="7" spans="1:10" ht="14.4" customHeight="1" x14ac:dyDescent="0.3">
      <c r="A7" s="597" t="s">
        <v>479</v>
      </c>
      <c r="B7" s="598" t="s">
        <v>290</v>
      </c>
      <c r="C7" s="599" t="s">
        <v>481</v>
      </c>
      <c r="D7" s="599">
        <v>1542.2070199999998</v>
      </c>
      <c r="E7" s="599"/>
      <c r="F7" s="599">
        <v>1581.2873000000009</v>
      </c>
      <c r="G7" s="599">
        <v>1613.00013183803</v>
      </c>
      <c r="H7" s="599">
        <v>-31.71283183802916</v>
      </c>
      <c r="I7" s="600">
        <v>0.98033922551395447</v>
      </c>
      <c r="J7" s="601" t="s">
        <v>1</v>
      </c>
    </row>
    <row r="8" spans="1:10" ht="14.4" customHeight="1" x14ac:dyDescent="0.3">
      <c r="A8" s="597" t="s">
        <v>479</v>
      </c>
      <c r="B8" s="598" t="s">
        <v>291</v>
      </c>
      <c r="C8" s="599">
        <v>1628.4934900000003</v>
      </c>
      <c r="D8" s="599">
        <v>340.15431999999998</v>
      </c>
      <c r="E8" s="599"/>
      <c r="F8" s="599">
        <v>172.96304999999998</v>
      </c>
      <c r="G8" s="599">
        <v>343.99993623060999</v>
      </c>
      <c r="H8" s="599">
        <v>-171.03688623061001</v>
      </c>
      <c r="I8" s="600">
        <v>0.50279965716054487</v>
      </c>
      <c r="J8" s="601" t="s">
        <v>1</v>
      </c>
    </row>
    <row r="9" spans="1:10" ht="14.4" customHeight="1" x14ac:dyDescent="0.3">
      <c r="A9" s="597" t="s">
        <v>479</v>
      </c>
      <c r="B9" s="598" t="s">
        <v>292</v>
      </c>
      <c r="C9" s="599">
        <v>0</v>
      </c>
      <c r="D9" s="599" t="s">
        <v>481</v>
      </c>
      <c r="E9" s="599"/>
      <c r="F9" s="599">
        <v>8.8119999999999994</v>
      </c>
      <c r="G9" s="599">
        <v>0</v>
      </c>
      <c r="H9" s="599">
        <v>8.8119999999999994</v>
      </c>
      <c r="I9" s="600" t="s">
        <v>481</v>
      </c>
      <c r="J9" s="601" t="s">
        <v>1</v>
      </c>
    </row>
    <row r="10" spans="1:10" ht="14.4" customHeight="1" x14ac:dyDescent="0.3">
      <c r="A10" s="597" t="s">
        <v>479</v>
      </c>
      <c r="B10" s="598" t="s">
        <v>294</v>
      </c>
      <c r="C10" s="599">
        <v>463.75307999999995</v>
      </c>
      <c r="D10" s="599">
        <v>1072.3163</v>
      </c>
      <c r="E10" s="599"/>
      <c r="F10" s="599">
        <v>2107.5559600000006</v>
      </c>
      <c r="G10" s="599">
        <v>744.000067167937</v>
      </c>
      <c r="H10" s="599">
        <v>1363.5558928320636</v>
      </c>
      <c r="I10" s="600">
        <v>2.8327362496383746</v>
      </c>
      <c r="J10" s="601" t="s">
        <v>1</v>
      </c>
    </row>
    <row r="11" spans="1:10" ht="14.4" customHeight="1" x14ac:dyDescent="0.3">
      <c r="A11" s="597" t="s">
        <v>479</v>
      </c>
      <c r="B11" s="598" t="s">
        <v>295</v>
      </c>
      <c r="C11" s="599">
        <v>66.504949999999994</v>
      </c>
      <c r="D11" s="599">
        <v>383.87332000000004</v>
      </c>
      <c r="E11" s="599"/>
      <c r="F11" s="599">
        <v>21.263470000000002</v>
      </c>
      <c r="G11" s="599">
        <v>350.00003159782</v>
      </c>
      <c r="H11" s="599">
        <v>-328.73656159782001</v>
      </c>
      <c r="I11" s="600">
        <v>6.0752765943842969E-2</v>
      </c>
      <c r="J11" s="601" t="s">
        <v>1</v>
      </c>
    </row>
    <row r="12" spans="1:10" ht="14.4" customHeight="1" x14ac:dyDescent="0.3">
      <c r="A12" s="597" t="s">
        <v>479</v>
      </c>
      <c r="B12" s="598" t="s">
        <v>296</v>
      </c>
      <c r="C12" s="599">
        <v>1247.4133600000002</v>
      </c>
      <c r="D12" s="599">
        <v>1147.7063899999989</v>
      </c>
      <c r="E12" s="599"/>
      <c r="F12" s="599">
        <v>1164.8404099999989</v>
      </c>
      <c r="G12" s="599">
        <v>1293.2325199664399</v>
      </c>
      <c r="H12" s="599">
        <v>-128.39210996644101</v>
      </c>
      <c r="I12" s="600">
        <v>0.90072001130177826</v>
      </c>
      <c r="J12" s="601" t="s">
        <v>1</v>
      </c>
    </row>
    <row r="13" spans="1:10" ht="14.4" customHeight="1" x14ac:dyDescent="0.3">
      <c r="A13" s="597" t="s">
        <v>479</v>
      </c>
      <c r="B13" s="598" t="s">
        <v>297</v>
      </c>
      <c r="C13" s="599">
        <v>903.78742000000011</v>
      </c>
      <c r="D13" s="599">
        <v>505.80714999999998</v>
      </c>
      <c r="E13" s="599"/>
      <c r="F13" s="599">
        <v>1004.8094800000009</v>
      </c>
      <c r="G13" s="599">
        <v>909.16229269155497</v>
      </c>
      <c r="H13" s="599">
        <v>95.64718730844595</v>
      </c>
      <c r="I13" s="600">
        <v>1.1052036452427922</v>
      </c>
      <c r="J13" s="601" t="s">
        <v>1</v>
      </c>
    </row>
    <row r="14" spans="1:10" ht="14.4" customHeight="1" x14ac:dyDescent="0.3">
      <c r="A14" s="597" t="s">
        <v>479</v>
      </c>
      <c r="B14" s="598" t="s">
        <v>298</v>
      </c>
      <c r="C14" s="599">
        <v>147.95768000000001</v>
      </c>
      <c r="D14" s="599">
        <v>149.55640000000002</v>
      </c>
      <c r="E14" s="599"/>
      <c r="F14" s="599">
        <v>128.15710999999899</v>
      </c>
      <c r="G14" s="599">
        <v>147.00001327108501</v>
      </c>
      <c r="H14" s="599">
        <v>-18.842903271086016</v>
      </c>
      <c r="I14" s="600">
        <v>0.87181699612273145</v>
      </c>
      <c r="J14" s="601" t="s">
        <v>1</v>
      </c>
    </row>
    <row r="15" spans="1:10" ht="14.4" customHeight="1" x14ac:dyDescent="0.3">
      <c r="A15" s="597" t="s">
        <v>479</v>
      </c>
      <c r="B15" s="598" t="s">
        <v>482</v>
      </c>
      <c r="C15" s="599">
        <v>7775.2173500000017</v>
      </c>
      <c r="D15" s="599">
        <v>8899.9275199999993</v>
      </c>
      <c r="E15" s="599"/>
      <c r="F15" s="599">
        <v>9973.4979400000011</v>
      </c>
      <c r="G15" s="599">
        <v>9400.2891524788156</v>
      </c>
      <c r="H15" s="599">
        <v>573.20878752118551</v>
      </c>
      <c r="I15" s="600">
        <v>1.0609777825153424</v>
      </c>
      <c r="J15" s="601" t="s">
        <v>483</v>
      </c>
    </row>
    <row r="17" spans="1:10" ht="14.4" customHeight="1" x14ac:dyDescent="0.3">
      <c r="A17" s="597" t="s">
        <v>479</v>
      </c>
      <c r="B17" s="598" t="s">
        <v>480</v>
      </c>
      <c r="C17" s="599" t="s">
        <v>481</v>
      </c>
      <c r="D17" s="599" t="s">
        <v>481</v>
      </c>
      <c r="E17" s="599"/>
      <c r="F17" s="599" t="s">
        <v>481</v>
      </c>
      <c r="G17" s="599" t="s">
        <v>481</v>
      </c>
      <c r="H17" s="599" t="s">
        <v>481</v>
      </c>
      <c r="I17" s="600" t="s">
        <v>481</v>
      </c>
      <c r="J17" s="601" t="s">
        <v>61</v>
      </c>
    </row>
    <row r="18" spans="1:10" ht="14.4" customHeight="1" x14ac:dyDescent="0.3">
      <c r="A18" s="597" t="s">
        <v>484</v>
      </c>
      <c r="B18" s="598" t="s">
        <v>485</v>
      </c>
      <c r="C18" s="599" t="s">
        <v>481</v>
      </c>
      <c r="D18" s="599" t="s">
        <v>481</v>
      </c>
      <c r="E18" s="599"/>
      <c r="F18" s="599" t="s">
        <v>481</v>
      </c>
      <c r="G18" s="599" t="s">
        <v>481</v>
      </c>
      <c r="H18" s="599" t="s">
        <v>481</v>
      </c>
      <c r="I18" s="600" t="s">
        <v>481</v>
      </c>
      <c r="J18" s="601" t="s">
        <v>0</v>
      </c>
    </row>
    <row r="19" spans="1:10" ht="14.4" customHeight="1" x14ac:dyDescent="0.3">
      <c r="A19" s="597" t="s">
        <v>484</v>
      </c>
      <c r="B19" s="598" t="s">
        <v>289</v>
      </c>
      <c r="C19" s="599">
        <v>3317.3073700000009</v>
      </c>
      <c r="D19" s="599">
        <v>3758.3066200000012</v>
      </c>
      <c r="E19" s="599"/>
      <c r="F19" s="599">
        <v>3783.8091600000016</v>
      </c>
      <c r="G19" s="599">
        <v>3999.8941597153398</v>
      </c>
      <c r="H19" s="599">
        <v>-216.0849997153382</v>
      </c>
      <c r="I19" s="600">
        <v>0.94597732062722473</v>
      </c>
      <c r="J19" s="601" t="s">
        <v>1</v>
      </c>
    </row>
    <row r="20" spans="1:10" ht="14.4" customHeight="1" x14ac:dyDescent="0.3">
      <c r="A20" s="597" t="s">
        <v>484</v>
      </c>
      <c r="B20" s="598" t="s">
        <v>290</v>
      </c>
      <c r="C20" s="599" t="s">
        <v>481</v>
      </c>
      <c r="D20" s="599">
        <v>1542.2070199999998</v>
      </c>
      <c r="E20" s="599"/>
      <c r="F20" s="599">
        <v>1581.2873000000009</v>
      </c>
      <c r="G20" s="599">
        <v>1613.00013183803</v>
      </c>
      <c r="H20" s="599">
        <v>-31.71283183802916</v>
      </c>
      <c r="I20" s="600">
        <v>0.98033922551395447</v>
      </c>
      <c r="J20" s="601" t="s">
        <v>1</v>
      </c>
    </row>
    <row r="21" spans="1:10" ht="14.4" customHeight="1" x14ac:dyDescent="0.3">
      <c r="A21" s="597" t="s">
        <v>484</v>
      </c>
      <c r="B21" s="598" t="s">
        <v>291</v>
      </c>
      <c r="C21" s="599">
        <v>1628.4934900000003</v>
      </c>
      <c r="D21" s="599">
        <v>340.15431999999998</v>
      </c>
      <c r="E21" s="599"/>
      <c r="F21" s="599">
        <v>172.96304999999998</v>
      </c>
      <c r="G21" s="599">
        <v>343.99993623060999</v>
      </c>
      <c r="H21" s="599">
        <v>-171.03688623061001</v>
      </c>
      <c r="I21" s="600">
        <v>0.50279965716054487</v>
      </c>
      <c r="J21" s="601" t="s">
        <v>1</v>
      </c>
    </row>
    <row r="22" spans="1:10" ht="14.4" customHeight="1" x14ac:dyDescent="0.3">
      <c r="A22" s="597" t="s">
        <v>484</v>
      </c>
      <c r="B22" s="598" t="s">
        <v>292</v>
      </c>
      <c r="C22" s="599">
        <v>0</v>
      </c>
      <c r="D22" s="599" t="s">
        <v>481</v>
      </c>
      <c r="E22" s="599"/>
      <c r="F22" s="599">
        <v>8.8119999999999994</v>
      </c>
      <c r="G22" s="599">
        <v>0</v>
      </c>
      <c r="H22" s="599">
        <v>8.8119999999999994</v>
      </c>
      <c r="I22" s="600" t="s">
        <v>481</v>
      </c>
      <c r="J22" s="601" t="s">
        <v>1</v>
      </c>
    </row>
    <row r="23" spans="1:10" ht="14.4" customHeight="1" x14ac:dyDescent="0.3">
      <c r="A23" s="597" t="s">
        <v>484</v>
      </c>
      <c r="B23" s="598" t="s">
        <v>294</v>
      </c>
      <c r="C23" s="599">
        <v>463.75307999999995</v>
      </c>
      <c r="D23" s="599">
        <v>1072.3163</v>
      </c>
      <c r="E23" s="599"/>
      <c r="F23" s="599">
        <v>2107.5559600000006</v>
      </c>
      <c r="G23" s="599">
        <v>744.000067167937</v>
      </c>
      <c r="H23" s="599">
        <v>1363.5558928320636</v>
      </c>
      <c r="I23" s="600">
        <v>2.8327362496383746</v>
      </c>
      <c r="J23" s="601" t="s">
        <v>1</v>
      </c>
    </row>
    <row r="24" spans="1:10" ht="14.4" customHeight="1" x14ac:dyDescent="0.3">
      <c r="A24" s="597" t="s">
        <v>484</v>
      </c>
      <c r="B24" s="598" t="s">
        <v>295</v>
      </c>
      <c r="C24" s="599">
        <v>66.504949999999994</v>
      </c>
      <c r="D24" s="599">
        <v>383.87332000000004</v>
      </c>
      <c r="E24" s="599"/>
      <c r="F24" s="599">
        <v>21.263470000000002</v>
      </c>
      <c r="G24" s="599">
        <v>350.00003159782</v>
      </c>
      <c r="H24" s="599">
        <v>-328.73656159782001</v>
      </c>
      <c r="I24" s="600">
        <v>6.0752765943842969E-2</v>
      </c>
      <c r="J24" s="601" t="s">
        <v>1</v>
      </c>
    </row>
    <row r="25" spans="1:10" ht="14.4" customHeight="1" x14ac:dyDescent="0.3">
      <c r="A25" s="597" t="s">
        <v>484</v>
      </c>
      <c r="B25" s="598" t="s">
        <v>296</v>
      </c>
      <c r="C25" s="599">
        <v>1247.4133600000002</v>
      </c>
      <c r="D25" s="599">
        <v>1147.7063899999989</v>
      </c>
      <c r="E25" s="599"/>
      <c r="F25" s="599">
        <v>1164.8404099999989</v>
      </c>
      <c r="G25" s="599">
        <v>1293.2325199664399</v>
      </c>
      <c r="H25" s="599">
        <v>-128.39210996644101</v>
      </c>
      <c r="I25" s="600">
        <v>0.90072001130177826</v>
      </c>
      <c r="J25" s="601" t="s">
        <v>1</v>
      </c>
    </row>
    <row r="26" spans="1:10" ht="14.4" customHeight="1" x14ac:dyDescent="0.3">
      <c r="A26" s="597" t="s">
        <v>484</v>
      </c>
      <c r="B26" s="598" t="s">
        <v>297</v>
      </c>
      <c r="C26" s="599">
        <v>903.78742000000011</v>
      </c>
      <c r="D26" s="599">
        <v>505.80714999999998</v>
      </c>
      <c r="E26" s="599"/>
      <c r="F26" s="599">
        <v>1004.8094800000009</v>
      </c>
      <c r="G26" s="599">
        <v>909.16229269155497</v>
      </c>
      <c r="H26" s="599">
        <v>95.64718730844595</v>
      </c>
      <c r="I26" s="600">
        <v>1.1052036452427922</v>
      </c>
      <c r="J26" s="601" t="s">
        <v>1</v>
      </c>
    </row>
    <row r="27" spans="1:10" ht="14.4" customHeight="1" x14ac:dyDescent="0.3">
      <c r="A27" s="597" t="s">
        <v>484</v>
      </c>
      <c r="B27" s="598" t="s">
        <v>298</v>
      </c>
      <c r="C27" s="599">
        <v>147.95768000000001</v>
      </c>
      <c r="D27" s="599">
        <v>149.55640000000002</v>
      </c>
      <c r="E27" s="599"/>
      <c r="F27" s="599">
        <v>128.15710999999899</v>
      </c>
      <c r="G27" s="599">
        <v>147.00001327108501</v>
      </c>
      <c r="H27" s="599">
        <v>-18.842903271086016</v>
      </c>
      <c r="I27" s="600">
        <v>0.87181699612273145</v>
      </c>
      <c r="J27" s="601" t="s">
        <v>1</v>
      </c>
    </row>
    <row r="28" spans="1:10" ht="14.4" customHeight="1" x14ac:dyDescent="0.3">
      <c r="A28" s="597" t="s">
        <v>484</v>
      </c>
      <c r="B28" s="598" t="s">
        <v>486</v>
      </c>
      <c r="C28" s="599">
        <v>7775.2173500000017</v>
      </c>
      <c r="D28" s="599">
        <v>8899.9275199999993</v>
      </c>
      <c r="E28" s="599"/>
      <c r="F28" s="599">
        <v>9973.4979400000011</v>
      </c>
      <c r="G28" s="599">
        <v>9400.2891524788156</v>
      </c>
      <c r="H28" s="599">
        <v>573.20878752118551</v>
      </c>
      <c r="I28" s="600">
        <v>1.0609777825153424</v>
      </c>
      <c r="J28" s="601" t="s">
        <v>487</v>
      </c>
    </row>
    <row r="29" spans="1:10" ht="14.4" customHeight="1" x14ac:dyDescent="0.3">
      <c r="A29" s="597" t="s">
        <v>481</v>
      </c>
      <c r="B29" s="598" t="s">
        <v>481</v>
      </c>
      <c r="C29" s="599" t="s">
        <v>481</v>
      </c>
      <c r="D29" s="599" t="s">
        <v>481</v>
      </c>
      <c r="E29" s="599"/>
      <c r="F29" s="599" t="s">
        <v>481</v>
      </c>
      <c r="G29" s="599" t="s">
        <v>481</v>
      </c>
      <c r="H29" s="599" t="s">
        <v>481</v>
      </c>
      <c r="I29" s="600" t="s">
        <v>481</v>
      </c>
      <c r="J29" s="601" t="s">
        <v>488</v>
      </c>
    </row>
    <row r="30" spans="1:10" ht="14.4" customHeight="1" x14ac:dyDescent="0.3">
      <c r="A30" s="597" t="s">
        <v>479</v>
      </c>
      <c r="B30" s="598" t="s">
        <v>482</v>
      </c>
      <c r="C30" s="599">
        <v>7775.2173500000017</v>
      </c>
      <c r="D30" s="599">
        <v>8899.9275199999993</v>
      </c>
      <c r="E30" s="599"/>
      <c r="F30" s="599">
        <v>9973.4979400000011</v>
      </c>
      <c r="G30" s="599">
        <v>9400.2891524788156</v>
      </c>
      <c r="H30" s="599">
        <v>573.20878752118551</v>
      </c>
      <c r="I30" s="600">
        <v>1.0609777825153424</v>
      </c>
      <c r="J30" s="601" t="s">
        <v>483</v>
      </c>
    </row>
  </sheetData>
  <mergeCells count="3">
    <mergeCell ref="F3:I3"/>
    <mergeCell ref="C4:D4"/>
    <mergeCell ref="A1:I1"/>
  </mergeCells>
  <conditionalFormatting sqref="F16 F31:F65537">
    <cfRule type="cellIs" dxfId="60" priority="18" stopIfTrue="1" operator="greaterThan">
      <formula>1</formula>
    </cfRule>
  </conditionalFormatting>
  <conditionalFormatting sqref="H5:H15">
    <cfRule type="expression" dxfId="59" priority="14">
      <formula>$H5&gt;0</formula>
    </cfRule>
  </conditionalFormatting>
  <conditionalFormatting sqref="I5:I15">
    <cfRule type="expression" dxfId="58" priority="15">
      <formula>$I5&gt;1</formula>
    </cfRule>
  </conditionalFormatting>
  <conditionalFormatting sqref="B5:B15">
    <cfRule type="expression" dxfId="57" priority="11">
      <formula>OR($J5="NS",$J5="SumaNS",$J5="Účet")</formula>
    </cfRule>
  </conditionalFormatting>
  <conditionalFormatting sqref="B5:D15 F5:I15">
    <cfRule type="expression" dxfId="56" priority="17">
      <formula>AND($J5&lt;&gt;"",$J5&lt;&gt;"mezeraKL")</formula>
    </cfRule>
  </conditionalFormatting>
  <conditionalFormatting sqref="B5:D15 F5:I15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4" priority="13">
      <formula>OR($J5="SumaNS",$J5="NS")</formula>
    </cfRule>
  </conditionalFormatting>
  <conditionalFormatting sqref="A5:A15">
    <cfRule type="expression" dxfId="53" priority="9">
      <formula>AND($J5&lt;&gt;"mezeraKL",$J5&lt;&gt;"")</formula>
    </cfRule>
  </conditionalFormatting>
  <conditionalFormatting sqref="A5:A15">
    <cfRule type="expression" dxfId="52" priority="10">
      <formula>AND($J5&lt;&gt;"",$J5&lt;&gt;"mezeraKL")</formula>
    </cfRule>
  </conditionalFormatting>
  <conditionalFormatting sqref="H17:H30">
    <cfRule type="expression" dxfId="51" priority="5">
      <formula>$H17&gt;0</formula>
    </cfRule>
  </conditionalFormatting>
  <conditionalFormatting sqref="A17:A30">
    <cfRule type="expression" dxfId="50" priority="2">
      <formula>AND($J17&lt;&gt;"mezeraKL",$J17&lt;&gt;"")</formula>
    </cfRule>
  </conditionalFormatting>
  <conditionalFormatting sqref="I17:I30">
    <cfRule type="expression" dxfId="49" priority="6">
      <formula>$I17&gt;1</formula>
    </cfRule>
  </conditionalFormatting>
  <conditionalFormatting sqref="B17:B30">
    <cfRule type="expression" dxfId="48" priority="1">
      <formula>OR($J17="NS",$J17="SumaNS",$J17="Účet")</formula>
    </cfRule>
  </conditionalFormatting>
  <conditionalFormatting sqref="A17:D30 F17:I30">
    <cfRule type="expression" dxfId="47" priority="8">
      <formula>AND($J17&lt;&gt;"",$J17&lt;&gt;"mezeraKL")</formula>
    </cfRule>
  </conditionalFormatting>
  <conditionalFormatting sqref="B17:D30 F17:I30">
    <cfRule type="expression" dxfId="4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2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0" bestFit="1" customWidth="1" collapsed="1"/>
    <col min="4" max="4" width="18.77734375" style="324" customWidth="1"/>
    <col min="5" max="5" width="9" style="320" bestFit="1" customWidth="1"/>
    <col min="6" max="6" width="18.77734375" style="324" customWidth="1"/>
    <col min="7" max="7" width="5" style="320" customWidth="1"/>
    <col min="8" max="8" width="12.44140625" style="320" hidden="1" customWidth="1" outlineLevel="1"/>
    <col min="9" max="9" width="8.5546875" style="320" hidden="1" customWidth="1" outlineLevel="1"/>
    <col min="10" max="10" width="25.77734375" style="320" customWidth="1" collapsed="1"/>
    <col min="11" max="11" width="8.77734375" style="320" customWidth="1"/>
    <col min="12" max="13" width="7.77734375" style="318" customWidth="1"/>
    <col min="14" max="14" width="12.6640625" style="318" customWidth="1"/>
    <col min="15" max="16384" width="8.88671875" style="238"/>
  </cols>
  <sheetData>
    <row r="1" spans="1:14" ht="18.600000000000001" customHeight="1" thickBot="1" x14ac:dyDescent="0.4">
      <c r="A1" s="490" t="s">
        <v>180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</row>
    <row r="2" spans="1:14" ht="14.4" customHeight="1" thickBot="1" x14ac:dyDescent="0.35">
      <c r="A2" s="360" t="s">
        <v>280</v>
      </c>
      <c r="B2" s="66"/>
      <c r="C2" s="322"/>
      <c r="D2" s="322"/>
      <c r="E2" s="322"/>
      <c r="F2" s="322"/>
      <c r="G2" s="322"/>
      <c r="H2" s="322"/>
      <c r="I2" s="322"/>
      <c r="J2" s="322"/>
      <c r="K2" s="322"/>
      <c r="L2" s="323"/>
      <c r="M2" s="323"/>
      <c r="N2" s="323"/>
    </row>
    <row r="3" spans="1:14" ht="14.4" customHeight="1" thickBot="1" x14ac:dyDescent="0.35">
      <c r="A3" s="66"/>
      <c r="B3" s="66"/>
      <c r="C3" s="486"/>
      <c r="D3" s="487"/>
      <c r="E3" s="487"/>
      <c r="F3" s="487"/>
      <c r="G3" s="487"/>
      <c r="H3" s="487"/>
      <c r="I3" s="487"/>
      <c r="J3" s="488" t="s">
        <v>142</v>
      </c>
      <c r="K3" s="489"/>
      <c r="L3" s="192">
        <f>IF(M3&lt;&gt;0,N3/M3,0)</f>
        <v>390.91370285399148</v>
      </c>
      <c r="M3" s="192">
        <f>SUBTOTAL(9,M5:M1048576)</f>
        <v>25194.713400000004</v>
      </c>
      <c r="N3" s="193">
        <f>SUBTOTAL(9,N5:N1048576)</f>
        <v>9848958.7075390797</v>
      </c>
    </row>
    <row r="4" spans="1:14" s="319" customFormat="1" ht="14.4" customHeight="1" thickBot="1" x14ac:dyDescent="0.35">
      <c r="A4" s="602" t="s">
        <v>4</v>
      </c>
      <c r="B4" s="603" t="s">
        <v>5</v>
      </c>
      <c r="C4" s="603" t="s">
        <v>0</v>
      </c>
      <c r="D4" s="603" t="s">
        <v>6</v>
      </c>
      <c r="E4" s="603" t="s">
        <v>7</v>
      </c>
      <c r="F4" s="603" t="s">
        <v>1</v>
      </c>
      <c r="G4" s="603" t="s">
        <v>8</v>
      </c>
      <c r="H4" s="603" t="s">
        <v>9</v>
      </c>
      <c r="I4" s="603" t="s">
        <v>10</v>
      </c>
      <c r="J4" s="604" t="s">
        <v>11</v>
      </c>
      <c r="K4" s="604" t="s">
        <v>12</v>
      </c>
      <c r="L4" s="605" t="s">
        <v>165</v>
      </c>
      <c r="M4" s="605" t="s">
        <v>13</v>
      </c>
      <c r="N4" s="606" t="s">
        <v>176</v>
      </c>
    </row>
    <row r="5" spans="1:14" ht="14.4" customHeight="1" x14ac:dyDescent="0.3">
      <c r="A5" s="609" t="s">
        <v>479</v>
      </c>
      <c r="B5" s="610" t="s">
        <v>2514</v>
      </c>
      <c r="C5" s="611" t="s">
        <v>484</v>
      </c>
      <c r="D5" s="612" t="s">
        <v>2515</v>
      </c>
      <c r="E5" s="611" t="s">
        <v>489</v>
      </c>
      <c r="F5" s="612" t="s">
        <v>2516</v>
      </c>
      <c r="G5" s="611"/>
      <c r="H5" s="611" t="s">
        <v>490</v>
      </c>
      <c r="I5" s="611" t="s">
        <v>491</v>
      </c>
      <c r="J5" s="611" t="s">
        <v>492</v>
      </c>
      <c r="K5" s="611" t="s">
        <v>493</v>
      </c>
      <c r="L5" s="613">
        <v>94.809999999999988</v>
      </c>
      <c r="M5" s="613">
        <v>1</v>
      </c>
      <c r="N5" s="614">
        <v>94.809999999999988</v>
      </c>
    </row>
    <row r="6" spans="1:14" ht="14.4" customHeight="1" x14ac:dyDescent="0.3">
      <c r="A6" s="615" t="s">
        <v>479</v>
      </c>
      <c r="B6" s="616" t="s">
        <v>2514</v>
      </c>
      <c r="C6" s="617" t="s">
        <v>484</v>
      </c>
      <c r="D6" s="618" t="s">
        <v>2515</v>
      </c>
      <c r="E6" s="617" t="s">
        <v>489</v>
      </c>
      <c r="F6" s="618" t="s">
        <v>2516</v>
      </c>
      <c r="G6" s="617"/>
      <c r="H6" s="617" t="s">
        <v>494</v>
      </c>
      <c r="I6" s="617" t="s">
        <v>495</v>
      </c>
      <c r="J6" s="617" t="s">
        <v>496</v>
      </c>
      <c r="K6" s="617" t="s">
        <v>497</v>
      </c>
      <c r="L6" s="619">
        <v>161.78</v>
      </c>
      <c r="M6" s="619">
        <v>1</v>
      </c>
      <c r="N6" s="620">
        <v>161.78</v>
      </c>
    </row>
    <row r="7" spans="1:14" ht="14.4" customHeight="1" x14ac:dyDescent="0.3">
      <c r="A7" s="615" t="s">
        <v>479</v>
      </c>
      <c r="B7" s="616" t="s">
        <v>2514</v>
      </c>
      <c r="C7" s="617" t="s">
        <v>484</v>
      </c>
      <c r="D7" s="618" t="s">
        <v>2515</v>
      </c>
      <c r="E7" s="617" t="s">
        <v>489</v>
      </c>
      <c r="F7" s="618" t="s">
        <v>2516</v>
      </c>
      <c r="G7" s="617"/>
      <c r="H7" s="617" t="s">
        <v>498</v>
      </c>
      <c r="I7" s="617" t="s">
        <v>499</v>
      </c>
      <c r="J7" s="617" t="s">
        <v>500</v>
      </c>
      <c r="K7" s="617" t="s">
        <v>501</v>
      </c>
      <c r="L7" s="619">
        <v>117.48941356516919</v>
      </c>
      <c r="M7" s="619">
        <v>5</v>
      </c>
      <c r="N7" s="620">
        <v>587.44706782584592</v>
      </c>
    </row>
    <row r="8" spans="1:14" ht="14.4" customHeight="1" x14ac:dyDescent="0.3">
      <c r="A8" s="615" t="s">
        <v>479</v>
      </c>
      <c r="B8" s="616" t="s">
        <v>2514</v>
      </c>
      <c r="C8" s="617" t="s">
        <v>484</v>
      </c>
      <c r="D8" s="618" t="s">
        <v>2515</v>
      </c>
      <c r="E8" s="617" t="s">
        <v>489</v>
      </c>
      <c r="F8" s="618" t="s">
        <v>2516</v>
      </c>
      <c r="G8" s="617"/>
      <c r="H8" s="617" t="s">
        <v>502</v>
      </c>
      <c r="I8" s="617" t="s">
        <v>503</v>
      </c>
      <c r="J8" s="617" t="s">
        <v>504</v>
      </c>
      <c r="K8" s="617" t="s">
        <v>505</v>
      </c>
      <c r="L8" s="619">
        <v>58.669999999999966</v>
      </c>
      <c r="M8" s="619">
        <v>1</v>
      </c>
      <c r="N8" s="620">
        <v>58.669999999999966</v>
      </c>
    </row>
    <row r="9" spans="1:14" ht="14.4" customHeight="1" x14ac:dyDescent="0.3">
      <c r="A9" s="615" t="s">
        <v>479</v>
      </c>
      <c r="B9" s="616" t="s">
        <v>2514</v>
      </c>
      <c r="C9" s="617" t="s">
        <v>484</v>
      </c>
      <c r="D9" s="618" t="s">
        <v>2515</v>
      </c>
      <c r="E9" s="617" t="s">
        <v>489</v>
      </c>
      <c r="F9" s="618" t="s">
        <v>2516</v>
      </c>
      <c r="G9" s="617"/>
      <c r="H9" s="617" t="s">
        <v>506</v>
      </c>
      <c r="I9" s="617" t="s">
        <v>507</v>
      </c>
      <c r="J9" s="617" t="s">
        <v>508</v>
      </c>
      <c r="K9" s="617" t="s">
        <v>509</v>
      </c>
      <c r="L9" s="619">
        <v>68.779999999999987</v>
      </c>
      <c r="M9" s="619">
        <v>2</v>
      </c>
      <c r="N9" s="620">
        <v>137.55999999999997</v>
      </c>
    </row>
    <row r="10" spans="1:14" ht="14.4" customHeight="1" x14ac:dyDescent="0.3">
      <c r="A10" s="615" t="s">
        <v>479</v>
      </c>
      <c r="B10" s="616" t="s">
        <v>2514</v>
      </c>
      <c r="C10" s="617" t="s">
        <v>484</v>
      </c>
      <c r="D10" s="618" t="s">
        <v>2515</v>
      </c>
      <c r="E10" s="617" t="s">
        <v>489</v>
      </c>
      <c r="F10" s="618" t="s">
        <v>2516</v>
      </c>
      <c r="G10" s="617"/>
      <c r="H10" s="617" t="s">
        <v>510</v>
      </c>
      <c r="I10" s="617" t="s">
        <v>511</v>
      </c>
      <c r="J10" s="617" t="s">
        <v>500</v>
      </c>
      <c r="K10" s="617" t="s">
        <v>512</v>
      </c>
      <c r="L10" s="619">
        <v>73.94</v>
      </c>
      <c r="M10" s="619">
        <v>8</v>
      </c>
      <c r="N10" s="620">
        <v>591.52</v>
      </c>
    </row>
    <row r="11" spans="1:14" ht="14.4" customHeight="1" x14ac:dyDescent="0.3">
      <c r="A11" s="615" t="s">
        <v>479</v>
      </c>
      <c r="B11" s="616" t="s">
        <v>2514</v>
      </c>
      <c r="C11" s="617" t="s">
        <v>484</v>
      </c>
      <c r="D11" s="618" t="s">
        <v>2515</v>
      </c>
      <c r="E11" s="617" t="s">
        <v>489</v>
      </c>
      <c r="F11" s="618" t="s">
        <v>2516</v>
      </c>
      <c r="G11" s="617"/>
      <c r="H11" s="617" t="s">
        <v>513</v>
      </c>
      <c r="I11" s="617" t="s">
        <v>514</v>
      </c>
      <c r="J11" s="617" t="s">
        <v>515</v>
      </c>
      <c r="K11" s="617" t="s">
        <v>516</v>
      </c>
      <c r="L11" s="619">
        <v>162.96534482758619</v>
      </c>
      <c r="M11" s="619">
        <v>116</v>
      </c>
      <c r="N11" s="620">
        <v>18903.98</v>
      </c>
    </row>
    <row r="12" spans="1:14" ht="14.4" customHeight="1" x14ac:dyDescent="0.3">
      <c r="A12" s="615" t="s">
        <v>479</v>
      </c>
      <c r="B12" s="616" t="s">
        <v>2514</v>
      </c>
      <c r="C12" s="617" t="s">
        <v>484</v>
      </c>
      <c r="D12" s="618" t="s">
        <v>2515</v>
      </c>
      <c r="E12" s="617" t="s">
        <v>489</v>
      </c>
      <c r="F12" s="618" t="s">
        <v>2516</v>
      </c>
      <c r="G12" s="617"/>
      <c r="H12" s="617" t="s">
        <v>517</v>
      </c>
      <c r="I12" s="617" t="s">
        <v>518</v>
      </c>
      <c r="J12" s="617" t="s">
        <v>519</v>
      </c>
      <c r="K12" s="617" t="s">
        <v>509</v>
      </c>
      <c r="L12" s="619">
        <v>68.78</v>
      </c>
      <c r="M12" s="619">
        <v>3</v>
      </c>
      <c r="N12" s="620">
        <v>206.34</v>
      </c>
    </row>
    <row r="13" spans="1:14" ht="14.4" customHeight="1" x14ac:dyDescent="0.3">
      <c r="A13" s="615" t="s">
        <v>479</v>
      </c>
      <c r="B13" s="616" t="s">
        <v>2514</v>
      </c>
      <c r="C13" s="617" t="s">
        <v>484</v>
      </c>
      <c r="D13" s="618" t="s">
        <v>2515</v>
      </c>
      <c r="E13" s="617" t="s">
        <v>489</v>
      </c>
      <c r="F13" s="618" t="s">
        <v>2516</v>
      </c>
      <c r="G13" s="617"/>
      <c r="H13" s="617" t="s">
        <v>520</v>
      </c>
      <c r="I13" s="617" t="s">
        <v>521</v>
      </c>
      <c r="J13" s="617" t="s">
        <v>522</v>
      </c>
      <c r="K13" s="617" t="s">
        <v>523</v>
      </c>
      <c r="L13" s="619">
        <v>910.12999999999988</v>
      </c>
      <c r="M13" s="619">
        <v>5</v>
      </c>
      <c r="N13" s="620">
        <v>4550.6499999999996</v>
      </c>
    </row>
    <row r="14" spans="1:14" ht="14.4" customHeight="1" x14ac:dyDescent="0.3">
      <c r="A14" s="615" t="s">
        <v>479</v>
      </c>
      <c r="B14" s="616" t="s">
        <v>2514</v>
      </c>
      <c r="C14" s="617" t="s">
        <v>484</v>
      </c>
      <c r="D14" s="618" t="s">
        <v>2515</v>
      </c>
      <c r="E14" s="617" t="s">
        <v>489</v>
      </c>
      <c r="F14" s="618" t="s">
        <v>2516</v>
      </c>
      <c r="G14" s="617"/>
      <c r="H14" s="617" t="s">
        <v>524</v>
      </c>
      <c r="I14" s="617" t="s">
        <v>525</v>
      </c>
      <c r="J14" s="617" t="s">
        <v>526</v>
      </c>
      <c r="K14" s="617" t="s">
        <v>527</v>
      </c>
      <c r="L14" s="619">
        <v>107.27995296574204</v>
      </c>
      <c r="M14" s="619">
        <v>1</v>
      </c>
      <c r="N14" s="620">
        <v>107.27995296574204</v>
      </c>
    </row>
    <row r="15" spans="1:14" ht="14.4" customHeight="1" x14ac:dyDescent="0.3">
      <c r="A15" s="615" t="s">
        <v>479</v>
      </c>
      <c r="B15" s="616" t="s">
        <v>2514</v>
      </c>
      <c r="C15" s="617" t="s">
        <v>484</v>
      </c>
      <c r="D15" s="618" t="s">
        <v>2515</v>
      </c>
      <c r="E15" s="617" t="s">
        <v>489</v>
      </c>
      <c r="F15" s="618" t="s">
        <v>2516</v>
      </c>
      <c r="G15" s="617"/>
      <c r="H15" s="617" t="s">
        <v>528</v>
      </c>
      <c r="I15" s="617" t="s">
        <v>528</v>
      </c>
      <c r="J15" s="617" t="s">
        <v>529</v>
      </c>
      <c r="K15" s="617" t="s">
        <v>530</v>
      </c>
      <c r="L15" s="619">
        <v>29.84</v>
      </c>
      <c r="M15" s="619">
        <v>1</v>
      </c>
      <c r="N15" s="620">
        <v>29.84</v>
      </c>
    </row>
    <row r="16" spans="1:14" ht="14.4" customHeight="1" x14ac:dyDescent="0.3">
      <c r="A16" s="615" t="s">
        <v>479</v>
      </c>
      <c r="B16" s="616" t="s">
        <v>2514</v>
      </c>
      <c r="C16" s="617" t="s">
        <v>484</v>
      </c>
      <c r="D16" s="618" t="s">
        <v>2515</v>
      </c>
      <c r="E16" s="617" t="s">
        <v>489</v>
      </c>
      <c r="F16" s="618" t="s">
        <v>2516</v>
      </c>
      <c r="G16" s="617"/>
      <c r="H16" s="617" t="s">
        <v>531</v>
      </c>
      <c r="I16" s="617" t="s">
        <v>532</v>
      </c>
      <c r="J16" s="617" t="s">
        <v>533</v>
      </c>
      <c r="K16" s="617" t="s">
        <v>534</v>
      </c>
      <c r="L16" s="619">
        <v>26.87</v>
      </c>
      <c r="M16" s="619">
        <v>3</v>
      </c>
      <c r="N16" s="620">
        <v>80.61</v>
      </c>
    </row>
    <row r="17" spans="1:14" ht="14.4" customHeight="1" x14ac:dyDescent="0.3">
      <c r="A17" s="615" t="s">
        <v>479</v>
      </c>
      <c r="B17" s="616" t="s">
        <v>2514</v>
      </c>
      <c r="C17" s="617" t="s">
        <v>484</v>
      </c>
      <c r="D17" s="618" t="s">
        <v>2515</v>
      </c>
      <c r="E17" s="617" t="s">
        <v>489</v>
      </c>
      <c r="F17" s="618" t="s">
        <v>2516</v>
      </c>
      <c r="G17" s="617"/>
      <c r="H17" s="617" t="s">
        <v>535</v>
      </c>
      <c r="I17" s="617" t="s">
        <v>535</v>
      </c>
      <c r="J17" s="617" t="s">
        <v>536</v>
      </c>
      <c r="K17" s="617" t="s">
        <v>537</v>
      </c>
      <c r="L17" s="619">
        <v>496.16944000000001</v>
      </c>
      <c r="M17" s="619">
        <v>25</v>
      </c>
      <c r="N17" s="620">
        <v>12404.236000000001</v>
      </c>
    </row>
    <row r="18" spans="1:14" ht="14.4" customHeight="1" x14ac:dyDescent="0.3">
      <c r="A18" s="615" t="s">
        <v>479</v>
      </c>
      <c r="B18" s="616" t="s">
        <v>2514</v>
      </c>
      <c r="C18" s="617" t="s">
        <v>484</v>
      </c>
      <c r="D18" s="618" t="s">
        <v>2515</v>
      </c>
      <c r="E18" s="617" t="s">
        <v>489</v>
      </c>
      <c r="F18" s="618" t="s">
        <v>2516</v>
      </c>
      <c r="G18" s="617"/>
      <c r="H18" s="617" t="s">
        <v>538</v>
      </c>
      <c r="I18" s="617" t="s">
        <v>538</v>
      </c>
      <c r="J18" s="617" t="s">
        <v>539</v>
      </c>
      <c r="K18" s="617" t="s">
        <v>540</v>
      </c>
      <c r="L18" s="619">
        <v>75.040000000000035</v>
      </c>
      <c r="M18" s="619">
        <v>2</v>
      </c>
      <c r="N18" s="620">
        <v>150.08000000000007</v>
      </c>
    </row>
    <row r="19" spans="1:14" ht="14.4" customHeight="1" x14ac:dyDescent="0.3">
      <c r="A19" s="615" t="s">
        <v>479</v>
      </c>
      <c r="B19" s="616" t="s">
        <v>2514</v>
      </c>
      <c r="C19" s="617" t="s">
        <v>484</v>
      </c>
      <c r="D19" s="618" t="s">
        <v>2515</v>
      </c>
      <c r="E19" s="617" t="s">
        <v>489</v>
      </c>
      <c r="F19" s="618" t="s">
        <v>2516</v>
      </c>
      <c r="G19" s="617"/>
      <c r="H19" s="617" t="s">
        <v>541</v>
      </c>
      <c r="I19" s="617" t="s">
        <v>541</v>
      </c>
      <c r="J19" s="617" t="s">
        <v>542</v>
      </c>
      <c r="K19" s="617" t="s">
        <v>543</v>
      </c>
      <c r="L19" s="619">
        <v>103.32000000000002</v>
      </c>
      <c r="M19" s="619">
        <v>1</v>
      </c>
      <c r="N19" s="620">
        <v>103.32000000000002</v>
      </c>
    </row>
    <row r="20" spans="1:14" ht="14.4" customHeight="1" x14ac:dyDescent="0.3">
      <c r="A20" s="615" t="s">
        <v>479</v>
      </c>
      <c r="B20" s="616" t="s">
        <v>2514</v>
      </c>
      <c r="C20" s="617" t="s">
        <v>484</v>
      </c>
      <c r="D20" s="618" t="s">
        <v>2515</v>
      </c>
      <c r="E20" s="617" t="s">
        <v>489</v>
      </c>
      <c r="F20" s="618" t="s">
        <v>2516</v>
      </c>
      <c r="G20" s="617"/>
      <c r="H20" s="617" t="s">
        <v>544</v>
      </c>
      <c r="I20" s="617" t="s">
        <v>545</v>
      </c>
      <c r="J20" s="617" t="s">
        <v>546</v>
      </c>
      <c r="K20" s="617" t="s">
        <v>547</v>
      </c>
      <c r="L20" s="619">
        <v>59.435000000000002</v>
      </c>
      <c r="M20" s="619">
        <v>2</v>
      </c>
      <c r="N20" s="620">
        <v>118.87</v>
      </c>
    </row>
    <row r="21" spans="1:14" ht="14.4" customHeight="1" x14ac:dyDescent="0.3">
      <c r="A21" s="615" t="s">
        <v>479</v>
      </c>
      <c r="B21" s="616" t="s">
        <v>2514</v>
      </c>
      <c r="C21" s="617" t="s">
        <v>484</v>
      </c>
      <c r="D21" s="618" t="s">
        <v>2515</v>
      </c>
      <c r="E21" s="617" t="s">
        <v>489</v>
      </c>
      <c r="F21" s="618" t="s">
        <v>2516</v>
      </c>
      <c r="G21" s="617"/>
      <c r="H21" s="617" t="s">
        <v>548</v>
      </c>
      <c r="I21" s="617" t="s">
        <v>548</v>
      </c>
      <c r="J21" s="617" t="s">
        <v>549</v>
      </c>
      <c r="K21" s="617" t="s">
        <v>550</v>
      </c>
      <c r="L21" s="619">
        <v>145.75</v>
      </c>
      <c r="M21" s="619">
        <v>1</v>
      </c>
      <c r="N21" s="620">
        <v>145.75</v>
      </c>
    </row>
    <row r="22" spans="1:14" ht="14.4" customHeight="1" x14ac:dyDescent="0.3">
      <c r="A22" s="615" t="s">
        <v>479</v>
      </c>
      <c r="B22" s="616" t="s">
        <v>2514</v>
      </c>
      <c r="C22" s="617" t="s">
        <v>484</v>
      </c>
      <c r="D22" s="618" t="s">
        <v>2515</v>
      </c>
      <c r="E22" s="617" t="s">
        <v>489</v>
      </c>
      <c r="F22" s="618" t="s">
        <v>2516</v>
      </c>
      <c r="G22" s="617" t="s">
        <v>551</v>
      </c>
      <c r="H22" s="617" t="s">
        <v>552</v>
      </c>
      <c r="I22" s="617" t="s">
        <v>552</v>
      </c>
      <c r="J22" s="617" t="s">
        <v>553</v>
      </c>
      <c r="K22" s="617" t="s">
        <v>554</v>
      </c>
      <c r="L22" s="619">
        <v>171.5996987294514</v>
      </c>
      <c r="M22" s="619">
        <v>122</v>
      </c>
      <c r="N22" s="620">
        <v>20935.163244993073</v>
      </c>
    </row>
    <row r="23" spans="1:14" ht="14.4" customHeight="1" x14ac:dyDescent="0.3">
      <c r="A23" s="615" t="s">
        <v>479</v>
      </c>
      <c r="B23" s="616" t="s">
        <v>2514</v>
      </c>
      <c r="C23" s="617" t="s">
        <v>484</v>
      </c>
      <c r="D23" s="618" t="s">
        <v>2515</v>
      </c>
      <c r="E23" s="617" t="s">
        <v>489</v>
      </c>
      <c r="F23" s="618" t="s">
        <v>2516</v>
      </c>
      <c r="G23" s="617" t="s">
        <v>551</v>
      </c>
      <c r="H23" s="617" t="s">
        <v>555</v>
      </c>
      <c r="I23" s="617" t="s">
        <v>555</v>
      </c>
      <c r="J23" s="617" t="s">
        <v>556</v>
      </c>
      <c r="K23" s="617" t="s">
        <v>557</v>
      </c>
      <c r="L23" s="619">
        <v>173.6900011259778</v>
      </c>
      <c r="M23" s="619">
        <v>225</v>
      </c>
      <c r="N23" s="620">
        <v>39080.250253345002</v>
      </c>
    </row>
    <row r="24" spans="1:14" ht="14.4" customHeight="1" x14ac:dyDescent="0.3">
      <c r="A24" s="615" t="s">
        <v>479</v>
      </c>
      <c r="B24" s="616" t="s">
        <v>2514</v>
      </c>
      <c r="C24" s="617" t="s">
        <v>484</v>
      </c>
      <c r="D24" s="618" t="s">
        <v>2515</v>
      </c>
      <c r="E24" s="617" t="s">
        <v>489</v>
      </c>
      <c r="F24" s="618" t="s">
        <v>2516</v>
      </c>
      <c r="G24" s="617" t="s">
        <v>551</v>
      </c>
      <c r="H24" s="617" t="s">
        <v>558</v>
      </c>
      <c r="I24" s="617" t="s">
        <v>558</v>
      </c>
      <c r="J24" s="617" t="s">
        <v>559</v>
      </c>
      <c r="K24" s="617" t="s">
        <v>557</v>
      </c>
      <c r="L24" s="619">
        <v>142.9999984557179</v>
      </c>
      <c r="M24" s="619">
        <v>35</v>
      </c>
      <c r="N24" s="620">
        <v>5004.9999459501269</v>
      </c>
    </row>
    <row r="25" spans="1:14" ht="14.4" customHeight="1" x14ac:dyDescent="0.3">
      <c r="A25" s="615" t="s">
        <v>479</v>
      </c>
      <c r="B25" s="616" t="s">
        <v>2514</v>
      </c>
      <c r="C25" s="617" t="s">
        <v>484</v>
      </c>
      <c r="D25" s="618" t="s">
        <v>2515</v>
      </c>
      <c r="E25" s="617" t="s">
        <v>489</v>
      </c>
      <c r="F25" s="618" t="s">
        <v>2516</v>
      </c>
      <c r="G25" s="617" t="s">
        <v>551</v>
      </c>
      <c r="H25" s="617" t="s">
        <v>560</v>
      </c>
      <c r="I25" s="617" t="s">
        <v>560</v>
      </c>
      <c r="J25" s="617" t="s">
        <v>559</v>
      </c>
      <c r="K25" s="617" t="s">
        <v>561</v>
      </c>
      <c r="L25" s="619">
        <v>126.5</v>
      </c>
      <c r="M25" s="619">
        <v>64</v>
      </c>
      <c r="N25" s="620">
        <v>8096</v>
      </c>
    </row>
    <row r="26" spans="1:14" ht="14.4" customHeight="1" x14ac:dyDescent="0.3">
      <c r="A26" s="615" t="s">
        <v>479</v>
      </c>
      <c r="B26" s="616" t="s">
        <v>2514</v>
      </c>
      <c r="C26" s="617" t="s">
        <v>484</v>
      </c>
      <c r="D26" s="618" t="s">
        <v>2515</v>
      </c>
      <c r="E26" s="617" t="s">
        <v>489</v>
      </c>
      <c r="F26" s="618" t="s">
        <v>2516</v>
      </c>
      <c r="G26" s="617" t="s">
        <v>551</v>
      </c>
      <c r="H26" s="617" t="s">
        <v>562</v>
      </c>
      <c r="I26" s="617" t="s">
        <v>562</v>
      </c>
      <c r="J26" s="617" t="s">
        <v>553</v>
      </c>
      <c r="K26" s="617" t="s">
        <v>563</v>
      </c>
      <c r="L26" s="619">
        <v>92.950000051882952</v>
      </c>
      <c r="M26" s="619">
        <v>260</v>
      </c>
      <c r="N26" s="620">
        <v>24167.000013489567</v>
      </c>
    </row>
    <row r="27" spans="1:14" ht="14.4" customHeight="1" x14ac:dyDescent="0.3">
      <c r="A27" s="615" t="s">
        <v>479</v>
      </c>
      <c r="B27" s="616" t="s">
        <v>2514</v>
      </c>
      <c r="C27" s="617" t="s">
        <v>484</v>
      </c>
      <c r="D27" s="618" t="s">
        <v>2515</v>
      </c>
      <c r="E27" s="617" t="s">
        <v>489</v>
      </c>
      <c r="F27" s="618" t="s">
        <v>2516</v>
      </c>
      <c r="G27" s="617" t="s">
        <v>551</v>
      </c>
      <c r="H27" s="617" t="s">
        <v>564</v>
      </c>
      <c r="I27" s="617" t="s">
        <v>564</v>
      </c>
      <c r="J27" s="617" t="s">
        <v>553</v>
      </c>
      <c r="K27" s="617" t="s">
        <v>565</v>
      </c>
      <c r="L27" s="619">
        <v>93.499526298000589</v>
      </c>
      <c r="M27" s="619">
        <v>209</v>
      </c>
      <c r="N27" s="620">
        <v>19541.400996282122</v>
      </c>
    </row>
    <row r="28" spans="1:14" ht="14.4" customHeight="1" x14ac:dyDescent="0.3">
      <c r="A28" s="615" t="s">
        <v>479</v>
      </c>
      <c r="B28" s="616" t="s">
        <v>2514</v>
      </c>
      <c r="C28" s="617" t="s">
        <v>484</v>
      </c>
      <c r="D28" s="618" t="s">
        <v>2515</v>
      </c>
      <c r="E28" s="617" t="s">
        <v>489</v>
      </c>
      <c r="F28" s="618" t="s">
        <v>2516</v>
      </c>
      <c r="G28" s="617" t="s">
        <v>551</v>
      </c>
      <c r="H28" s="617" t="s">
        <v>566</v>
      </c>
      <c r="I28" s="617" t="s">
        <v>567</v>
      </c>
      <c r="J28" s="617" t="s">
        <v>568</v>
      </c>
      <c r="K28" s="617" t="s">
        <v>569</v>
      </c>
      <c r="L28" s="619">
        <v>38.319999999999993</v>
      </c>
      <c r="M28" s="619">
        <v>1</v>
      </c>
      <c r="N28" s="620">
        <v>38.319999999999993</v>
      </c>
    </row>
    <row r="29" spans="1:14" ht="14.4" customHeight="1" x14ac:dyDescent="0.3">
      <c r="A29" s="615" t="s">
        <v>479</v>
      </c>
      <c r="B29" s="616" t="s">
        <v>2514</v>
      </c>
      <c r="C29" s="617" t="s">
        <v>484</v>
      </c>
      <c r="D29" s="618" t="s">
        <v>2515</v>
      </c>
      <c r="E29" s="617" t="s">
        <v>489</v>
      </c>
      <c r="F29" s="618" t="s">
        <v>2516</v>
      </c>
      <c r="G29" s="617" t="s">
        <v>551</v>
      </c>
      <c r="H29" s="617" t="s">
        <v>570</v>
      </c>
      <c r="I29" s="617" t="s">
        <v>571</v>
      </c>
      <c r="J29" s="617" t="s">
        <v>572</v>
      </c>
      <c r="K29" s="617" t="s">
        <v>573</v>
      </c>
      <c r="L29" s="619">
        <v>87.030030804840621</v>
      </c>
      <c r="M29" s="619">
        <v>24</v>
      </c>
      <c r="N29" s="620">
        <v>2088.7207393161748</v>
      </c>
    </row>
    <row r="30" spans="1:14" ht="14.4" customHeight="1" x14ac:dyDescent="0.3">
      <c r="A30" s="615" t="s">
        <v>479</v>
      </c>
      <c r="B30" s="616" t="s">
        <v>2514</v>
      </c>
      <c r="C30" s="617" t="s">
        <v>484</v>
      </c>
      <c r="D30" s="618" t="s">
        <v>2515</v>
      </c>
      <c r="E30" s="617" t="s">
        <v>489</v>
      </c>
      <c r="F30" s="618" t="s">
        <v>2516</v>
      </c>
      <c r="G30" s="617" t="s">
        <v>551</v>
      </c>
      <c r="H30" s="617" t="s">
        <v>574</v>
      </c>
      <c r="I30" s="617" t="s">
        <v>575</v>
      </c>
      <c r="J30" s="617" t="s">
        <v>576</v>
      </c>
      <c r="K30" s="617" t="s">
        <v>577</v>
      </c>
      <c r="L30" s="619">
        <v>96.820047657371404</v>
      </c>
      <c r="M30" s="619">
        <v>531</v>
      </c>
      <c r="N30" s="620">
        <v>51411.445306064219</v>
      </c>
    </row>
    <row r="31" spans="1:14" ht="14.4" customHeight="1" x14ac:dyDescent="0.3">
      <c r="A31" s="615" t="s">
        <v>479</v>
      </c>
      <c r="B31" s="616" t="s">
        <v>2514</v>
      </c>
      <c r="C31" s="617" t="s">
        <v>484</v>
      </c>
      <c r="D31" s="618" t="s">
        <v>2515</v>
      </c>
      <c r="E31" s="617" t="s">
        <v>489</v>
      </c>
      <c r="F31" s="618" t="s">
        <v>2516</v>
      </c>
      <c r="G31" s="617" t="s">
        <v>551</v>
      </c>
      <c r="H31" s="617" t="s">
        <v>578</v>
      </c>
      <c r="I31" s="617" t="s">
        <v>579</v>
      </c>
      <c r="J31" s="617" t="s">
        <v>576</v>
      </c>
      <c r="K31" s="617" t="s">
        <v>580</v>
      </c>
      <c r="L31" s="619">
        <v>100.7600148090757</v>
      </c>
      <c r="M31" s="619">
        <v>45</v>
      </c>
      <c r="N31" s="620">
        <v>4534.2006664084065</v>
      </c>
    </row>
    <row r="32" spans="1:14" ht="14.4" customHeight="1" x14ac:dyDescent="0.3">
      <c r="A32" s="615" t="s">
        <v>479</v>
      </c>
      <c r="B32" s="616" t="s">
        <v>2514</v>
      </c>
      <c r="C32" s="617" t="s">
        <v>484</v>
      </c>
      <c r="D32" s="618" t="s">
        <v>2515</v>
      </c>
      <c r="E32" s="617" t="s">
        <v>489</v>
      </c>
      <c r="F32" s="618" t="s">
        <v>2516</v>
      </c>
      <c r="G32" s="617" t="s">
        <v>551</v>
      </c>
      <c r="H32" s="617" t="s">
        <v>581</v>
      </c>
      <c r="I32" s="617" t="s">
        <v>582</v>
      </c>
      <c r="J32" s="617" t="s">
        <v>583</v>
      </c>
      <c r="K32" s="617" t="s">
        <v>584</v>
      </c>
      <c r="L32" s="619">
        <v>168.11500843954602</v>
      </c>
      <c r="M32" s="619">
        <v>19</v>
      </c>
      <c r="N32" s="620">
        <v>3194.1851603513742</v>
      </c>
    </row>
    <row r="33" spans="1:14" ht="14.4" customHeight="1" x14ac:dyDescent="0.3">
      <c r="A33" s="615" t="s">
        <v>479</v>
      </c>
      <c r="B33" s="616" t="s">
        <v>2514</v>
      </c>
      <c r="C33" s="617" t="s">
        <v>484</v>
      </c>
      <c r="D33" s="618" t="s">
        <v>2515</v>
      </c>
      <c r="E33" s="617" t="s">
        <v>489</v>
      </c>
      <c r="F33" s="618" t="s">
        <v>2516</v>
      </c>
      <c r="G33" s="617" t="s">
        <v>551</v>
      </c>
      <c r="H33" s="617" t="s">
        <v>585</v>
      </c>
      <c r="I33" s="617" t="s">
        <v>586</v>
      </c>
      <c r="J33" s="617" t="s">
        <v>587</v>
      </c>
      <c r="K33" s="617" t="s">
        <v>588</v>
      </c>
      <c r="L33" s="619">
        <v>64.539971435036563</v>
      </c>
      <c r="M33" s="619">
        <v>380</v>
      </c>
      <c r="N33" s="620">
        <v>24525.189145313892</v>
      </c>
    </row>
    <row r="34" spans="1:14" ht="14.4" customHeight="1" x14ac:dyDescent="0.3">
      <c r="A34" s="615" t="s">
        <v>479</v>
      </c>
      <c r="B34" s="616" t="s">
        <v>2514</v>
      </c>
      <c r="C34" s="617" t="s">
        <v>484</v>
      </c>
      <c r="D34" s="618" t="s">
        <v>2515</v>
      </c>
      <c r="E34" s="617" t="s">
        <v>489</v>
      </c>
      <c r="F34" s="618" t="s">
        <v>2516</v>
      </c>
      <c r="G34" s="617" t="s">
        <v>551</v>
      </c>
      <c r="H34" s="617" t="s">
        <v>589</v>
      </c>
      <c r="I34" s="617" t="s">
        <v>590</v>
      </c>
      <c r="J34" s="617" t="s">
        <v>591</v>
      </c>
      <c r="K34" s="617" t="s">
        <v>592</v>
      </c>
      <c r="L34" s="619">
        <v>43.62</v>
      </c>
      <c r="M34" s="619">
        <v>3</v>
      </c>
      <c r="N34" s="620">
        <v>130.85999999999999</v>
      </c>
    </row>
    <row r="35" spans="1:14" ht="14.4" customHeight="1" x14ac:dyDescent="0.3">
      <c r="A35" s="615" t="s">
        <v>479</v>
      </c>
      <c r="B35" s="616" t="s">
        <v>2514</v>
      </c>
      <c r="C35" s="617" t="s">
        <v>484</v>
      </c>
      <c r="D35" s="618" t="s">
        <v>2515</v>
      </c>
      <c r="E35" s="617" t="s">
        <v>489</v>
      </c>
      <c r="F35" s="618" t="s">
        <v>2516</v>
      </c>
      <c r="G35" s="617" t="s">
        <v>551</v>
      </c>
      <c r="H35" s="617" t="s">
        <v>593</v>
      </c>
      <c r="I35" s="617" t="s">
        <v>594</v>
      </c>
      <c r="J35" s="617" t="s">
        <v>595</v>
      </c>
      <c r="K35" s="617" t="s">
        <v>596</v>
      </c>
      <c r="L35" s="619">
        <v>75.860415171417529</v>
      </c>
      <c r="M35" s="619">
        <v>78</v>
      </c>
      <c r="N35" s="620">
        <v>5917.1123833705669</v>
      </c>
    </row>
    <row r="36" spans="1:14" ht="14.4" customHeight="1" x14ac:dyDescent="0.3">
      <c r="A36" s="615" t="s">
        <v>479</v>
      </c>
      <c r="B36" s="616" t="s">
        <v>2514</v>
      </c>
      <c r="C36" s="617" t="s">
        <v>484</v>
      </c>
      <c r="D36" s="618" t="s">
        <v>2515</v>
      </c>
      <c r="E36" s="617" t="s">
        <v>489</v>
      </c>
      <c r="F36" s="618" t="s">
        <v>2516</v>
      </c>
      <c r="G36" s="617" t="s">
        <v>551</v>
      </c>
      <c r="H36" s="617" t="s">
        <v>597</v>
      </c>
      <c r="I36" s="617" t="s">
        <v>598</v>
      </c>
      <c r="J36" s="617" t="s">
        <v>599</v>
      </c>
      <c r="K36" s="617" t="s">
        <v>600</v>
      </c>
      <c r="L36" s="619">
        <v>86.123000000000005</v>
      </c>
      <c r="M36" s="619">
        <v>20</v>
      </c>
      <c r="N36" s="620">
        <v>1722.46</v>
      </c>
    </row>
    <row r="37" spans="1:14" ht="14.4" customHeight="1" x14ac:dyDescent="0.3">
      <c r="A37" s="615" t="s">
        <v>479</v>
      </c>
      <c r="B37" s="616" t="s">
        <v>2514</v>
      </c>
      <c r="C37" s="617" t="s">
        <v>484</v>
      </c>
      <c r="D37" s="618" t="s">
        <v>2515</v>
      </c>
      <c r="E37" s="617" t="s">
        <v>489</v>
      </c>
      <c r="F37" s="618" t="s">
        <v>2516</v>
      </c>
      <c r="G37" s="617" t="s">
        <v>551</v>
      </c>
      <c r="H37" s="617" t="s">
        <v>601</v>
      </c>
      <c r="I37" s="617" t="s">
        <v>602</v>
      </c>
      <c r="J37" s="617" t="s">
        <v>603</v>
      </c>
      <c r="K37" s="617" t="s">
        <v>604</v>
      </c>
      <c r="L37" s="619">
        <v>65.737949537576995</v>
      </c>
      <c r="M37" s="619">
        <v>70</v>
      </c>
      <c r="N37" s="620">
        <v>4601.6564676303897</v>
      </c>
    </row>
    <row r="38" spans="1:14" ht="14.4" customHeight="1" x14ac:dyDescent="0.3">
      <c r="A38" s="615" t="s">
        <v>479</v>
      </c>
      <c r="B38" s="616" t="s">
        <v>2514</v>
      </c>
      <c r="C38" s="617" t="s">
        <v>484</v>
      </c>
      <c r="D38" s="618" t="s">
        <v>2515</v>
      </c>
      <c r="E38" s="617" t="s">
        <v>489</v>
      </c>
      <c r="F38" s="618" t="s">
        <v>2516</v>
      </c>
      <c r="G38" s="617" t="s">
        <v>551</v>
      </c>
      <c r="H38" s="617" t="s">
        <v>605</v>
      </c>
      <c r="I38" s="617" t="s">
        <v>606</v>
      </c>
      <c r="J38" s="617" t="s">
        <v>607</v>
      </c>
      <c r="K38" s="617" t="s">
        <v>600</v>
      </c>
      <c r="L38" s="619">
        <v>30.20000000000001</v>
      </c>
      <c r="M38" s="619">
        <v>10</v>
      </c>
      <c r="N38" s="620">
        <v>302.00000000000011</v>
      </c>
    </row>
    <row r="39" spans="1:14" ht="14.4" customHeight="1" x14ac:dyDescent="0.3">
      <c r="A39" s="615" t="s">
        <v>479</v>
      </c>
      <c r="B39" s="616" t="s">
        <v>2514</v>
      </c>
      <c r="C39" s="617" t="s">
        <v>484</v>
      </c>
      <c r="D39" s="618" t="s">
        <v>2515</v>
      </c>
      <c r="E39" s="617" t="s">
        <v>489</v>
      </c>
      <c r="F39" s="618" t="s">
        <v>2516</v>
      </c>
      <c r="G39" s="617" t="s">
        <v>551</v>
      </c>
      <c r="H39" s="617" t="s">
        <v>608</v>
      </c>
      <c r="I39" s="617" t="s">
        <v>609</v>
      </c>
      <c r="J39" s="617" t="s">
        <v>610</v>
      </c>
      <c r="K39" s="617" t="s">
        <v>611</v>
      </c>
      <c r="L39" s="619">
        <v>79.520205979040696</v>
      </c>
      <c r="M39" s="619">
        <v>80</v>
      </c>
      <c r="N39" s="620">
        <v>6361.6164783232562</v>
      </c>
    </row>
    <row r="40" spans="1:14" ht="14.4" customHeight="1" x14ac:dyDescent="0.3">
      <c r="A40" s="615" t="s">
        <v>479</v>
      </c>
      <c r="B40" s="616" t="s">
        <v>2514</v>
      </c>
      <c r="C40" s="617" t="s">
        <v>484</v>
      </c>
      <c r="D40" s="618" t="s">
        <v>2515</v>
      </c>
      <c r="E40" s="617" t="s">
        <v>489</v>
      </c>
      <c r="F40" s="618" t="s">
        <v>2516</v>
      </c>
      <c r="G40" s="617" t="s">
        <v>551</v>
      </c>
      <c r="H40" s="617" t="s">
        <v>612</v>
      </c>
      <c r="I40" s="617" t="s">
        <v>613</v>
      </c>
      <c r="J40" s="617" t="s">
        <v>614</v>
      </c>
      <c r="K40" s="617" t="s">
        <v>615</v>
      </c>
      <c r="L40" s="619">
        <v>135.52000000000001</v>
      </c>
      <c r="M40" s="619">
        <v>1</v>
      </c>
      <c r="N40" s="620">
        <v>135.52000000000001</v>
      </c>
    </row>
    <row r="41" spans="1:14" ht="14.4" customHeight="1" x14ac:dyDescent="0.3">
      <c r="A41" s="615" t="s">
        <v>479</v>
      </c>
      <c r="B41" s="616" t="s">
        <v>2514</v>
      </c>
      <c r="C41" s="617" t="s">
        <v>484</v>
      </c>
      <c r="D41" s="618" t="s">
        <v>2515</v>
      </c>
      <c r="E41" s="617" t="s">
        <v>489</v>
      </c>
      <c r="F41" s="618" t="s">
        <v>2516</v>
      </c>
      <c r="G41" s="617" t="s">
        <v>551</v>
      </c>
      <c r="H41" s="617" t="s">
        <v>616</v>
      </c>
      <c r="I41" s="617" t="s">
        <v>617</v>
      </c>
      <c r="J41" s="617" t="s">
        <v>618</v>
      </c>
      <c r="K41" s="617" t="s">
        <v>619</v>
      </c>
      <c r="L41" s="619">
        <v>27.752732427966365</v>
      </c>
      <c r="M41" s="619">
        <v>971</v>
      </c>
      <c r="N41" s="620">
        <v>26947.903187555341</v>
      </c>
    </row>
    <row r="42" spans="1:14" ht="14.4" customHeight="1" x14ac:dyDescent="0.3">
      <c r="A42" s="615" t="s">
        <v>479</v>
      </c>
      <c r="B42" s="616" t="s">
        <v>2514</v>
      </c>
      <c r="C42" s="617" t="s">
        <v>484</v>
      </c>
      <c r="D42" s="618" t="s">
        <v>2515</v>
      </c>
      <c r="E42" s="617" t="s">
        <v>489</v>
      </c>
      <c r="F42" s="618" t="s">
        <v>2516</v>
      </c>
      <c r="G42" s="617" t="s">
        <v>551</v>
      </c>
      <c r="H42" s="617" t="s">
        <v>620</v>
      </c>
      <c r="I42" s="617" t="s">
        <v>621</v>
      </c>
      <c r="J42" s="617" t="s">
        <v>622</v>
      </c>
      <c r="K42" s="617" t="s">
        <v>623</v>
      </c>
      <c r="L42" s="619">
        <v>93.620000000000033</v>
      </c>
      <c r="M42" s="619">
        <v>1</v>
      </c>
      <c r="N42" s="620">
        <v>93.620000000000033</v>
      </c>
    </row>
    <row r="43" spans="1:14" ht="14.4" customHeight="1" x14ac:dyDescent="0.3">
      <c r="A43" s="615" t="s">
        <v>479</v>
      </c>
      <c r="B43" s="616" t="s">
        <v>2514</v>
      </c>
      <c r="C43" s="617" t="s">
        <v>484</v>
      </c>
      <c r="D43" s="618" t="s">
        <v>2515</v>
      </c>
      <c r="E43" s="617" t="s">
        <v>489</v>
      </c>
      <c r="F43" s="618" t="s">
        <v>2516</v>
      </c>
      <c r="G43" s="617" t="s">
        <v>551</v>
      </c>
      <c r="H43" s="617" t="s">
        <v>624</v>
      </c>
      <c r="I43" s="617" t="s">
        <v>625</v>
      </c>
      <c r="J43" s="617" t="s">
        <v>626</v>
      </c>
      <c r="K43" s="617" t="s">
        <v>627</v>
      </c>
      <c r="L43" s="619">
        <v>77.609992046104608</v>
      </c>
      <c r="M43" s="619">
        <v>7</v>
      </c>
      <c r="N43" s="620">
        <v>543.26994432273227</v>
      </c>
    </row>
    <row r="44" spans="1:14" ht="14.4" customHeight="1" x14ac:dyDescent="0.3">
      <c r="A44" s="615" t="s">
        <v>479</v>
      </c>
      <c r="B44" s="616" t="s">
        <v>2514</v>
      </c>
      <c r="C44" s="617" t="s">
        <v>484</v>
      </c>
      <c r="D44" s="618" t="s">
        <v>2515</v>
      </c>
      <c r="E44" s="617" t="s">
        <v>489</v>
      </c>
      <c r="F44" s="618" t="s">
        <v>2516</v>
      </c>
      <c r="G44" s="617" t="s">
        <v>551</v>
      </c>
      <c r="H44" s="617" t="s">
        <v>628</v>
      </c>
      <c r="I44" s="617" t="s">
        <v>629</v>
      </c>
      <c r="J44" s="617" t="s">
        <v>630</v>
      </c>
      <c r="K44" s="617" t="s">
        <v>631</v>
      </c>
      <c r="L44" s="619">
        <v>59.390000000000029</v>
      </c>
      <c r="M44" s="619">
        <v>1</v>
      </c>
      <c r="N44" s="620">
        <v>59.390000000000029</v>
      </c>
    </row>
    <row r="45" spans="1:14" ht="14.4" customHeight="1" x14ac:dyDescent="0.3">
      <c r="A45" s="615" t="s">
        <v>479</v>
      </c>
      <c r="B45" s="616" t="s">
        <v>2514</v>
      </c>
      <c r="C45" s="617" t="s">
        <v>484</v>
      </c>
      <c r="D45" s="618" t="s">
        <v>2515</v>
      </c>
      <c r="E45" s="617" t="s">
        <v>489</v>
      </c>
      <c r="F45" s="618" t="s">
        <v>2516</v>
      </c>
      <c r="G45" s="617" t="s">
        <v>551</v>
      </c>
      <c r="H45" s="617" t="s">
        <v>632</v>
      </c>
      <c r="I45" s="617" t="s">
        <v>633</v>
      </c>
      <c r="J45" s="617" t="s">
        <v>634</v>
      </c>
      <c r="K45" s="617" t="s">
        <v>635</v>
      </c>
      <c r="L45" s="619">
        <v>55.970400166099168</v>
      </c>
      <c r="M45" s="619">
        <v>50</v>
      </c>
      <c r="N45" s="620">
        <v>2798.5200083049585</v>
      </c>
    </row>
    <row r="46" spans="1:14" ht="14.4" customHeight="1" x14ac:dyDescent="0.3">
      <c r="A46" s="615" t="s">
        <v>479</v>
      </c>
      <c r="B46" s="616" t="s">
        <v>2514</v>
      </c>
      <c r="C46" s="617" t="s">
        <v>484</v>
      </c>
      <c r="D46" s="618" t="s">
        <v>2515</v>
      </c>
      <c r="E46" s="617" t="s">
        <v>489</v>
      </c>
      <c r="F46" s="618" t="s">
        <v>2516</v>
      </c>
      <c r="G46" s="617" t="s">
        <v>551</v>
      </c>
      <c r="H46" s="617" t="s">
        <v>636</v>
      </c>
      <c r="I46" s="617" t="s">
        <v>637</v>
      </c>
      <c r="J46" s="617" t="s">
        <v>638</v>
      </c>
      <c r="K46" s="617" t="s">
        <v>639</v>
      </c>
      <c r="L46" s="619">
        <v>164.48</v>
      </c>
      <c r="M46" s="619">
        <v>2</v>
      </c>
      <c r="N46" s="620">
        <v>328.96</v>
      </c>
    </row>
    <row r="47" spans="1:14" ht="14.4" customHeight="1" x14ac:dyDescent="0.3">
      <c r="A47" s="615" t="s">
        <v>479</v>
      </c>
      <c r="B47" s="616" t="s">
        <v>2514</v>
      </c>
      <c r="C47" s="617" t="s">
        <v>484</v>
      </c>
      <c r="D47" s="618" t="s">
        <v>2515</v>
      </c>
      <c r="E47" s="617" t="s">
        <v>489</v>
      </c>
      <c r="F47" s="618" t="s">
        <v>2516</v>
      </c>
      <c r="G47" s="617" t="s">
        <v>551</v>
      </c>
      <c r="H47" s="617" t="s">
        <v>640</v>
      </c>
      <c r="I47" s="617" t="s">
        <v>641</v>
      </c>
      <c r="J47" s="617" t="s">
        <v>642</v>
      </c>
      <c r="K47" s="617" t="s">
        <v>534</v>
      </c>
      <c r="L47" s="619">
        <v>35.570001740967371</v>
      </c>
      <c r="M47" s="619">
        <v>3</v>
      </c>
      <c r="N47" s="620">
        <v>106.71000522290211</v>
      </c>
    </row>
    <row r="48" spans="1:14" ht="14.4" customHeight="1" x14ac:dyDescent="0.3">
      <c r="A48" s="615" t="s">
        <v>479</v>
      </c>
      <c r="B48" s="616" t="s">
        <v>2514</v>
      </c>
      <c r="C48" s="617" t="s">
        <v>484</v>
      </c>
      <c r="D48" s="618" t="s">
        <v>2515</v>
      </c>
      <c r="E48" s="617" t="s">
        <v>489</v>
      </c>
      <c r="F48" s="618" t="s">
        <v>2516</v>
      </c>
      <c r="G48" s="617" t="s">
        <v>551</v>
      </c>
      <c r="H48" s="617" t="s">
        <v>643</v>
      </c>
      <c r="I48" s="617" t="s">
        <v>644</v>
      </c>
      <c r="J48" s="617" t="s">
        <v>645</v>
      </c>
      <c r="K48" s="617" t="s">
        <v>600</v>
      </c>
      <c r="L48" s="619">
        <v>66.216899050240485</v>
      </c>
      <c r="M48" s="619">
        <v>58</v>
      </c>
      <c r="N48" s="620">
        <v>3840.5801449139481</v>
      </c>
    </row>
    <row r="49" spans="1:14" ht="14.4" customHeight="1" x14ac:dyDescent="0.3">
      <c r="A49" s="615" t="s">
        <v>479</v>
      </c>
      <c r="B49" s="616" t="s">
        <v>2514</v>
      </c>
      <c r="C49" s="617" t="s">
        <v>484</v>
      </c>
      <c r="D49" s="618" t="s">
        <v>2515</v>
      </c>
      <c r="E49" s="617" t="s">
        <v>489</v>
      </c>
      <c r="F49" s="618" t="s">
        <v>2516</v>
      </c>
      <c r="G49" s="617" t="s">
        <v>551</v>
      </c>
      <c r="H49" s="617" t="s">
        <v>646</v>
      </c>
      <c r="I49" s="617" t="s">
        <v>647</v>
      </c>
      <c r="J49" s="617" t="s">
        <v>648</v>
      </c>
      <c r="K49" s="617" t="s">
        <v>649</v>
      </c>
      <c r="L49" s="619">
        <v>58.319997479541456</v>
      </c>
      <c r="M49" s="619">
        <v>33</v>
      </c>
      <c r="N49" s="620">
        <v>1924.559916824868</v>
      </c>
    </row>
    <row r="50" spans="1:14" ht="14.4" customHeight="1" x14ac:dyDescent="0.3">
      <c r="A50" s="615" t="s">
        <v>479</v>
      </c>
      <c r="B50" s="616" t="s">
        <v>2514</v>
      </c>
      <c r="C50" s="617" t="s">
        <v>484</v>
      </c>
      <c r="D50" s="618" t="s">
        <v>2515</v>
      </c>
      <c r="E50" s="617" t="s">
        <v>489</v>
      </c>
      <c r="F50" s="618" t="s">
        <v>2516</v>
      </c>
      <c r="G50" s="617" t="s">
        <v>551</v>
      </c>
      <c r="H50" s="617" t="s">
        <v>650</v>
      </c>
      <c r="I50" s="617" t="s">
        <v>651</v>
      </c>
      <c r="J50" s="617" t="s">
        <v>652</v>
      </c>
      <c r="K50" s="617" t="s">
        <v>653</v>
      </c>
      <c r="L50" s="619">
        <v>26.639999999999997</v>
      </c>
      <c r="M50" s="619">
        <v>5</v>
      </c>
      <c r="N50" s="620">
        <v>133.19999999999999</v>
      </c>
    </row>
    <row r="51" spans="1:14" ht="14.4" customHeight="1" x14ac:dyDescent="0.3">
      <c r="A51" s="615" t="s">
        <v>479</v>
      </c>
      <c r="B51" s="616" t="s">
        <v>2514</v>
      </c>
      <c r="C51" s="617" t="s">
        <v>484</v>
      </c>
      <c r="D51" s="618" t="s">
        <v>2515</v>
      </c>
      <c r="E51" s="617" t="s">
        <v>489</v>
      </c>
      <c r="F51" s="618" t="s">
        <v>2516</v>
      </c>
      <c r="G51" s="617" t="s">
        <v>551</v>
      </c>
      <c r="H51" s="617" t="s">
        <v>654</v>
      </c>
      <c r="I51" s="617" t="s">
        <v>655</v>
      </c>
      <c r="J51" s="617" t="s">
        <v>656</v>
      </c>
      <c r="K51" s="617" t="s">
        <v>657</v>
      </c>
      <c r="L51" s="619">
        <v>58.106690956236577</v>
      </c>
      <c r="M51" s="619">
        <v>370</v>
      </c>
      <c r="N51" s="620">
        <v>21499.475653807534</v>
      </c>
    </row>
    <row r="52" spans="1:14" ht="14.4" customHeight="1" x14ac:dyDescent="0.3">
      <c r="A52" s="615" t="s">
        <v>479</v>
      </c>
      <c r="B52" s="616" t="s">
        <v>2514</v>
      </c>
      <c r="C52" s="617" t="s">
        <v>484</v>
      </c>
      <c r="D52" s="618" t="s">
        <v>2515</v>
      </c>
      <c r="E52" s="617" t="s">
        <v>489</v>
      </c>
      <c r="F52" s="618" t="s">
        <v>2516</v>
      </c>
      <c r="G52" s="617" t="s">
        <v>551</v>
      </c>
      <c r="H52" s="617" t="s">
        <v>658</v>
      </c>
      <c r="I52" s="617" t="s">
        <v>659</v>
      </c>
      <c r="J52" s="617" t="s">
        <v>660</v>
      </c>
      <c r="K52" s="617" t="s">
        <v>661</v>
      </c>
      <c r="L52" s="619">
        <v>126.85</v>
      </c>
      <c r="M52" s="619">
        <v>4</v>
      </c>
      <c r="N52" s="620">
        <v>507.4</v>
      </c>
    </row>
    <row r="53" spans="1:14" ht="14.4" customHeight="1" x14ac:dyDescent="0.3">
      <c r="A53" s="615" t="s">
        <v>479</v>
      </c>
      <c r="B53" s="616" t="s">
        <v>2514</v>
      </c>
      <c r="C53" s="617" t="s">
        <v>484</v>
      </c>
      <c r="D53" s="618" t="s">
        <v>2515</v>
      </c>
      <c r="E53" s="617" t="s">
        <v>489</v>
      </c>
      <c r="F53" s="618" t="s">
        <v>2516</v>
      </c>
      <c r="G53" s="617" t="s">
        <v>551</v>
      </c>
      <c r="H53" s="617" t="s">
        <v>662</v>
      </c>
      <c r="I53" s="617" t="s">
        <v>663</v>
      </c>
      <c r="J53" s="617" t="s">
        <v>664</v>
      </c>
      <c r="K53" s="617" t="s">
        <v>665</v>
      </c>
      <c r="L53" s="619">
        <v>66.474980093019866</v>
      </c>
      <c r="M53" s="619">
        <v>80</v>
      </c>
      <c r="N53" s="620">
        <v>5317.9984074415888</v>
      </c>
    </row>
    <row r="54" spans="1:14" ht="14.4" customHeight="1" x14ac:dyDescent="0.3">
      <c r="A54" s="615" t="s">
        <v>479</v>
      </c>
      <c r="B54" s="616" t="s">
        <v>2514</v>
      </c>
      <c r="C54" s="617" t="s">
        <v>484</v>
      </c>
      <c r="D54" s="618" t="s">
        <v>2515</v>
      </c>
      <c r="E54" s="617" t="s">
        <v>489</v>
      </c>
      <c r="F54" s="618" t="s">
        <v>2516</v>
      </c>
      <c r="G54" s="617" t="s">
        <v>551</v>
      </c>
      <c r="H54" s="617" t="s">
        <v>666</v>
      </c>
      <c r="I54" s="617" t="s">
        <v>667</v>
      </c>
      <c r="J54" s="617" t="s">
        <v>668</v>
      </c>
      <c r="K54" s="617" t="s">
        <v>669</v>
      </c>
      <c r="L54" s="619">
        <v>90.38</v>
      </c>
      <c r="M54" s="619">
        <v>1</v>
      </c>
      <c r="N54" s="620">
        <v>90.38</v>
      </c>
    </row>
    <row r="55" spans="1:14" ht="14.4" customHeight="1" x14ac:dyDescent="0.3">
      <c r="A55" s="615" t="s">
        <v>479</v>
      </c>
      <c r="B55" s="616" t="s">
        <v>2514</v>
      </c>
      <c r="C55" s="617" t="s">
        <v>484</v>
      </c>
      <c r="D55" s="618" t="s">
        <v>2515</v>
      </c>
      <c r="E55" s="617" t="s">
        <v>489</v>
      </c>
      <c r="F55" s="618" t="s">
        <v>2516</v>
      </c>
      <c r="G55" s="617" t="s">
        <v>551</v>
      </c>
      <c r="H55" s="617" t="s">
        <v>670</v>
      </c>
      <c r="I55" s="617" t="s">
        <v>671</v>
      </c>
      <c r="J55" s="617" t="s">
        <v>672</v>
      </c>
      <c r="K55" s="617" t="s">
        <v>673</v>
      </c>
      <c r="L55" s="619">
        <v>239.79999999999998</v>
      </c>
      <c r="M55" s="619">
        <v>26</v>
      </c>
      <c r="N55" s="620">
        <v>6234.7999999999993</v>
      </c>
    </row>
    <row r="56" spans="1:14" ht="14.4" customHeight="1" x14ac:dyDescent="0.3">
      <c r="A56" s="615" t="s">
        <v>479</v>
      </c>
      <c r="B56" s="616" t="s">
        <v>2514</v>
      </c>
      <c r="C56" s="617" t="s">
        <v>484</v>
      </c>
      <c r="D56" s="618" t="s">
        <v>2515</v>
      </c>
      <c r="E56" s="617" t="s">
        <v>489</v>
      </c>
      <c r="F56" s="618" t="s">
        <v>2516</v>
      </c>
      <c r="G56" s="617" t="s">
        <v>551</v>
      </c>
      <c r="H56" s="617" t="s">
        <v>674</v>
      </c>
      <c r="I56" s="617" t="s">
        <v>675</v>
      </c>
      <c r="J56" s="617" t="s">
        <v>676</v>
      </c>
      <c r="K56" s="617" t="s">
        <v>673</v>
      </c>
      <c r="L56" s="619">
        <v>324.91770700636965</v>
      </c>
      <c r="M56" s="619">
        <v>157</v>
      </c>
      <c r="N56" s="620">
        <v>51012.080000000038</v>
      </c>
    </row>
    <row r="57" spans="1:14" ht="14.4" customHeight="1" x14ac:dyDescent="0.3">
      <c r="A57" s="615" t="s">
        <v>479</v>
      </c>
      <c r="B57" s="616" t="s">
        <v>2514</v>
      </c>
      <c r="C57" s="617" t="s">
        <v>484</v>
      </c>
      <c r="D57" s="618" t="s">
        <v>2515</v>
      </c>
      <c r="E57" s="617" t="s">
        <v>489</v>
      </c>
      <c r="F57" s="618" t="s">
        <v>2516</v>
      </c>
      <c r="G57" s="617" t="s">
        <v>551</v>
      </c>
      <c r="H57" s="617" t="s">
        <v>677</v>
      </c>
      <c r="I57" s="617" t="s">
        <v>678</v>
      </c>
      <c r="J57" s="617" t="s">
        <v>679</v>
      </c>
      <c r="K57" s="617" t="s">
        <v>680</v>
      </c>
      <c r="L57" s="619">
        <v>127.35999999999994</v>
      </c>
      <c r="M57" s="619">
        <v>1</v>
      </c>
      <c r="N57" s="620">
        <v>127.35999999999994</v>
      </c>
    </row>
    <row r="58" spans="1:14" ht="14.4" customHeight="1" x14ac:dyDescent="0.3">
      <c r="A58" s="615" t="s">
        <v>479</v>
      </c>
      <c r="B58" s="616" t="s">
        <v>2514</v>
      </c>
      <c r="C58" s="617" t="s">
        <v>484</v>
      </c>
      <c r="D58" s="618" t="s">
        <v>2515</v>
      </c>
      <c r="E58" s="617" t="s">
        <v>489</v>
      </c>
      <c r="F58" s="618" t="s">
        <v>2516</v>
      </c>
      <c r="G58" s="617" t="s">
        <v>551</v>
      </c>
      <c r="H58" s="617" t="s">
        <v>681</v>
      </c>
      <c r="I58" s="617" t="s">
        <v>682</v>
      </c>
      <c r="J58" s="617" t="s">
        <v>683</v>
      </c>
      <c r="K58" s="617" t="s">
        <v>684</v>
      </c>
      <c r="L58" s="619">
        <v>41.139999999999993</v>
      </c>
      <c r="M58" s="619">
        <v>1</v>
      </c>
      <c r="N58" s="620">
        <v>41.139999999999993</v>
      </c>
    </row>
    <row r="59" spans="1:14" ht="14.4" customHeight="1" x14ac:dyDescent="0.3">
      <c r="A59" s="615" t="s">
        <v>479</v>
      </c>
      <c r="B59" s="616" t="s">
        <v>2514</v>
      </c>
      <c r="C59" s="617" t="s">
        <v>484</v>
      </c>
      <c r="D59" s="618" t="s">
        <v>2515</v>
      </c>
      <c r="E59" s="617" t="s">
        <v>489</v>
      </c>
      <c r="F59" s="618" t="s">
        <v>2516</v>
      </c>
      <c r="G59" s="617" t="s">
        <v>551</v>
      </c>
      <c r="H59" s="617" t="s">
        <v>685</v>
      </c>
      <c r="I59" s="617" t="s">
        <v>686</v>
      </c>
      <c r="J59" s="617" t="s">
        <v>687</v>
      </c>
      <c r="K59" s="617" t="s">
        <v>688</v>
      </c>
      <c r="L59" s="619">
        <v>93.760000000000019</v>
      </c>
      <c r="M59" s="619">
        <v>1</v>
      </c>
      <c r="N59" s="620">
        <v>93.760000000000019</v>
      </c>
    </row>
    <row r="60" spans="1:14" ht="14.4" customHeight="1" x14ac:dyDescent="0.3">
      <c r="A60" s="615" t="s">
        <v>479</v>
      </c>
      <c r="B60" s="616" t="s">
        <v>2514</v>
      </c>
      <c r="C60" s="617" t="s">
        <v>484</v>
      </c>
      <c r="D60" s="618" t="s">
        <v>2515</v>
      </c>
      <c r="E60" s="617" t="s">
        <v>489</v>
      </c>
      <c r="F60" s="618" t="s">
        <v>2516</v>
      </c>
      <c r="G60" s="617" t="s">
        <v>551</v>
      </c>
      <c r="H60" s="617" t="s">
        <v>689</v>
      </c>
      <c r="I60" s="617" t="s">
        <v>690</v>
      </c>
      <c r="J60" s="617" t="s">
        <v>691</v>
      </c>
      <c r="K60" s="617" t="s">
        <v>692</v>
      </c>
      <c r="L60" s="619">
        <v>185.61042193662013</v>
      </c>
      <c r="M60" s="619">
        <v>138</v>
      </c>
      <c r="N60" s="620">
        <v>25614.238227253576</v>
      </c>
    </row>
    <row r="61" spans="1:14" ht="14.4" customHeight="1" x14ac:dyDescent="0.3">
      <c r="A61" s="615" t="s">
        <v>479</v>
      </c>
      <c r="B61" s="616" t="s">
        <v>2514</v>
      </c>
      <c r="C61" s="617" t="s">
        <v>484</v>
      </c>
      <c r="D61" s="618" t="s">
        <v>2515</v>
      </c>
      <c r="E61" s="617" t="s">
        <v>489</v>
      </c>
      <c r="F61" s="618" t="s">
        <v>2516</v>
      </c>
      <c r="G61" s="617" t="s">
        <v>551</v>
      </c>
      <c r="H61" s="617" t="s">
        <v>693</v>
      </c>
      <c r="I61" s="617" t="s">
        <v>693</v>
      </c>
      <c r="J61" s="617" t="s">
        <v>694</v>
      </c>
      <c r="K61" s="617" t="s">
        <v>695</v>
      </c>
      <c r="L61" s="619">
        <v>36.535605388284836</v>
      </c>
      <c r="M61" s="619">
        <v>855</v>
      </c>
      <c r="N61" s="620">
        <v>31237.942606983532</v>
      </c>
    </row>
    <row r="62" spans="1:14" ht="14.4" customHeight="1" x14ac:dyDescent="0.3">
      <c r="A62" s="615" t="s">
        <v>479</v>
      </c>
      <c r="B62" s="616" t="s">
        <v>2514</v>
      </c>
      <c r="C62" s="617" t="s">
        <v>484</v>
      </c>
      <c r="D62" s="618" t="s">
        <v>2515</v>
      </c>
      <c r="E62" s="617" t="s">
        <v>489</v>
      </c>
      <c r="F62" s="618" t="s">
        <v>2516</v>
      </c>
      <c r="G62" s="617" t="s">
        <v>551</v>
      </c>
      <c r="H62" s="617" t="s">
        <v>696</v>
      </c>
      <c r="I62" s="617" t="s">
        <v>697</v>
      </c>
      <c r="J62" s="617" t="s">
        <v>698</v>
      </c>
      <c r="K62" s="617" t="s">
        <v>699</v>
      </c>
      <c r="L62" s="619">
        <v>28.600003291487713</v>
      </c>
      <c r="M62" s="619">
        <v>4</v>
      </c>
      <c r="N62" s="620">
        <v>114.40001316595085</v>
      </c>
    </row>
    <row r="63" spans="1:14" ht="14.4" customHeight="1" x14ac:dyDescent="0.3">
      <c r="A63" s="615" t="s">
        <v>479</v>
      </c>
      <c r="B63" s="616" t="s">
        <v>2514</v>
      </c>
      <c r="C63" s="617" t="s">
        <v>484</v>
      </c>
      <c r="D63" s="618" t="s">
        <v>2515</v>
      </c>
      <c r="E63" s="617" t="s">
        <v>489</v>
      </c>
      <c r="F63" s="618" t="s">
        <v>2516</v>
      </c>
      <c r="G63" s="617" t="s">
        <v>551</v>
      </c>
      <c r="H63" s="617" t="s">
        <v>700</v>
      </c>
      <c r="I63" s="617" t="s">
        <v>701</v>
      </c>
      <c r="J63" s="617" t="s">
        <v>702</v>
      </c>
      <c r="K63" s="617" t="s">
        <v>703</v>
      </c>
      <c r="L63" s="619">
        <v>1128.56</v>
      </c>
      <c r="M63" s="619">
        <v>1</v>
      </c>
      <c r="N63" s="620">
        <v>1128.56</v>
      </c>
    </row>
    <row r="64" spans="1:14" ht="14.4" customHeight="1" x14ac:dyDescent="0.3">
      <c r="A64" s="615" t="s">
        <v>479</v>
      </c>
      <c r="B64" s="616" t="s">
        <v>2514</v>
      </c>
      <c r="C64" s="617" t="s">
        <v>484</v>
      </c>
      <c r="D64" s="618" t="s">
        <v>2515</v>
      </c>
      <c r="E64" s="617" t="s">
        <v>489</v>
      </c>
      <c r="F64" s="618" t="s">
        <v>2516</v>
      </c>
      <c r="G64" s="617" t="s">
        <v>551</v>
      </c>
      <c r="H64" s="617" t="s">
        <v>704</v>
      </c>
      <c r="I64" s="617" t="s">
        <v>705</v>
      </c>
      <c r="J64" s="617" t="s">
        <v>706</v>
      </c>
      <c r="K64" s="617" t="s">
        <v>707</v>
      </c>
      <c r="L64" s="619">
        <v>231.70000000000002</v>
      </c>
      <c r="M64" s="619">
        <v>1</v>
      </c>
      <c r="N64" s="620">
        <v>231.70000000000002</v>
      </c>
    </row>
    <row r="65" spans="1:14" ht="14.4" customHeight="1" x14ac:dyDescent="0.3">
      <c r="A65" s="615" t="s">
        <v>479</v>
      </c>
      <c r="B65" s="616" t="s">
        <v>2514</v>
      </c>
      <c r="C65" s="617" t="s">
        <v>484</v>
      </c>
      <c r="D65" s="618" t="s">
        <v>2515</v>
      </c>
      <c r="E65" s="617" t="s">
        <v>489</v>
      </c>
      <c r="F65" s="618" t="s">
        <v>2516</v>
      </c>
      <c r="G65" s="617" t="s">
        <v>551</v>
      </c>
      <c r="H65" s="617" t="s">
        <v>708</v>
      </c>
      <c r="I65" s="617" t="s">
        <v>709</v>
      </c>
      <c r="J65" s="617" t="s">
        <v>710</v>
      </c>
      <c r="K65" s="617" t="s">
        <v>707</v>
      </c>
      <c r="L65" s="619">
        <v>231.7</v>
      </c>
      <c r="M65" s="619">
        <v>1</v>
      </c>
      <c r="N65" s="620">
        <v>231.7</v>
      </c>
    </row>
    <row r="66" spans="1:14" ht="14.4" customHeight="1" x14ac:dyDescent="0.3">
      <c r="A66" s="615" t="s">
        <v>479</v>
      </c>
      <c r="B66" s="616" t="s">
        <v>2514</v>
      </c>
      <c r="C66" s="617" t="s">
        <v>484</v>
      </c>
      <c r="D66" s="618" t="s">
        <v>2515</v>
      </c>
      <c r="E66" s="617" t="s">
        <v>489</v>
      </c>
      <c r="F66" s="618" t="s">
        <v>2516</v>
      </c>
      <c r="G66" s="617" t="s">
        <v>551</v>
      </c>
      <c r="H66" s="617" t="s">
        <v>711</v>
      </c>
      <c r="I66" s="617" t="s">
        <v>712</v>
      </c>
      <c r="J66" s="617" t="s">
        <v>713</v>
      </c>
      <c r="K66" s="617" t="s">
        <v>714</v>
      </c>
      <c r="L66" s="619">
        <v>73.789845240076247</v>
      </c>
      <c r="M66" s="619">
        <v>5</v>
      </c>
      <c r="N66" s="620">
        <v>368.94922620038125</v>
      </c>
    </row>
    <row r="67" spans="1:14" ht="14.4" customHeight="1" x14ac:dyDescent="0.3">
      <c r="A67" s="615" t="s">
        <v>479</v>
      </c>
      <c r="B67" s="616" t="s">
        <v>2514</v>
      </c>
      <c r="C67" s="617" t="s">
        <v>484</v>
      </c>
      <c r="D67" s="618" t="s">
        <v>2515</v>
      </c>
      <c r="E67" s="617" t="s">
        <v>489</v>
      </c>
      <c r="F67" s="618" t="s">
        <v>2516</v>
      </c>
      <c r="G67" s="617" t="s">
        <v>551</v>
      </c>
      <c r="H67" s="617" t="s">
        <v>715</v>
      </c>
      <c r="I67" s="617" t="s">
        <v>716</v>
      </c>
      <c r="J67" s="617" t="s">
        <v>717</v>
      </c>
      <c r="K67" s="617" t="s">
        <v>718</v>
      </c>
      <c r="L67" s="619">
        <v>48.459999999999994</v>
      </c>
      <c r="M67" s="619">
        <v>2</v>
      </c>
      <c r="N67" s="620">
        <v>96.919999999999987</v>
      </c>
    </row>
    <row r="68" spans="1:14" ht="14.4" customHeight="1" x14ac:dyDescent="0.3">
      <c r="A68" s="615" t="s">
        <v>479</v>
      </c>
      <c r="B68" s="616" t="s">
        <v>2514</v>
      </c>
      <c r="C68" s="617" t="s">
        <v>484</v>
      </c>
      <c r="D68" s="618" t="s">
        <v>2515</v>
      </c>
      <c r="E68" s="617" t="s">
        <v>489</v>
      </c>
      <c r="F68" s="618" t="s">
        <v>2516</v>
      </c>
      <c r="G68" s="617" t="s">
        <v>551</v>
      </c>
      <c r="H68" s="617" t="s">
        <v>719</v>
      </c>
      <c r="I68" s="617" t="s">
        <v>720</v>
      </c>
      <c r="J68" s="617" t="s">
        <v>721</v>
      </c>
      <c r="K68" s="617" t="s">
        <v>722</v>
      </c>
      <c r="L68" s="619">
        <v>44.900248330496218</v>
      </c>
      <c r="M68" s="619">
        <v>2</v>
      </c>
      <c r="N68" s="620">
        <v>89.800496660992437</v>
      </c>
    </row>
    <row r="69" spans="1:14" ht="14.4" customHeight="1" x14ac:dyDescent="0.3">
      <c r="A69" s="615" t="s">
        <v>479</v>
      </c>
      <c r="B69" s="616" t="s">
        <v>2514</v>
      </c>
      <c r="C69" s="617" t="s">
        <v>484</v>
      </c>
      <c r="D69" s="618" t="s">
        <v>2515</v>
      </c>
      <c r="E69" s="617" t="s">
        <v>489</v>
      </c>
      <c r="F69" s="618" t="s">
        <v>2516</v>
      </c>
      <c r="G69" s="617" t="s">
        <v>551</v>
      </c>
      <c r="H69" s="617" t="s">
        <v>723</v>
      </c>
      <c r="I69" s="617" t="s">
        <v>724</v>
      </c>
      <c r="J69" s="617" t="s">
        <v>725</v>
      </c>
      <c r="K69" s="617" t="s">
        <v>726</v>
      </c>
      <c r="L69" s="619">
        <v>89.629999999999981</v>
      </c>
      <c r="M69" s="619">
        <v>1</v>
      </c>
      <c r="N69" s="620">
        <v>89.629999999999981</v>
      </c>
    </row>
    <row r="70" spans="1:14" ht="14.4" customHeight="1" x14ac:dyDescent="0.3">
      <c r="A70" s="615" t="s">
        <v>479</v>
      </c>
      <c r="B70" s="616" t="s">
        <v>2514</v>
      </c>
      <c r="C70" s="617" t="s">
        <v>484</v>
      </c>
      <c r="D70" s="618" t="s">
        <v>2515</v>
      </c>
      <c r="E70" s="617" t="s">
        <v>489</v>
      </c>
      <c r="F70" s="618" t="s">
        <v>2516</v>
      </c>
      <c r="G70" s="617" t="s">
        <v>551</v>
      </c>
      <c r="H70" s="617" t="s">
        <v>727</v>
      </c>
      <c r="I70" s="617" t="s">
        <v>728</v>
      </c>
      <c r="J70" s="617" t="s">
        <v>729</v>
      </c>
      <c r="K70" s="617" t="s">
        <v>730</v>
      </c>
      <c r="L70" s="619">
        <v>99.460000000000022</v>
      </c>
      <c r="M70" s="619">
        <v>1</v>
      </c>
      <c r="N70" s="620">
        <v>99.460000000000022</v>
      </c>
    </row>
    <row r="71" spans="1:14" ht="14.4" customHeight="1" x14ac:dyDescent="0.3">
      <c r="A71" s="615" t="s">
        <v>479</v>
      </c>
      <c r="B71" s="616" t="s">
        <v>2514</v>
      </c>
      <c r="C71" s="617" t="s">
        <v>484</v>
      </c>
      <c r="D71" s="618" t="s">
        <v>2515</v>
      </c>
      <c r="E71" s="617" t="s">
        <v>489</v>
      </c>
      <c r="F71" s="618" t="s">
        <v>2516</v>
      </c>
      <c r="G71" s="617" t="s">
        <v>551</v>
      </c>
      <c r="H71" s="617" t="s">
        <v>731</v>
      </c>
      <c r="I71" s="617" t="s">
        <v>732</v>
      </c>
      <c r="J71" s="617" t="s">
        <v>733</v>
      </c>
      <c r="K71" s="617" t="s">
        <v>734</v>
      </c>
      <c r="L71" s="619">
        <v>63.440109007744283</v>
      </c>
      <c r="M71" s="619">
        <v>1</v>
      </c>
      <c r="N71" s="620">
        <v>63.440109007744283</v>
      </c>
    </row>
    <row r="72" spans="1:14" ht="14.4" customHeight="1" x14ac:dyDescent="0.3">
      <c r="A72" s="615" t="s">
        <v>479</v>
      </c>
      <c r="B72" s="616" t="s">
        <v>2514</v>
      </c>
      <c r="C72" s="617" t="s">
        <v>484</v>
      </c>
      <c r="D72" s="618" t="s">
        <v>2515</v>
      </c>
      <c r="E72" s="617" t="s">
        <v>489</v>
      </c>
      <c r="F72" s="618" t="s">
        <v>2516</v>
      </c>
      <c r="G72" s="617" t="s">
        <v>551</v>
      </c>
      <c r="H72" s="617" t="s">
        <v>735</v>
      </c>
      <c r="I72" s="617" t="s">
        <v>736</v>
      </c>
      <c r="J72" s="617" t="s">
        <v>737</v>
      </c>
      <c r="K72" s="617" t="s">
        <v>738</v>
      </c>
      <c r="L72" s="619">
        <v>55.460000000000015</v>
      </c>
      <c r="M72" s="619">
        <v>1</v>
      </c>
      <c r="N72" s="620">
        <v>55.460000000000015</v>
      </c>
    </row>
    <row r="73" spans="1:14" ht="14.4" customHeight="1" x14ac:dyDescent="0.3">
      <c r="A73" s="615" t="s">
        <v>479</v>
      </c>
      <c r="B73" s="616" t="s">
        <v>2514</v>
      </c>
      <c r="C73" s="617" t="s">
        <v>484</v>
      </c>
      <c r="D73" s="618" t="s">
        <v>2515</v>
      </c>
      <c r="E73" s="617" t="s">
        <v>489</v>
      </c>
      <c r="F73" s="618" t="s">
        <v>2516</v>
      </c>
      <c r="G73" s="617" t="s">
        <v>551</v>
      </c>
      <c r="H73" s="617" t="s">
        <v>739</v>
      </c>
      <c r="I73" s="617" t="s">
        <v>740</v>
      </c>
      <c r="J73" s="617" t="s">
        <v>741</v>
      </c>
      <c r="K73" s="617" t="s">
        <v>742</v>
      </c>
      <c r="L73" s="619">
        <v>299.00049335411131</v>
      </c>
      <c r="M73" s="619">
        <v>5</v>
      </c>
      <c r="N73" s="620">
        <v>1495.0024667705566</v>
      </c>
    </row>
    <row r="74" spans="1:14" ht="14.4" customHeight="1" x14ac:dyDescent="0.3">
      <c r="A74" s="615" t="s">
        <v>479</v>
      </c>
      <c r="B74" s="616" t="s">
        <v>2514</v>
      </c>
      <c r="C74" s="617" t="s">
        <v>484</v>
      </c>
      <c r="D74" s="618" t="s">
        <v>2515</v>
      </c>
      <c r="E74" s="617" t="s">
        <v>489</v>
      </c>
      <c r="F74" s="618" t="s">
        <v>2516</v>
      </c>
      <c r="G74" s="617" t="s">
        <v>551</v>
      </c>
      <c r="H74" s="617" t="s">
        <v>743</v>
      </c>
      <c r="I74" s="617" t="s">
        <v>744</v>
      </c>
      <c r="J74" s="617" t="s">
        <v>656</v>
      </c>
      <c r="K74" s="617" t="s">
        <v>745</v>
      </c>
      <c r="L74" s="619">
        <v>44.590213838413476</v>
      </c>
      <c r="M74" s="619">
        <v>23</v>
      </c>
      <c r="N74" s="620">
        <v>1025.57491828351</v>
      </c>
    </row>
    <row r="75" spans="1:14" ht="14.4" customHeight="1" x14ac:dyDescent="0.3">
      <c r="A75" s="615" t="s">
        <v>479</v>
      </c>
      <c r="B75" s="616" t="s">
        <v>2514</v>
      </c>
      <c r="C75" s="617" t="s">
        <v>484</v>
      </c>
      <c r="D75" s="618" t="s">
        <v>2515</v>
      </c>
      <c r="E75" s="617" t="s">
        <v>489</v>
      </c>
      <c r="F75" s="618" t="s">
        <v>2516</v>
      </c>
      <c r="G75" s="617" t="s">
        <v>551</v>
      </c>
      <c r="H75" s="617" t="s">
        <v>746</v>
      </c>
      <c r="I75" s="617" t="s">
        <v>747</v>
      </c>
      <c r="J75" s="617" t="s">
        <v>748</v>
      </c>
      <c r="K75" s="617" t="s">
        <v>749</v>
      </c>
      <c r="L75" s="619">
        <v>262.86</v>
      </c>
      <c r="M75" s="619">
        <v>1</v>
      </c>
      <c r="N75" s="620">
        <v>262.86</v>
      </c>
    </row>
    <row r="76" spans="1:14" ht="14.4" customHeight="1" x14ac:dyDescent="0.3">
      <c r="A76" s="615" t="s">
        <v>479</v>
      </c>
      <c r="B76" s="616" t="s">
        <v>2514</v>
      </c>
      <c r="C76" s="617" t="s">
        <v>484</v>
      </c>
      <c r="D76" s="618" t="s">
        <v>2515</v>
      </c>
      <c r="E76" s="617" t="s">
        <v>489</v>
      </c>
      <c r="F76" s="618" t="s">
        <v>2516</v>
      </c>
      <c r="G76" s="617" t="s">
        <v>551</v>
      </c>
      <c r="H76" s="617" t="s">
        <v>750</v>
      </c>
      <c r="I76" s="617" t="s">
        <v>751</v>
      </c>
      <c r="J76" s="617" t="s">
        <v>752</v>
      </c>
      <c r="K76" s="617" t="s">
        <v>753</v>
      </c>
      <c r="L76" s="619">
        <v>74.87</v>
      </c>
      <c r="M76" s="619">
        <v>4</v>
      </c>
      <c r="N76" s="620">
        <v>299.48</v>
      </c>
    </row>
    <row r="77" spans="1:14" ht="14.4" customHeight="1" x14ac:dyDescent="0.3">
      <c r="A77" s="615" t="s">
        <v>479</v>
      </c>
      <c r="B77" s="616" t="s">
        <v>2514</v>
      </c>
      <c r="C77" s="617" t="s">
        <v>484</v>
      </c>
      <c r="D77" s="618" t="s">
        <v>2515</v>
      </c>
      <c r="E77" s="617" t="s">
        <v>489</v>
      </c>
      <c r="F77" s="618" t="s">
        <v>2516</v>
      </c>
      <c r="G77" s="617" t="s">
        <v>551</v>
      </c>
      <c r="H77" s="617" t="s">
        <v>754</v>
      </c>
      <c r="I77" s="617" t="s">
        <v>755</v>
      </c>
      <c r="J77" s="617" t="s">
        <v>756</v>
      </c>
      <c r="K77" s="617" t="s">
        <v>757</v>
      </c>
      <c r="L77" s="619">
        <v>88.72</v>
      </c>
      <c r="M77" s="619">
        <v>2</v>
      </c>
      <c r="N77" s="620">
        <v>177.44</v>
      </c>
    </row>
    <row r="78" spans="1:14" ht="14.4" customHeight="1" x14ac:dyDescent="0.3">
      <c r="A78" s="615" t="s">
        <v>479</v>
      </c>
      <c r="B78" s="616" t="s">
        <v>2514</v>
      </c>
      <c r="C78" s="617" t="s">
        <v>484</v>
      </c>
      <c r="D78" s="618" t="s">
        <v>2515</v>
      </c>
      <c r="E78" s="617" t="s">
        <v>489</v>
      </c>
      <c r="F78" s="618" t="s">
        <v>2516</v>
      </c>
      <c r="G78" s="617" t="s">
        <v>551</v>
      </c>
      <c r="H78" s="617" t="s">
        <v>758</v>
      </c>
      <c r="I78" s="617" t="s">
        <v>759</v>
      </c>
      <c r="J78" s="617" t="s">
        <v>760</v>
      </c>
      <c r="K78" s="617" t="s">
        <v>761</v>
      </c>
      <c r="L78" s="619">
        <v>117.40659932778448</v>
      </c>
      <c r="M78" s="619">
        <v>1</v>
      </c>
      <c r="N78" s="620">
        <v>117.40659932778448</v>
      </c>
    </row>
    <row r="79" spans="1:14" ht="14.4" customHeight="1" x14ac:dyDescent="0.3">
      <c r="A79" s="615" t="s">
        <v>479</v>
      </c>
      <c r="B79" s="616" t="s">
        <v>2514</v>
      </c>
      <c r="C79" s="617" t="s">
        <v>484</v>
      </c>
      <c r="D79" s="618" t="s">
        <v>2515</v>
      </c>
      <c r="E79" s="617" t="s">
        <v>489</v>
      </c>
      <c r="F79" s="618" t="s">
        <v>2516</v>
      </c>
      <c r="G79" s="617" t="s">
        <v>551</v>
      </c>
      <c r="H79" s="617" t="s">
        <v>762</v>
      </c>
      <c r="I79" s="617" t="s">
        <v>762</v>
      </c>
      <c r="J79" s="617" t="s">
        <v>763</v>
      </c>
      <c r="K79" s="617" t="s">
        <v>764</v>
      </c>
      <c r="L79" s="619">
        <v>113.32983446897049</v>
      </c>
      <c r="M79" s="619">
        <v>2</v>
      </c>
      <c r="N79" s="620">
        <v>226.65966893794098</v>
      </c>
    </row>
    <row r="80" spans="1:14" ht="14.4" customHeight="1" x14ac:dyDescent="0.3">
      <c r="A80" s="615" t="s">
        <v>479</v>
      </c>
      <c r="B80" s="616" t="s">
        <v>2514</v>
      </c>
      <c r="C80" s="617" t="s">
        <v>484</v>
      </c>
      <c r="D80" s="618" t="s">
        <v>2515</v>
      </c>
      <c r="E80" s="617" t="s">
        <v>489</v>
      </c>
      <c r="F80" s="618" t="s">
        <v>2516</v>
      </c>
      <c r="G80" s="617" t="s">
        <v>551</v>
      </c>
      <c r="H80" s="617" t="s">
        <v>765</v>
      </c>
      <c r="I80" s="617" t="s">
        <v>766</v>
      </c>
      <c r="J80" s="617" t="s">
        <v>767</v>
      </c>
      <c r="K80" s="617" t="s">
        <v>768</v>
      </c>
      <c r="L80" s="619">
        <v>125.43068188020099</v>
      </c>
      <c r="M80" s="619">
        <v>27</v>
      </c>
      <c r="N80" s="620">
        <v>3386.6284107654269</v>
      </c>
    </row>
    <row r="81" spans="1:14" ht="14.4" customHeight="1" x14ac:dyDescent="0.3">
      <c r="A81" s="615" t="s">
        <v>479</v>
      </c>
      <c r="B81" s="616" t="s">
        <v>2514</v>
      </c>
      <c r="C81" s="617" t="s">
        <v>484</v>
      </c>
      <c r="D81" s="618" t="s">
        <v>2515</v>
      </c>
      <c r="E81" s="617" t="s">
        <v>489</v>
      </c>
      <c r="F81" s="618" t="s">
        <v>2516</v>
      </c>
      <c r="G81" s="617" t="s">
        <v>551</v>
      </c>
      <c r="H81" s="617" t="s">
        <v>769</v>
      </c>
      <c r="I81" s="617" t="s">
        <v>770</v>
      </c>
      <c r="J81" s="617" t="s">
        <v>771</v>
      </c>
      <c r="K81" s="617" t="s">
        <v>772</v>
      </c>
      <c r="L81" s="619">
        <v>162.55500000000001</v>
      </c>
      <c r="M81" s="619">
        <v>2</v>
      </c>
      <c r="N81" s="620">
        <v>325.11</v>
      </c>
    </row>
    <row r="82" spans="1:14" ht="14.4" customHeight="1" x14ac:dyDescent="0.3">
      <c r="A82" s="615" t="s">
        <v>479</v>
      </c>
      <c r="B82" s="616" t="s">
        <v>2514</v>
      </c>
      <c r="C82" s="617" t="s">
        <v>484</v>
      </c>
      <c r="D82" s="618" t="s">
        <v>2515</v>
      </c>
      <c r="E82" s="617" t="s">
        <v>489</v>
      </c>
      <c r="F82" s="618" t="s">
        <v>2516</v>
      </c>
      <c r="G82" s="617" t="s">
        <v>551</v>
      </c>
      <c r="H82" s="617" t="s">
        <v>773</v>
      </c>
      <c r="I82" s="617" t="s">
        <v>774</v>
      </c>
      <c r="J82" s="617" t="s">
        <v>775</v>
      </c>
      <c r="K82" s="617" t="s">
        <v>776</v>
      </c>
      <c r="L82" s="619">
        <v>23.509999684363411</v>
      </c>
      <c r="M82" s="619">
        <v>3</v>
      </c>
      <c r="N82" s="620">
        <v>70.529999053090236</v>
      </c>
    </row>
    <row r="83" spans="1:14" ht="14.4" customHeight="1" x14ac:dyDescent="0.3">
      <c r="A83" s="615" t="s">
        <v>479</v>
      </c>
      <c r="B83" s="616" t="s">
        <v>2514</v>
      </c>
      <c r="C83" s="617" t="s">
        <v>484</v>
      </c>
      <c r="D83" s="618" t="s">
        <v>2515</v>
      </c>
      <c r="E83" s="617" t="s">
        <v>489</v>
      </c>
      <c r="F83" s="618" t="s">
        <v>2516</v>
      </c>
      <c r="G83" s="617" t="s">
        <v>551</v>
      </c>
      <c r="H83" s="617" t="s">
        <v>777</v>
      </c>
      <c r="I83" s="617" t="s">
        <v>778</v>
      </c>
      <c r="J83" s="617" t="s">
        <v>779</v>
      </c>
      <c r="K83" s="617" t="s">
        <v>780</v>
      </c>
      <c r="L83" s="619">
        <v>94.739834254674804</v>
      </c>
      <c r="M83" s="619">
        <v>52</v>
      </c>
      <c r="N83" s="620">
        <v>4926.47138124309</v>
      </c>
    </row>
    <row r="84" spans="1:14" ht="14.4" customHeight="1" x14ac:dyDescent="0.3">
      <c r="A84" s="615" t="s">
        <v>479</v>
      </c>
      <c r="B84" s="616" t="s">
        <v>2514</v>
      </c>
      <c r="C84" s="617" t="s">
        <v>484</v>
      </c>
      <c r="D84" s="618" t="s">
        <v>2515</v>
      </c>
      <c r="E84" s="617" t="s">
        <v>489</v>
      </c>
      <c r="F84" s="618" t="s">
        <v>2516</v>
      </c>
      <c r="G84" s="617" t="s">
        <v>551</v>
      </c>
      <c r="H84" s="617" t="s">
        <v>781</v>
      </c>
      <c r="I84" s="617" t="s">
        <v>782</v>
      </c>
      <c r="J84" s="617" t="s">
        <v>783</v>
      </c>
      <c r="K84" s="617" t="s">
        <v>784</v>
      </c>
      <c r="L84" s="619">
        <v>60.495373081624862</v>
      </c>
      <c r="M84" s="619">
        <v>76</v>
      </c>
      <c r="N84" s="620">
        <v>4597.6483542034894</v>
      </c>
    </row>
    <row r="85" spans="1:14" ht="14.4" customHeight="1" x14ac:dyDescent="0.3">
      <c r="A85" s="615" t="s">
        <v>479</v>
      </c>
      <c r="B85" s="616" t="s">
        <v>2514</v>
      </c>
      <c r="C85" s="617" t="s">
        <v>484</v>
      </c>
      <c r="D85" s="618" t="s">
        <v>2515</v>
      </c>
      <c r="E85" s="617" t="s">
        <v>489</v>
      </c>
      <c r="F85" s="618" t="s">
        <v>2516</v>
      </c>
      <c r="G85" s="617" t="s">
        <v>551</v>
      </c>
      <c r="H85" s="617" t="s">
        <v>785</v>
      </c>
      <c r="I85" s="617" t="s">
        <v>785</v>
      </c>
      <c r="J85" s="617" t="s">
        <v>786</v>
      </c>
      <c r="K85" s="617" t="s">
        <v>787</v>
      </c>
      <c r="L85" s="619">
        <v>158.32999999999998</v>
      </c>
      <c r="M85" s="619">
        <v>1</v>
      </c>
      <c r="N85" s="620">
        <v>158.32999999999998</v>
      </c>
    </row>
    <row r="86" spans="1:14" ht="14.4" customHeight="1" x14ac:dyDescent="0.3">
      <c r="A86" s="615" t="s">
        <v>479</v>
      </c>
      <c r="B86" s="616" t="s">
        <v>2514</v>
      </c>
      <c r="C86" s="617" t="s">
        <v>484</v>
      </c>
      <c r="D86" s="618" t="s">
        <v>2515</v>
      </c>
      <c r="E86" s="617" t="s">
        <v>489</v>
      </c>
      <c r="F86" s="618" t="s">
        <v>2516</v>
      </c>
      <c r="G86" s="617" t="s">
        <v>551</v>
      </c>
      <c r="H86" s="617" t="s">
        <v>788</v>
      </c>
      <c r="I86" s="617" t="s">
        <v>789</v>
      </c>
      <c r="J86" s="617" t="s">
        <v>790</v>
      </c>
      <c r="K86" s="617" t="s">
        <v>791</v>
      </c>
      <c r="L86" s="619">
        <v>130.79</v>
      </c>
      <c r="M86" s="619">
        <v>1</v>
      </c>
      <c r="N86" s="620">
        <v>130.79</v>
      </c>
    </row>
    <row r="87" spans="1:14" ht="14.4" customHeight="1" x14ac:dyDescent="0.3">
      <c r="A87" s="615" t="s">
        <v>479</v>
      </c>
      <c r="B87" s="616" t="s">
        <v>2514</v>
      </c>
      <c r="C87" s="617" t="s">
        <v>484</v>
      </c>
      <c r="D87" s="618" t="s">
        <v>2515</v>
      </c>
      <c r="E87" s="617" t="s">
        <v>489</v>
      </c>
      <c r="F87" s="618" t="s">
        <v>2516</v>
      </c>
      <c r="G87" s="617" t="s">
        <v>551</v>
      </c>
      <c r="H87" s="617" t="s">
        <v>792</v>
      </c>
      <c r="I87" s="617" t="s">
        <v>793</v>
      </c>
      <c r="J87" s="617" t="s">
        <v>794</v>
      </c>
      <c r="K87" s="617" t="s">
        <v>795</v>
      </c>
      <c r="L87" s="619">
        <v>112.28000000000007</v>
      </c>
      <c r="M87" s="619">
        <v>1</v>
      </c>
      <c r="N87" s="620">
        <v>112.28000000000007</v>
      </c>
    </row>
    <row r="88" spans="1:14" ht="14.4" customHeight="1" x14ac:dyDescent="0.3">
      <c r="A88" s="615" t="s">
        <v>479</v>
      </c>
      <c r="B88" s="616" t="s">
        <v>2514</v>
      </c>
      <c r="C88" s="617" t="s">
        <v>484</v>
      </c>
      <c r="D88" s="618" t="s">
        <v>2515</v>
      </c>
      <c r="E88" s="617" t="s">
        <v>489</v>
      </c>
      <c r="F88" s="618" t="s">
        <v>2516</v>
      </c>
      <c r="G88" s="617" t="s">
        <v>551</v>
      </c>
      <c r="H88" s="617" t="s">
        <v>796</v>
      </c>
      <c r="I88" s="617" t="s">
        <v>797</v>
      </c>
      <c r="J88" s="617" t="s">
        <v>798</v>
      </c>
      <c r="K88" s="617" t="s">
        <v>799</v>
      </c>
      <c r="L88" s="619">
        <v>70.389776847969046</v>
      </c>
      <c r="M88" s="619">
        <v>4</v>
      </c>
      <c r="N88" s="620">
        <v>281.55910739187618</v>
      </c>
    </row>
    <row r="89" spans="1:14" ht="14.4" customHeight="1" x14ac:dyDescent="0.3">
      <c r="A89" s="615" t="s">
        <v>479</v>
      </c>
      <c r="B89" s="616" t="s">
        <v>2514</v>
      </c>
      <c r="C89" s="617" t="s">
        <v>484</v>
      </c>
      <c r="D89" s="618" t="s">
        <v>2515</v>
      </c>
      <c r="E89" s="617" t="s">
        <v>489</v>
      </c>
      <c r="F89" s="618" t="s">
        <v>2516</v>
      </c>
      <c r="G89" s="617" t="s">
        <v>551</v>
      </c>
      <c r="H89" s="617" t="s">
        <v>800</v>
      </c>
      <c r="I89" s="617" t="s">
        <v>801</v>
      </c>
      <c r="J89" s="617" t="s">
        <v>802</v>
      </c>
      <c r="K89" s="617" t="s">
        <v>803</v>
      </c>
      <c r="L89" s="619">
        <v>162.25999999999993</v>
      </c>
      <c r="M89" s="619">
        <v>1</v>
      </c>
      <c r="N89" s="620">
        <v>162.25999999999993</v>
      </c>
    </row>
    <row r="90" spans="1:14" ht="14.4" customHeight="1" x14ac:dyDescent="0.3">
      <c r="A90" s="615" t="s">
        <v>479</v>
      </c>
      <c r="B90" s="616" t="s">
        <v>2514</v>
      </c>
      <c r="C90" s="617" t="s">
        <v>484</v>
      </c>
      <c r="D90" s="618" t="s">
        <v>2515</v>
      </c>
      <c r="E90" s="617" t="s">
        <v>489</v>
      </c>
      <c r="F90" s="618" t="s">
        <v>2516</v>
      </c>
      <c r="G90" s="617" t="s">
        <v>551</v>
      </c>
      <c r="H90" s="617" t="s">
        <v>804</v>
      </c>
      <c r="I90" s="617" t="s">
        <v>805</v>
      </c>
      <c r="J90" s="617" t="s">
        <v>806</v>
      </c>
      <c r="K90" s="617" t="s">
        <v>807</v>
      </c>
      <c r="L90" s="619">
        <v>126.35999999999999</v>
      </c>
      <c r="M90" s="619">
        <v>1</v>
      </c>
      <c r="N90" s="620">
        <v>126.35999999999999</v>
      </c>
    </row>
    <row r="91" spans="1:14" ht="14.4" customHeight="1" x14ac:dyDescent="0.3">
      <c r="A91" s="615" t="s">
        <v>479</v>
      </c>
      <c r="B91" s="616" t="s">
        <v>2514</v>
      </c>
      <c r="C91" s="617" t="s">
        <v>484</v>
      </c>
      <c r="D91" s="618" t="s">
        <v>2515</v>
      </c>
      <c r="E91" s="617" t="s">
        <v>489</v>
      </c>
      <c r="F91" s="618" t="s">
        <v>2516</v>
      </c>
      <c r="G91" s="617" t="s">
        <v>551</v>
      </c>
      <c r="H91" s="617" t="s">
        <v>808</v>
      </c>
      <c r="I91" s="617" t="s">
        <v>809</v>
      </c>
      <c r="J91" s="617" t="s">
        <v>810</v>
      </c>
      <c r="K91" s="617" t="s">
        <v>811</v>
      </c>
      <c r="L91" s="619">
        <v>125.53987862849286</v>
      </c>
      <c r="M91" s="619">
        <v>38</v>
      </c>
      <c r="N91" s="620">
        <v>4770.5153878827286</v>
      </c>
    </row>
    <row r="92" spans="1:14" ht="14.4" customHeight="1" x14ac:dyDescent="0.3">
      <c r="A92" s="615" t="s">
        <v>479</v>
      </c>
      <c r="B92" s="616" t="s">
        <v>2514</v>
      </c>
      <c r="C92" s="617" t="s">
        <v>484</v>
      </c>
      <c r="D92" s="618" t="s">
        <v>2515</v>
      </c>
      <c r="E92" s="617" t="s">
        <v>489</v>
      </c>
      <c r="F92" s="618" t="s">
        <v>2516</v>
      </c>
      <c r="G92" s="617" t="s">
        <v>551</v>
      </c>
      <c r="H92" s="617" t="s">
        <v>812</v>
      </c>
      <c r="I92" s="617" t="s">
        <v>813</v>
      </c>
      <c r="J92" s="617" t="s">
        <v>814</v>
      </c>
      <c r="K92" s="617" t="s">
        <v>815</v>
      </c>
      <c r="L92" s="619">
        <v>142.42999999999992</v>
      </c>
      <c r="M92" s="619">
        <v>1</v>
      </c>
      <c r="N92" s="620">
        <v>142.42999999999992</v>
      </c>
    </row>
    <row r="93" spans="1:14" ht="14.4" customHeight="1" x14ac:dyDescent="0.3">
      <c r="A93" s="615" t="s">
        <v>479</v>
      </c>
      <c r="B93" s="616" t="s">
        <v>2514</v>
      </c>
      <c r="C93" s="617" t="s">
        <v>484</v>
      </c>
      <c r="D93" s="618" t="s">
        <v>2515</v>
      </c>
      <c r="E93" s="617" t="s">
        <v>489</v>
      </c>
      <c r="F93" s="618" t="s">
        <v>2516</v>
      </c>
      <c r="G93" s="617" t="s">
        <v>551</v>
      </c>
      <c r="H93" s="617" t="s">
        <v>816</v>
      </c>
      <c r="I93" s="617" t="s">
        <v>817</v>
      </c>
      <c r="J93" s="617" t="s">
        <v>818</v>
      </c>
      <c r="K93" s="617" t="s">
        <v>819</v>
      </c>
      <c r="L93" s="619">
        <v>96.70000000000006</v>
      </c>
      <c r="M93" s="619">
        <v>1</v>
      </c>
      <c r="N93" s="620">
        <v>96.70000000000006</v>
      </c>
    </row>
    <row r="94" spans="1:14" ht="14.4" customHeight="1" x14ac:dyDescent="0.3">
      <c r="A94" s="615" t="s">
        <v>479</v>
      </c>
      <c r="B94" s="616" t="s">
        <v>2514</v>
      </c>
      <c r="C94" s="617" t="s">
        <v>484</v>
      </c>
      <c r="D94" s="618" t="s">
        <v>2515</v>
      </c>
      <c r="E94" s="617" t="s">
        <v>489</v>
      </c>
      <c r="F94" s="618" t="s">
        <v>2516</v>
      </c>
      <c r="G94" s="617" t="s">
        <v>551</v>
      </c>
      <c r="H94" s="617" t="s">
        <v>820</v>
      </c>
      <c r="I94" s="617" t="s">
        <v>821</v>
      </c>
      <c r="J94" s="617" t="s">
        <v>822</v>
      </c>
      <c r="K94" s="617" t="s">
        <v>823</v>
      </c>
      <c r="L94" s="619">
        <v>44.23</v>
      </c>
      <c r="M94" s="619">
        <v>15</v>
      </c>
      <c r="N94" s="620">
        <v>663.44999999999993</v>
      </c>
    </row>
    <row r="95" spans="1:14" ht="14.4" customHeight="1" x14ac:dyDescent="0.3">
      <c r="A95" s="615" t="s">
        <v>479</v>
      </c>
      <c r="B95" s="616" t="s">
        <v>2514</v>
      </c>
      <c r="C95" s="617" t="s">
        <v>484</v>
      </c>
      <c r="D95" s="618" t="s">
        <v>2515</v>
      </c>
      <c r="E95" s="617" t="s">
        <v>489</v>
      </c>
      <c r="F95" s="618" t="s">
        <v>2516</v>
      </c>
      <c r="G95" s="617" t="s">
        <v>551</v>
      </c>
      <c r="H95" s="617" t="s">
        <v>824</v>
      </c>
      <c r="I95" s="617" t="s">
        <v>825</v>
      </c>
      <c r="J95" s="617" t="s">
        <v>826</v>
      </c>
      <c r="K95" s="617" t="s">
        <v>827</v>
      </c>
      <c r="L95" s="619">
        <v>86.169866537230732</v>
      </c>
      <c r="M95" s="619">
        <v>75</v>
      </c>
      <c r="N95" s="620">
        <v>6462.7399902923044</v>
      </c>
    </row>
    <row r="96" spans="1:14" ht="14.4" customHeight="1" x14ac:dyDescent="0.3">
      <c r="A96" s="615" t="s">
        <v>479</v>
      </c>
      <c r="B96" s="616" t="s">
        <v>2514</v>
      </c>
      <c r="C96" s="617" t="s">
        <v>484</v>
      </c>
      <c r="D96" s="618" t="s">
        <v>2515</v>
      </c>
      <c r="E96" s="617" t="s">
        <v>489</v>
      </c>
      <c r="F96" s="618" t="s">
        <v>2516</v>
      </c>
      <c r="G96" s="617" t="s">
        <v>551</v>
      </c>
      <c r="H96" s="617" t="s">
        <v>828</v>
      </c>
      <c r="I96" s="617" t="s">
        <v>829</v>
      </c>
      <c r="J96" s="617" t="s">
        <v>830</v>
      </c>
      <c r="K96" s="617" t="s">
        <v>831</v>
      </c>
      <c r="L96" s="619">
        <v>48.680014416351646</v>
      </c>
      <c r="M96" s="619">
        <v>75</v>
      </c>
      <c r="N96" s="620">
        <v>3651.0010812263736</v>
      </c>
    </row>
    <row r="97" spans="1:14" ht="14.4" customHeight="1" x14ac:dyDescent="0.3">
      <c r="A97" s="615" t="s">
        <v>479</v>
      </c>
      <c r="B97" s="616" t="s">
        <v>2514</v>
      </c>
      <c r="C97" s="617" t="s">
        <v>484</v>
      </c>
      <c r="D97" s="618" t="s">
        <v>2515</v>
      </c>
      <c r="E97" s="617" t="s">
        <v>489</v>
      </c>
      <c r="F97" s="618" t="s">
        <v>2516</v>
      </c>
      <c r="G97" s="617" t="s">
        <v>551</v>
      </c>
      <c r="H97" s="617" t="s">
        <v>832</v>
      </c>
      <c r="I97" s="617" t="s">
        <v>832</v>
      </c>
      <c r="J97" s="617" t="s">
        <v>664</v>
      </c>
      <c r="K97" s="617" t="s">
        <v>833</v>
      </c>
      <c r="L97" s="619">
        <v>107.20000000000003</v>
      </c>
      <c r="M97" s="619">
        <v>6</v>
      </c>
      <c r="N97" s="620">
        <v>643.20000000000016</v>
      </c>
    </row>
    <row r="98" spans="1:14" ht="14.4" customHeight="1" x14ac:dyDescent="0.3">
      <c r="A98" s="615" t="s">
        <v>479</v>
      </c>
      <c r="B98" s="616" t="s">
        <v>2514</v>
      </c>
      <c r="C98" s="617" t="s">
        <v>484</v>
      </c>
      <c r="D98" s="618" t="s">
        <v>2515</v>
      </c>
      <c r="E98" s="617" t="s">
        <v>489</v>
      </c>
      <c r="F98" s="618" t="s">
        <v>2516</v>
      </c>
      <c r="G98" s="617" t="s">
        <v>551</v>
      </c>
      <c r="H98" s="617" t="s">
        <v>834</v>
      </c>
      <c r="I98" s="617" t="s">
        <v>835</v>
      </c>
      <c r="J98" s="617" t="s">
        <v>836</v>
      </c>
      <c r="K98" s="617" t="s">
        <v>837</v>
      </c>
      <c r="L98" s="619">
        <v>44.040001213685514</v>
      </c>
      <c r="M98" s="619">
        <v>2</v>
      </c>
      <c r="N98" s="620">
        <v>88.080002427371028</v>
      </c>
    </row>
    <row r="99" spans="1:14" ht="14.4" customHeight="1" x14ac:dyDescent="0.3">
      <c r="A99" s="615" t="s">
        <v>479</v>
      </c>
      <c r="B99" s="616" t="s">
        <v>2514</v>
      </c>
      <c r="C99" s="617" t="s">
        <v>484</v>
      </c>
      <c r="D99" s="618" t="s">
        <v>2515</v>
      </c>
      <c r="E99" s="617" t="s">
        <v>489</v>
      </c>
      <c r="F99" s="618" t="s">
        <v>2516</v>
      </c>
      <c r="G99" s="617" t="s">
        <v>551</v>
      </c>
      <c r="H99" s="617" t="s">
        <v>838</v>
      </c>
      <c r="I99" s="617" t="s">
        <v>839</v>
      </c>
      <c r="J99" s="617" t="s">
        <v>836</v>
      </c>
      <c r="K99" s="617" t="s">
        <v>840</v>
      </c>
      <c r="L99" s="619">
        <v>209.99631153562885</v>
      </c>
      <c r="M99" s="619">
        <v>156</v>
      </c>
      <c r="N99" s="620">
        <v>32759.4245995581</v>
      </c>
    </row>
    <row r="100" spans="1:14" ht="14.4" customHeight="1" x14ac:dyDescent="0.3">
      <c r="A100" s="615" t="s">
        <v>479</v>
      </c>
      <c r="B100" s="616" t="s">
        <v>2514</v>
      </c>
      <c r="C100" s="617" t="s">
        <v>484</v>
      </c>
      <c r="D100" s="618" t="s">
        <v>2515</v>
      </c>
      <c r="E100" s="617" t="s">
        <v>489</v>
      </c>
      <c r="F100" s="618" t="s">
        <v>2516</v>
      </c>
      <c r="G100" s="617" t="s">
        <v>551</v>
      </c>
      <c r="H100" s="617" t="s">
        <v>841</v>
      </c>
      <c r="I100" s="617" t="s">
        <v>842</v>
      </c>
      <c r="J100" s="617" t="s">
        <v>843</v>
      </c>
      <c r="K100" s="617" t="s">
        <v>844</v>
      </c>
      <c r="L100" s="619">
        <v>375.79995394533341</v>
      </c>
      <c r="M100" s="619">
        <v>35</v>
      </c>
      <c r="N100" s="620">
        <v>13152.998388086669</v>
      </c>
    </row>
    <row r="101" spans="1:14" ht="14.4" customHeight="1" x14ac:dyDescent="0.3">
      <c r="A101" s="615" t="s">
        <v>479</v>
      </c>
      <c r="B101" s="616" t="s">
        <v>2514</v>
      </c>
      <c r="C101" s="617" t="s">
        <v>484</v>
      </c>
      <c r="D101" s="618" t="s">
        <v>2515</v>
      </c>
      <c r="E101" s="617" t="s">
        <v>489</v>
      </c>
      <c r="F101" s="618" t="s">
        <v>2516</v>
      </c>
      <c r="G101" s="617" t="s">
        <v>551</v>
      </c>
      <c r="H101" s="617" t="s">
        <v>845</v>
      </c>
      <c r="I101" s="617" t="s">
        <v>846</v>
      </c>
      <c r="J101" s="617" t="s">
        <v>847</v>
      </c>
      <c r="K101" s="617" t="s">
        <v>848</v>
      </c>
      <c r="L101" s="619">
        <v>48.860000000000021</v>
      </c>
      <c r="M101" s="619">
        <v>1</v>
      </c>
      <c r="N101" s="620">
        <v>48.860000000000021</v>
      </c>
    </row>
    <row r="102" spans="1:14" ht="14.4" customHeight="1" x14ac:dyDescent="0.3">
      <c r="A102" s="615" t="s">
        <v>479</v>
      </c>
      <c r="B102" s="616" t="s">
        <v>2514</v>
      </c>
      <c r="C102" s="617" t="s">
        <v>484</v>
      </c>
      <c r="D102" s="618" t="s">
        <v>2515</v>
      </c>
      <c r="E102" s="617" t="s">
        <v>489</v>
      </c>
      <c r="F102" s="618" t="s">
        <v>2516</v>
      </c>
      <c r="G102" s="617" t="s">
        <v>551</v>
      </c>
      <c r="H102" s="617" t="s">
        <v>849</v>
      </c>
      <c r="I102" s="617" t="s">
        <v>850</v>
      </c>
      <c r="J102" s="617" t="s">
        <v>851</v>
      </c>
      <c r="K102" s="617" t="s">
        <v>852</v>
      </c>
      <c r="L102" s="619">
        <v>514.63534034551594</v>
      </c>
      <c r="M102" s="619">
        <v>1</v>
      </c>
      <c r="N102" s="620">
        <v>514.63534034551594</v>
      </c>
    </row>
    <row r="103" spans="1:14" ht="14.4" customHeight="1" x14ac:dyDescent="0.3">
      <c r="A103" s="615" t="s">
        <v>479</v>
      </c>
      <c r="B103" s="616" t="s">
        <v>2514</v>
      </c>
      <c r="C103" s="617" t="s">
        <v>484</v>
      </c>
      <c r="D103" s="618" t="s">
        <v>2515</v>
      </c>
      <c r="E103" s="617" t="s">
        <v>489</v>
      </c>
      <c r="F103" s="618" t="s">
        <v>2516</v>
      </c>
      <c r="G103" s="617" t="s">
        <v>551</v>
      </c>
      <c r="H103" s="617" t="s">
        <v>853</v>
      </c>
      <c r="I103" s="617" t="s">
        <v>854</v>
      </c>
      <c r="J103" s="617" t="s">
        <v>855</v>
      </c>
      <c r="K103" s="617" t="s">
        <v>856</v>
      </c>
      <c r="L103" s="619">
        <v>112.37999999999997</v>
      </c>
      <c r="M103" s="619">
        <v>5</v>
      </c>
      <c r="N103" s="620">
        <v>561.89999999999986</v>
      </c>
    </row>
    <row r="104" spans="1:14" ht="14.4" customHeight="1" x14ac:dyDescent="0.3">
      <c r="A104" s="615" t="s">
        <v>479</v>
      </c>
      <c r="B104" s="616" t="s">
        <v>2514</v>
      </c>
      <c r="C104" s="617" t="s">
        <v>484</v>
      </c>
      <c r="D104" s="618" t="s">
        <v>2515</v>
      </c>
      <c r="E104" s="617" t="s">
        <v>489</v>
      </c>
      <c r="F104" s="618" t="s">
        <v>2516</v>
      </c>
      <c r="G104" s="617" t="s">
        <v>551</v>
      </c>
      <c r="H104" s="617" t="s">
        <v>857</v>
      </c>
      <c r="I104" s="617" t="s">
        <v>858</v>
      </c>
      <c r="J104" s="617" t="s">
        <v>859</v>
      </c>
      <c r="K104" s="617" t="s">
        <v>860</v>
      </c>
      <c r="L104" s="619">
        <v>46.98</v>
      </c>
      <c r="M104" s="619">
        <v>1</v>
      </c>
      <c r="N104" s="620">
        <v>46.98</v>
      </c>
    </row>
    <row r="105" spans="1:14" ht="14.4" customHeight="1" x14ac:dyDescent="0.3">
      <c r="A105" s="615" t="s">
        <v>479</v>
      </c>
      <c r="B105" s="616" t="s">
        <v>2514</v>
      </c>
      <c r="C105" s="617" t="s">
        <v>484</v>
      </c>
      <c r="D105" s="618" t="s">
        <v>2515</v>
      </c>
      <c r="E105" s="617" t="s">
        <v>489</v>
      </c>
      <c r="F105" s="618" t="s">
        <v>2516</v>
      </c>
      <c r="G105" s="617" t="s">
        <v>551</v>
      </c>
      <c r="H105" s="617" t="s">
        <v>861</v>
      </c>
      <c r="I105" s="617" t="s">
        <v>862</v>
      </c>
      <c r="J105" s="617" t="s">
        <v>863</v>
      </c>
      <c r="K105" s="617" t="s">
        <v>864</v>
      </c>
      <c r="L105" s="619">
        <v>122.61</v>
      </c>
      <c r="M105" s="619">
        <v>1</v>
      </c>
      <c r="N105" s="620">
        <v>122.61</v>
      </c>
    </row>
    <row r="106" spans="1:14" ht="14.4" customHeight="1" x14ac:dyDescent="0.3">
      <c r="A106" s="615" t="s">
        <v>479</v>
      </c>
      <c r="B106" s="616" t="s">
        <v>2514</v>
      </c>
      <c r="C106" s="617" t="s">
        <v>484</v>
      </c>
      <c r="D106" s="618" t="s">
        <v>2515</v>
      </c>
      <c r="E106" s="617" t="s">
        <v>489</v>
      </c>
      <c r="F106" s="618" t="s">
        <v>2516</v>
      </c>
      <c r="G106" s="617" t="s">
        <v>551</v>
      </c>
      <c r="H106" s="617" t="s">
        <v>865</v>
      </c>
      <c r="I106" s="617" t="s">
        <v>866</v>
      </c>
      <c r="J106" s="617" t="s">
        <v>867</v>
      </c>
      <c r="K106" s="617" t="s">
        <v>868</v>
      </c>
      <c r="L106" s="619">
        <v>132.32000000000002</v>
      </c>
      <c r="M106" s="619">
        <v>1</v>
      </c>
      <c r="N106" s="620">
        <v>132.32000000000002</v>
      </c>
    </row>
    <row r="107" spans="1:14" ht="14.4" customHeight="1" x14ac:dyDescent="0.3">
      <c r="A107" s="615" t="s">
        <v>479</v>
      </c>
      <c r="B107" s="616" t="s">
        <v>2514</v>
      </c>
      <c r="C107" s="617" t="s">
        <v>484</v>
      </c>
      <c r="D107" s="618" t="s">
        <v>2515</v>
      </c>
      <c r="E107" s="617" t="s">
        <v>489</v>
      </c>
      <c r="F107" s="618" t="s">
        <v>2516</v>
      </c>
      <c r="G107" s="617" t="s">
        <v>551</v>
      </c>
      <c r="H107" s="617" t="s">
        <v>869</v>
      </c>
      <c r="I107" s="617" t="s">
        <v>870</v>
      </c>
      <c r="J107" s="617" t="s">
        <v>871</v>
      </c>
      <c r="K107" s="617" t="s">
        <v>872</v>
      </c>
      <c r="L107" s="619">
        <v>159.84000000000006</v>
      </c>
      <c r="M107" s="619">
        <v>1</v>
      </c>
      <c r="N107" s="620">
        <v>159.84000000000006</v>
      </c>
    </row>
    <row r="108" spans="1:14" ht="14.4" customHeight="1" x14ac:dyDescent="0.3">
      <c r="A108" s="615" t="s">
        <v>479</v>
      </c>
      <c r="B108" s="616" t="s">
        <v>2514</v>
      </c>
      <c r="C108" s="617" t="s">
        <v>484</v>
      </c>
      <c r="D108" s="618" t="s">
        <v>2515</v>
      </c>
      <c r="E108" s="617" t="s">
        <v>489</v>
      </c>
      <c r="F108" s="618" t="s">
        <v>2516</v>
      </c>
      <c r="G108" s="617" t="s">
        <v>551</v>
      </c>
      <c r="H108" s="617" t="s">
        <v>873</v>
      </c>
      <c r="I108" s="617" t="s">
        <v>874</v>
      </c>
      <c r="J108" s="617" t="s">
        <v>875</v>
      </c>
      <c r="K108" s="617" t="s">
        <v>876</v>
      </c>
      <c r="L108" s="619">
        <v>219.8985466822202</v>
      </c>
      <c r="M108" s="619">
        <v>207</v>
      </c>
      <c r="N108" s="620">
        <v>45518.999163219582</v>
      </c>
    </row>
    <row r="109" spans="1:14" ht="14.4" customHeight="1" x14ac:dyDescent="0.3">
      <c r="A109" s="615" t="s">
        <v>479</v>
      </c>
      <c r="B109" s="616" t="s">
        <v>2514</v>
      </c>
      <c r="C109" s="617" t="s">
        <v>484</v>
      </c>
      <c r="D109" s="618" t="s">
        <v>2515</v>
      </c>
      <c r="E109" s="617" t="s">
        <v>489</v>
      </c>
      <c r="F109" s="618" t="s">
        <v>2516</v>
      </c>
      <c r="G109" s="617" t="s">
        <v>551</v>
      </c>
      <c r="H109" s="617" t="s">
        <v>877</v>
      </c>
      <c r="I109" s="617" t="s">
        <v>877</v>
      </c>
      <c r="J109" s="617" t="s">
        <v>878</v>
      </c>
      <c r="K109" s="617" t="s">
        <v>879</v>
      </c>
      <c r="L109" s="619">
        <v>365.40999999999991</v>
      </c>
      <c r="M109" s="619">
        <v>1</v>
      </c>
      <c r="N109" s="620">
        <v>365.40999999999991</v>
      </c>
    </row>
    <row r="110" spans="1:14" ht="14.4" customHeight="1" x14ac:dyDescent="0.3">
      <c r="A110" s="615" t="s">
        <v>479</v>
      </c>
      <c r="B110" s="616" t="s">
        <v>2514</v>
      </c>
      <c r="C110" s="617" t="s">
        <v>484</v>
      </c>
      <c r="D110" s="618" t="s">
        <v>2515</v>
      </c>
      <c r="E110" s="617" t="s">
        <v>489</v>
      </c>
      <c r="F110" s="618" t="s">
        <v>2516</v>
      </c>
      <c r="G110" s="617" t="s">
        <v>551</v>
      </c>
      <c r="H110" s="617" t="s">
        <v>880</v>
      </c>
      <c r="I110" s="617" t="s">
        <v>881</v>
      </c>
      <c r="J110" s="617" t="s">
        <v>882</v>
      </c>
      <c r="K110" s="617" t="s">
        <v>883</v>
      </c>
      <c r="L110" s="619">
        <v>257.37000160205292</v>
      </c>
      <c r="M110" s="619">
        <v>4</v>
      </c>
      <c r="N110" s="620">
        <v>1029.4800064082117</v>
      </c>
    </row>
    <row r="111" spans="1:14" ht="14.4" customHeight="1" x14ac:dyDescent="0.3">
      <c r="A111" s="615" t="s">
        <v>479</v>
      </c>
      <c r="B111" s="616" t="s">
        <v>2514</v>
      </c>
      <c r="C111" s="617" t="s">
        <v>484</v>
      </c>
      <c r="D111" s="618" t="s">
        <v>2515</v>
      </c>
      <c r="E111" s="617" t="s">
        <v>489</v>
      </c>
      <c r="F111" s="618" t="s">
        <v>2516</v>
      </c>
      <c r="G111" s="617" t="s">
        <v>551</v>
      </c>
      <c r="H111" s="617" t="s">
        <v>884</v>
      </c>
      <c r="I111" s="617" t="s">
        <v>885</v>
      </c>
      <c r="J111" s="617" t="s">
        <v>886</v>
      </c>
      <c r="K111" s="617"/>
      <c r="L111" s="619">
        <v>218.20004987783594</v>
      </c>
      <c r="M111" s="619">
        <v>47</v>
      </c>
      <c r="N111" s="620">
        <v>10255.402344258289</v>
      </c>
    </row>
    <row r="112" spans="1:14" ht="14.4" customHeight="1" x14ac:dyDescent="0.3">
      <c r="A112" s="615" t="s">
        <v>479</v>
      </c>
      <c r="B112" s="616" t="s">
        <v>2514</v>
      </c>
      <c r="C112" s="617" t="s">
        <v>484</v>
      </c>
      <c r="D112" s="618" t="s">
        <v>2515</v>
      </c>
      <c r="E112" s="617" t="s">
        <v>489</v>
      </c>
      <c r="F112" s="618" t="s">
        <v>2516</v>
      </c>
      <c r="G112" s="617" t="s">
        <v>551</v>
      </c>
      <c r="H112" s="617" t="s">
        <v>887</v>
      </c>
      <c r="I112" s="617" t="s">
        <v>885</v>
      </c>
      <c r="J112" s="617" t="s">
        <v>888</v>
      </c>
      <c r="K112" s="617" t="s">
        <v>889</v>
      </c>
      <c r="L112" s="619">
        <v>40.230000000000004</v>
      </c>
      <c r="M112" s="619">
        <v>1</v>
      </c>
      <c r="N112" s="620">
        <v>40.230000000000004</v>
      </c>
    </row>
    <row r="113" spans="1:14" ht="14.4" customHeight="1" x14ac:dyDescent="0.3">
      <c r="A113" s="615" t="s">
        <v>479</v>
      </c>
      <c r="B113" s="616" t="s">
        <v>2514</v>
      </c>
      <c r="C113" s="617" t="s">
        <v>484</v>
      </c>
      <c r="D113" s="618" t="s">
        <v>2515</v>
      </c>
      <c r="E113" s="617" t="s">
        <v>489</v>
      </c>
      <c r="F113" s="618" t="s">
        <v>2516</v>
      </c>
      <c r="G113" s="617" t="s">
        <v>551</v>
      </c>
      <c r="H113" s="617" t="s">
        <v>890</v>
      </c>
      <c r="I113" s="617" t="s">
        <v>885</v>
      </c>
      <c r="J113" s="617" t="s">
        <v>891</v>
      </c>
      <c r="K113" s="617"/>
      <c r="L113" s="619">
        <v>138.96508533505494</v>
      </c>
      <c r="M113" s="619">
        <v>34</v>
      </c>
      <c r="N113" s="620">
        <v>4724.8129013918679</v>
      </c>
    </row>
    <row r="114" spans="1:14" ht="14.4" customHeight="1" x14ac:dyDescent="0.3">
      <c r="A114" s="615" t="s">
        <v>479</v>
      </c>
      <c r="B114" s="616" t="s">
        <v>2514</v>
      </c>
      <c r="C114" s="617" t="s">
        <v>484</v>
      </c>
      <c r="D114" s="618" t="s">
        <v>2515</v>
      </c>
      <c r="E114" s="617" t="s">
        <v>489</v>
      </c>
      <c r="F114" s="618" t="s">
        <v>2516</v>
      </c>
      <c r="G114" s="617" t="s">
        <v>551</v>
      </c>
      <c r="H114" s="617" t="s">
        <v>892</v>
      </c>
      <c r="I114" s="617" t="s">
        <v>885</v>
      </c>
      <c r="J114" s="617" t="s">
        <v>893</v>
      </c>
      <c r="K114" s="617"/>
      <c r="L114" s="619">
        <v>98.420537897611879</v>
      </c>
      <c r="M114" s="619">
        <v>370</v>
      </c>
      <c r="N114" s="620">
        <v>36415.599022116396</v>
      </c>
    </row>
    <row r="115" spans="1:14" ht="14.4" customHeight="1" x14ac:dyDescent="0.3">
      <c r="A115" s="615" t="s">
        <v>479</v>
      </c>
      <c r="B115" s="616" t="s">
        <v>2514</v>
      </c>
      <c r="C115" s="617" t="s">
        <v>484</v>
      </c>
      <c r="D115" s="618" t="s">
        <v>2515</v>
      </c>
      <c r="E115" s="617" t="s">
        <v>489</v>
      </c>
      <c r="F115" s="618" t="s">
        <v>2516</v>
      </c>
      <c r="G115" s="617" t="s">
        <v>551</v>
      </c>
      <c r="H115" s="617" t="s">
        <v>894</v>
      </c>
      <c r="I115" s="617" t="s">
        <v>895</v>
      </c>
      <c r="J115" s="617" t="s">
        <v>896</v>
      </c>
      <c r="K115" s="617" t="s">
        <v>897</v>
      </c>
      <c r="L115" s="619">
        <v>70.556527583359014</v>
      </c>
      <c r="M115" s="619">
        <v>164</v>
      </c>
      <c r="N115" s="620">
        <v>11571.270523670877</v>
      </c>
    </row>
    <row r="116" spans="1:14" ht="14.4" customHeight="1" x14ac:dyDescent="0.3">
      <c r="A116" s="615" t="s">
        <v>479</v>
      </c>
      <c r="B116" s="616" t="s">
        <v>2514</v>
      </c>
      <c r="C116" s="617" t="s">
        <v>484</v>
      </c>
      <c r="D116" s="618" t="s">
        <v>2515</v>
      </c>
      <c r="E116" s="617" t="s">
        <v>489</v>
      </c>
      <c r="F116" s="618" t="s">
        <v>2516</v>
      </c>
      <c r="G116" s="617" t="s">
        <v>551</v>
      </c>
      <c r="H116" s="617" t="s">
        <v>898</v>
      </c>
      <c r="I116" s="617" t="s">
        <v>885</v>
      </c>
      <c r="J116" s="617" t="s">
        <v>899</v>
      </c>
      <c r="K116" s="617" t="s">
        <v>900</v>
      </c>
      <c r="L116" s="619">
        <v>1377.5097142857144</v>
      </c>
      <c r="M116" s="619">
        <v>7</v>
      </c>
      <c r="N116" s="620">
        <v>9642.5680000000011</v>
      </c>
    </row>
    <row r="117" spans="1:14" ht="14.4" customHeight="1" x14ac:dyDescent="0.3">
      <c r="A117" s="615" t="s">
        <v>479</v>
      </c>
      <c r="B117" s="616" t="s">
        <v>2514</v>
      </c>
      <c r="C117" s="617" t="s">
        <v>484</v>
      </c>
      <c r="D117" s="618" t="s">
        <v>2515</v>
      </c>
      <c r="E117" s="617" t="s">
        <v>489</v>
      </c>
      <c r="F117" s="618" t="s">
        <v>2516</v>
      </c>
      <c r="G117" s="617" t="s">
        <v>551</v>
      </c>
      <c r="H117" s="617" t="s">
        <v>901</v>
      </c>
      <c r="I117" s="617" t="s">
        <v>902</v>
      </c>
      <c r="J117" s="617" t="s">
        <v>903</v>
      </c>
      <c r="K117" s="617" t="s">
        <v>904</v>
      </c>
      <c r="L117" s="619">
        <v>58.249999999999993</v>
      </c>
      <c r="M117" s="619">
        <v>3</v>
      </c>
      <c r="N117" s="620">
        <v>174.74999999999997</v>
      </c>
    </row>
    <row r="118" spans="1:14" ht="14.4" customHeight="1" x14ac:dyDescent="0.3">
      <c r="A118" s="615" t="s">
        <v>479</v>
      </c>
      <c r="B118" s="616" t="s">
        <v>2514</v>
      </c>
      <c r="C118" s="617" t="s">
        <v>484</v>
      </c>
      <c r="D118" s="618" t="s">
        <v>2515</v>
      </c>
      <c r="E118" s="617" t="s">
        <v>489</v>
      </c>
      <c r="F118" s="618" t="s">
        <v>2516</v>
      </c>
      <c r="G118" s="617" t="s">
        <v>551</v>
      </c>
      <c r="H118" s="617" t="s">
        <v>905</v>
      </c>
      <c r="I118" s="617" t="s">
        <v>906</v>
      </c>
      <c r="J118" s="617" t="s">
        <v>907</v>
      </c>
      <c r="K118" s="617" t="s">
        <v>764</v>
      </c>
      <c r="L118" s="619">
        <v>67.202108760441277</v>
      </c>
      <c r="M118" s="619">
        <v>18</v>
      </c>
      <c r="N118" s="620">
        <v>1209.6379576879431</v>
      </c>
    </row>
    <row r="119" spans="1:14" ht="14.4" customHeight="1" x14ac:dyDescent="0.3">
      <c r="A119" s="615" t="s">
        <v>479</v>
      </c>
      <c r="B119" s="616" t="s">
        <v>2514</v>
      </c>
      <c r="C119" s="617" t="s">
        <v>484</v>
      </c>
      <c r="D119" s="618" t="s">
        <v>2515</v>
      </c>
      <c r="E119" s="617" t="s">
        <v>489</v>
      </c>
      <c r="F119" s="618" t="s">
        <v>2516</v>
      </c>
      <c r="G119" s="617" t="s">
        <v>551</v>
      </c>
      <c r="H119" s="617" t="s">
        <v>908</v>
      </c>
      <c r="I119" s="617" t="s">
        <v>909</v>
      </c>
      <c r="J119" s="617" t="s">
        <v>910</v>
      </c>
      <c r="K119" s="617" t="s">
        <v>911</v>
      </c>
      <c r="L119" s="619">
        <v>87.880000000000024</v>
      </c>
      <c r="M119" s="619">
        <v>1</v>
      </c>
      <c r="N119" s="620">
        <v>87.880000000000024</v>
      </c>
    </row>
    <row r="120" spans="1:14" ht="14.4" customHeight="1" x14ac:dyDescent="0.3">
      <c r="A120" s="615" t="s">
        <v>479</v>
      </c>
      <c r="B120" s="616" t="s">
        <v>2514</v>
      </c>
      <c r="C120" s="617" t="s">
        <v>484</v>
      </c>
      <c r="D120" s="618" t="s">
        <v>2515</v>
      </c>
      <c r="E120" s="617" t="s">
        <v>489</v>
      </c>
      <c r="F120" s="618" t="s">
        <v>2516</v>
      </c>
      <c r="G120" s="617" t="s">
        <v>551</v>
      </c>
      <c r="H120" s="617" t="s">
        <v>912</v>
      </c>
      <c r="I120" s="617" t="s">
        <v>913</v>
      </c>
      <c r="J120" s="617" t="s">
        <v>914</v>
      </c>
      <c r="K120" s="617" t="s">
        <v>915</v>
      </c>
      <c r="L120" s="619">
        <v>112.96000000000002</v>
      </c>
      <c r="M120" s="619">
        <v>11</v>
      </c>
      <c r="N120" s="620">
        <v>1242.5600000000002</v>
      </c>
    </row>
    <row r="121" spans="1:14" ht="14.4" customHeight="1" x14ac:dyDescent="0.3">
      <c r="A121" s="615" t="s">
        <v>479</v>
      </c>
      <c r="B121" s="616" t="s">
        <v>2514</v>
      </c>
      <c r="C121" s="617" t="s">
        <v>484</v>
      </c>
      <c r="D121" s="618" t="s">
        <v>2515</v>
      </c>
      <c r="E121" s="617" t="s">
        <v>489</v>
      </c>
      <c r="F121" s="618" t="s">
        <v>2516</v>
      </c>
      <c r="G121" s="617" t="s">
        <v>551</v>
      </c>
      <c r="H121" s="617" t="s">
        <v>916</v>
      </c>
      <c r="I121" s="617" t="s">
        <v>917</v>
      </c>
      <c r="J121" s="617" t="s">
        <v>918</v>
      </c>
      <c r="K121" s="617" t="s">
        <v>919</v>
      </c>
      <c r="L121" s="619">
        <v>34.330000000000013</v>
      </c>
      <c r="M121" s="619">
        <v>2</v>
      </c>
      <c r="N121" s="620">
        <v>68.660000000000025</v>
      </c>
    </row>
    <row r="122" spans="1:14" ht="14.4" customHeight="1" x14ac:dyDescent="0.3">
      <c r="A122" s="615" t="s">
        <v>479</v>
      </c>
      <c r="B122" s="616" t="s">
        <v>2514</v>
      </c>
      <c r="C122" s="617" t="s">
        <v>484</v>
      </c>
      <c r="D122" s="618" t="s">
        <v>2515</v>
      </c>
      <c r="E122" s="617" t="s">
        <v>489</v>
      </c>
      <c r="F122" s="618" t="s">
        <v>2516</v>
      </c>
      <c r="G122" s="617" t="s">
        <v>551</v>
      </c>
      <c r="H122" s="617" t="s">
        <v>920</v>
      </c>
      <c r="I122" s="617" t="s">
        <v>921</v>
      </c>
      <c r="J122" s="617" t="s">
        <v>922</v>
      </c>
      <c r="K122" s="617"/>
      <c r="L122" s="619">
        <v>132.17999999999998</v>
      </c>
      <c r="M122" s="619">
        <v>21</v>
      </c>
      <c r="N122" s="620">
        <v>2775.7799999999997</v>
      </c>
    </row>
    <row r="123" spans="1:14" ht="14.4" customHeight="1" x14ac:dyDescent="0.3">
      <c r="A123" s="615" t="s">
        <v>479</v>
      </c>
      <c r="B123" s="616" t="s">
        <v>2514</v>
      </c>
      <c r="C123" s="617" t="s">
        <v>484</v>
      </c>
      <c r="D123" s="618" t="s">
        <v>2515</v>
      </c>
      <c r="E123" s="617" t="s">
        <v>489</v>
      </c>
      <c r="F123" s="618" t="s">
        <v>2516</v>
      </c>
      <c r="G123" s="617" t="s">
        <v>551</v>
      </c>
      <c r="H123" s="617" t="s">
        <v>923</v>
      </c>
      <c r="I123" s="617" t="s">
        <v>924</v>
      </c>
      <c r="J123" s="617" t="s">
        <v>925</v>
      </c>
      <c r="K123" s="617" t="s">
        <v>926</v>
      </c>
      <c r="L123" s="619">
        <v>65.188320233533318</v>
      </c>
      <c r="M123" s="619">
        <v>432</v>
      </c>
      <c r="N123" s="620">
        <v>28161.354340886392</v>
      </c>
    </row>
    <row r="124" spans="1:14" ht="14.4" customHeight="1" x14ac:dyDescent="0.3">
      <c r="A124" s="615" t="s">
        <v>479</v>
      </c>
      <c r="B124" s="616" t="s">
        <v>2514</v>
      </c>
      <c r="C124" s="617" t="s">
        <v>484</v>
      </c>
      <c r="D124" s="618" t="s">
        <v>2515</v>
      </c>
      <c r="E124" s="617" t="s">
        <v>489</v>
      </c>
      <c r="F124" s="618" t="s">
        <v>2516</v>
      </c>
      <c r="G124" s="617" t="s">
        <v>551</v>
      </c>
      <c r="H124" s="617" t="s">
        <v>927</v>
      </c>
      <c r="I124" s="617" t="s">
        <v>928</v>
      </c>
      <c r="J124" s="617" t="s">
        <v>929</v>
      </c>
      <c r="K124" s="617" t="s">
        <v>930</v>
      </c>
      <c r="L124" s="619">
        <v>93.749989763747351</v>
      </c>
      <c r="M124" s="619">
        <v>3</v>
      </c>
      <c r="N124" s="620">
        <v>281.24996929124205</v>
      </c>
    </row>
    <row r="125" spans="1:14" ht="14.4" customHeight="1" x14ac:dyDescent="0.3">
      <c r="A125" s="615" t="s">
        <v>479</v>
      </c>
      <c r="B125" s="616" t="s">
        <v>2514</v>
      </c>
      <c r="C125" s="617" t="s">
        <v>484</v>
      </c>
      <c r="D125" s="618" t="s">
        <v>2515</v>
      </c>
      <c r="E125" s="617" t="s">
        <v>489</v>
      </c>
      <c r="F125" s="618" t="s">
        <v>2516</v>
      </c>
      <c r="G125" s="617" t="s">
        <v>551</v>
      </c>
      <c r="H125" s="617" t="s">
        <v>931</v>
      </c>
      <c r="I125" s="617" t="s">
        <v>932</v>
      </c>
      <c r="J125" s="617" t="s">
        <v>737</v>
      </c>
      <c r="K125" s="617" t="s">
        <v>933</v>
      </c>
      <c r="L125" s="619">
        <v>60.554777444278514</v>
      </c>
      <c r="M125" s="619">
        <v>25</v>
      </c>
      <c r="N125" s="620">
        <v>1513.8694361069629</v>
      </c>
    </row>
    <row r="126" spans="1:14" ht="14.4" customHeight="1" x14ac:dyDescent="0.3">
      <c r="A126" s="615" t="s">
        <v>479</v>
      </c>
      <c r="B126" s="616" t="s">
        <v>2514</v>
      </c>
      <c r="C126" s="617" t="s">
        <v>484</v>
      </c>
      <c r="D126" s="618" t="s">
        <v>2515</v>
      </c>
      <c r="E126" s="617" t="s">
        <v>489</v>
      </c>
      <c r="F126" s="618" t="s">
        <v>2516</v>
      </c>
      <c r="G126" s="617" t="s">
        <v>551</v>
      </c>
      <c r="H126" s="617" t="s">
        <v>934</v>
      </c>
      <c r="I126" s="617" t="s">
        <v>935</v>
      </c>
      <c r="J126" s="617" t="s">
        <v>936</v>
      </c>
      <c r="K126" s="617" t="s">
        <v>937</v>
      </c>
      <c r="L126" s="619">
        <v>100.17999999999998</v>
      </c>
      <c r="M126" s="619">
        <v>1</v>
      </c>
      <c r="N126" s="620">
        <v>100.17999999999998</v>
      </c>
    </row>
    <row r="127" spans="1:14" ht="14.4" customHeight="1" x14ac:dyDescent="0.3">
      <c r="A127" s="615" t="s">
        <v>479</v>
      </c>
      <c r="B127" s="616" t="s">
        <v>2514</v>
      </c>
      <c r="C127" s="617" t="s">
        <v>484</v>
      </c>
      <c r="D127" s="618" t="s">
        <v>2515</v>
      </c>
      <c r="E127" s="617" t="s">
        <v>489</v>
      </c>
      <c r="F127" s="618" t="s">
        <v>2516</v>
      </c>
      <c r="G127" s="617" t="s">
        <v>551</v>
      </c>
      <c r="H127" s="617" t="s">
        <v>938</v>
      </c>
      <c r="I127" s="617" t="s">
        <v>939</v>
      </c>
      <c r="J127" s="617" t="s">
        <v>936</v>
      </c>
      <c r="K127" s="617" t="s">
        <v>940</v>
      </c>
      <c r="L127" s="619">
        <v>34.670029452018596</v>
      </c>
      <c r="M127" s="619">
        <v>5</v>
      </c>
      <c r="N127" s="620">
        <v>173.35014726009297</v>
      </c>
    </row>
    <row r="128" spans="1:14" ht="14.4" customHeight="1" x14ac:dyDescent="0.3">
      <c r="A128" s="615" t="s">
        <v>479</v>
      </c>
      <c r="B128" s="616" t="s">
        <v>2514</v>
      </c>
      <c r="C128" s="617" t="s">
        <v>484</v>
      </c>
      <c r="D128" s="618" t="s">
        <v>2515</v>
      </c>
      <c r="E128" s="617" t="s">
        <v>489</v>
      </c>
      <c r="F128" s="618" t="s">
        <v>2516</v>
      </c>
      <c r="G128" s="617" t="s">
        <v>551</v>
      </c>
      <c r="H128" s="617" t="s">
        <v>941</v>
      </c>
      <c r="I128" s="617" t="s">
        <v>942</v>
      </c>
      <c r="J128" s="617" t="s">
        <v>943</v>
      </c>
      <c r="K128" s="617" t="s">
        <v>669</v>
      </c>
      <c r="L128" s="619">
        <v>61.73</v>
      </c>
      <c r="M128" s="619">
        <v>1</v>
      </c>
      <c r="N128" s="620">
        <v>61.73</v>
      </c>
    </row>
    <row r="129" spans="1:14" ht="14.4" customHeight="1" x14ac:dyDescent="0.3">
      <c r="A129" s="615" t="s">
        <v>479</v>
      </c>
      <c r="B129" s="616" t="s">
        <v>2514</v>
      </c>
      <c r="C129" s="617" t="s">
        <v>484</v>
      </c>
      <c r="D129" s="618" t="s">
        <v>2515</v>
      </c>
      <c r="E129" s="617" t="s">
        <v>489</v>
      </c>
      <c r="F129" s="618" t="s">
        <v>2516</v>
      </c>
      <c r="G129" s="617" t="s">
        <v>551</v>
      </c>
      <c r="H129" s="617" t="s">
        <v>944</v>
      </c>
      <c r="I129" s="617" t="s">
        <v>945</v>
      </c>
      <c r="J129" s="617" t="s">
        <v>946</v>
      </c>
      <c r="K129" s="617" t="s">
        <v>947</v>
      </c>
      <c r="L129" s="619">
        <v>27.669999999999995</v>
      </c>
      <c r="M129" s="619">
        <v>1</v>
      </c>
      <c r="N129" s="620">
        <v>27.669999999999995</v>
      </c>
    </row>
    <row r="130" spans="1:14" ht="14.4" customHeight="1" x14ac:dyDescent="0.3">
      <c r="A130" s="615" t="s">
        <v>479</v>
      </c>
      <c r="B130" s="616" t="s">
        <v>2514</v>
      </c>
      <c r="C130" s="617" t="s">
        <v>484</v>
      </c>
      <c r="D130" s="618" t="s">
        <v>2515</v>
      </c>
      <c r="E130" s="617" t="s">
        <v>489</v>
      </c>
      <c r="F130" s="618" t="s">
        <v>2516</v>
      </c>
      <c r="G130" s="617" t="s">
        <v>551</v>
      </c>
      <c r="H130" s="617" t="s">
        <v>948</v>
      </c>
      <c r="I130" s="617" t="s">
        <v>949</v>
      </c>
      <c r="J130" s="617" t="s">
        <v>950</v>
      </c>
      <c r="K130" s="617" t="s">
        <v>951</v>
      </c>
      <c r="L130" s="619">
        <v>175.03001399126146</v>
      </c>
      <c r="M130" s="619">
        <v>5</v>
      </c>
      <c r="N130" s="620">
        <v>875.15006995630733</v>
      </c>
    </row>
    <row r="131" spans="1:14" ht="14.4" customHeight="1" x14ac:dyDescent="0.3">
      <c r="A131" s="615" t="s">
        <v>479</v>
      </c>
      <c r="B131" s="616" t="s">
        <v>2514</v>
      </c>
      <c r="C131" s="617" t="s">
        <v>484</v>
      </c>
      <c r="D131" s="618" t="s">
        <v>2515</v>
      </c>
      <c r="E131" s="617" t="s">
        <v>489</v>
      </c>
      <c r="F131" s="618" t="s">
        <v>2516</v>
      </c>
      <c r="G131" s="617" t="s">
        <v>551</v>
      </c>
      <c r="H131" s="617" t="s">
        <v>952</v>
      </c>
      <c r="I131" s="617" t="s">
        <v>885</v>
      </c>
      <c r="J131" s="617" t="s">
        <v>953</v>
      </c>
      <c r="K131" s="617"/>
      <c r="L131" s="619">
        <v>191.13177837605417</v>
      </c>
      <c r="M131" s="619">
        <v>146</v>
      </c>
      <c r="N131" s="620">
        <v>27905.239642903907</v>
      </c>
    </row>
    <row r="132" spans="1:14" ht="14.4" customHeight="1" x14ac:dyDescent="0.3">
      <c r="A132" s="615" t="s">
        <v>479</v>
      </c>
      <c r="B132" s="616" t="s">
        <v>2514</v>
      </c>
      <c r="C132" s="617" t="s">
        <v>484</v>
      </c>
      <c r="D132" s="618" t="s">
        <v>2515</v>
      </c>
      <c r="E132" s="617" t="s">
        <v>489</v>
      </c>
      <c r="F132" s="618" t="s">
        <v>2516</v>
      </c>
      <c r="G132" s="617" t="s">
        <v>551</v>
      </c>
      <c r="H132" s="617" t="s">
        <v>954</v>
      </c>
      <c r="I132" s="617" t="s">
        <v>885</v>
      </c>
      <c r="J132" s="617" t="s">
        <v>955</v>
      </c>
      <c r="K132" s="617"/>
      <c r="L132" s="619">
        <v>157.51992340084888</v>
      </c>
      <c r="M132" s="619">
        <v>26</v>
      </c>
      <c r="N132" s="620">
        <v>4095.518008422071</v>
      </c>
    </row>
    <row r="133" spans="1:14" ht="14.4" customHeight="1" x14ac:dyDescent="0.3">
      <c r="A133" s="615" t="s">
        <v>479</v>
      </c>
      <c r="B133" s="616" t="s">
        <v>2514</v>
      </c>
      <c r="C133" s="617" t="s">
        <v>484</v>
      </c>
      <c r="D133" s="618" t="s">
        <v>2515</v>
      </c>
      <c r="E133" s="617" t="s">
        <v>489</v>
      </c>
      <c r="F133" s="618" t="s">
        <v>2516</v>
      </c>
      <c r="G133" s="617" t="s">
        <v>551</v>
      </c>
      <c r="H133" s="617" t="s">
        <v>956</v>
      </c>
      <c r="I133" s="617" t="s">
        <v>885</v>
      </c>
      <c r="J133" s="617" t="s">
        <v>957</v>
      </c>
      <c r="K133" s="617"/>
      <c r="L133" s="619">
        <v>88.989999999999981</v>
      </c>
      <c r="M133" s="619">
        <v>5</v>
      </c>
      <c r="N133" s="620">
        <v>444.94999999999993</v>
      </c>
    </row>
    <row r="134" spans="1:14" ht="14.4" customHeight="1" x14ac:dyDescent="0.3">
      <c r="A134" s="615" t="s">
        <v>479</v>
      </c>
      <c r="B134" s="616" t="s">
        <v>2514</v>
      </c>
      <c r="C134" s="617" t="s">
        <v>484</v>
      </c>
      <c r="D134" s="618" t="s">
        <v>2515</v>
      </c>
      <c r="E134" s="617" t="s">
        <v>489</v>
      </c>
      <c r="F134" s="618" t="s">
        <v>2516</v>
      </c>
      <c r="G134" s="617" t="s">
        <v>551</v>
      </c>
      <c r="H134" s="617" t="s">
        <v>958</v>
      </c>
      <c r="I134" s="617" t="s">
        <v>828</v>
      </c>
      <c r="J134" s="617" t="s">
        <v>959</v>
      </c>
      <c r="K134" s="617" t="s">
        <v>960</v>
      </c>
      <c r="L134" s="619">
        <v>54.47</v>
      </c>
      <c r="M134" s="619">
        <v>1</v>
      </c>
      <c r="N134" s="620">
        <v>54.47</v>
      </c>
    </row>
    <row r="135" spans="1:14" ht="14.4" customHeight="1" x14ac:dyDescent="0.3">
      <c r="A135" s="615" t="s">
        <v>479</v>
      </c>
      <c r="B135" s="616" t="s">
        <v>2514</v>
      </c>
      <c r="C135" s="617" t="s">
        <v>484</v>
      </c>
      <c r="D135" s="618" t="s">
        <v>2515</v>
      </c>
      <c r="E135" s="617" t="s">
        <v>489</v>
      </c>
      <c r="F135" s="618" t="s">
        <v>2516</v>
      </c>
      <c r="G135" s="617" t="s">
        <v>551</v>
      </c>
      <c r="H135" s="617" t="s">
        <v>961</v>
      </c>
      <c r="I135" s="617" t="s">
        <v>961</v>
      </c>
      <c r="J135" s="617" t="s">
        <v>553</v>
      </c>
      <c r="K135" s="617" t="s">
        <v>962</v>
      </c>
      <c r="L135" s="619">
        <v>192.50010667308726</v>
      </c>
      <c r="M135" s="619">
        <v>63</v>
      </c>
      <c r="N135" s="620">
        <v>12127.506720404497</v>
      </c>
    </row>
    <row r="136" spans="1:14" ht="14.4" customHeight="1" x14ac:dyDescent="0.3">
      <c r="A136" s="615" t="s">
        <v>479</v>
      </c>
      <c r="B136" s="616" t="s">
        <v>2514</v>
      </c>
      <c r="C136" s="617" t="s">
        <v>484</v>
      </c>
      <c r="D136" s="618" t="s">
        <v>2515</v>
      </c>
      <c r="E136" s="617" t="s">
        <v>489</v>
      </c>
      <c r="F136" s="618" t="s">
        <v>2516</v>
      </c>
      <c r="G136" s="617" t="s">
        <v>551</v>
      </c>
      <c r="H136" s="617" t="s">
        <v>963</v>
      </c>
      <c r="I136" s="617" t="s">
        <v>963</v>
      </c>
      <c r="J136" s="617" t="s">
        <v>964</v>
      </c>
      <c r="K136" s="617" t="s">
        <v>965</v>
      </c>
      <c r="L136" s="619">
        <v>94.250001173357333</v>
      </c>
      <c r="M136" s="619">
        <v>2</v>
      </c>
      <c r="N136" s="620">
        <v>188.50000234671467</v>
      </c>
    </row>
    <row r="137" spans="1:14" ht="14.4" customHeight="1" x14ac:dyDescent="0.3">
      <c r="A137" s="615" t="s">
        <v>479</v>
      </c>
      <c r="B137" s="616" t="s">
        <v>2514</v>
      </c>
      <c r="C137" s="617" t="s">
        <v>484</v>
      </c>
      <c r="D137" s="618" t="s">
        <v>2515</v>
      </c>
      <c r="E137" s="617" t="s">
        <v>489</v>
      </c>
      <c r="F137" s="618" t="s">
        <v>2516</v>
      </c>
      <c r="G137" s="617" t="s">
        <v>551</v>
      </c>
      <c r="H137" s="617" t="s">
        <v>966</v>
      </c>
      <c r="I137" s="617" t="s">
        <v>967</v>
      </c>
      <c r="J137" s="617" t="s">
        <v>968</v>
      </c>
      <c r="K137" s="617" t="s">
        <v>969</v>
      </c>
      <c r="L137" s="619">
        <v>42.187883311557677</v>
      </c>
      <c r="M137" s="619">
        <v>137</v>
      </c>
      <c r="N137" s="620">
        <v>5779.7400136834021</v>
      </c>
    </row>
    <row r="138" spans="1:14" ht="14.4" customHeight="1" x14ac:dyDescent="0.3">
      <c r="A138" s="615" t="s">
        <v>479</v>
      </c>
      <c r="B138" s="616" t="s">
        <v>2514</v>
      </c>
      <c r="C138" s="617" t="s">
        <v>484</v>
      </c>
      <c r="D138" s="618" t="s">
        <v>2515</v>
      </c>
      <c r="E138" s="617" t="s">
        <v>489</v>
      </c>
      <c r="F138" s="618" t="s">
        <v>2516</v>
      </c>
      <c r="G138" s="617" t="s">
        <v>551</v>
      </c>
      <c r="H138" s="617" t="s">
        <v>970</v>
      </c>
      <c r="I138" s="617" t="s">
        <v>971</v>
      </c>
      <c r="J138" s="617" t="s">
        <v>972</v>
      </c>
      <c r="K138" s="617" t="s">
        <v>577</v>
      </c>
      <c r="L138" s="619">
        <v>57.120021345729128</v>
      </c>
      <c r="M138" s="619">
        <v>90</v>
      </c>
      <c r="N138" s="620">
        <v>5140.8019211156216</v>
      </c>
    </row>
    <row r="139" spans="1:14" ht="14.4" customHeight="1" x14ac:dyDescent="0.3">
      <c r="A139" s="615" t="s">
        <v>479</v>
      </c>
      <c r="B139" s="616" t="s">
        <v>2514</v>
      </c>
      <c r="C139" s="617" t="s">
        <v>484</v>
      </c>
      <c r="D139" s="618" t="s">
        <v>2515</v>
      </c>
      <c r="E139" s="617" t="s">
        <v>489</v>
      </c>
      <c r="F139" s="618" t="s">
        <v>2516</v>
      </c>
      <c r="G139" s="617" t="s">
        <v>551</v>
      </c>
      <c r="H139" s="617" t="s">
        <v>973</v>
      </c>
      <c r="I139" s="617" t="s">
        <v>974</v>
      </c>
      <c r="J139" s="617" t="s">
        <v>975</v>
      </c>
      <c r="K139" s="617" t="s">
        <v>573</v>
      </c>
      <c r="L139" s="619">
        <v>123.83449310365181</v>
      </c>
      <c r="M139" s="619">
        <v>330</v>
      </c>
      <c r="N139" s="620">
        <v>40865.382724205097</v>
      </c>
    </row>
    <row r="140" spans="1:14" ht="14.4" customHeight="1" x14ac:dyDescent="0.3">
      <c r="A140" s="615" t="s">
        <v>479</v>
      </c>
      <c r="B140" s="616" t="s">
        <v>2514</v>
      </c>
      <c r="C140" s="617" t="s">
        <v>484</v>
      </c>
      <c r="D140" s="618" t="s">
        <v>2515</v>
      </c>
      <c r="E140" s="617" t="s">
        <v>489</v>
      </c>
      <c r="F140" s="618" t="s">
        <v>2516</v>
      </c>
      <c r="G140" s="617" t="s">
        <v>551</v>
      </c>
      <c r="H140" s="617" t="s">
        <v>976</v>
      </c>
      <c r="I140" s="617" t="s">
        <v>977</v>
      </c>
      <c r="J140" s="617" t="s">
        <v>978</v>
      </c>
      <c r="K140" s="617" t="s">
        <v>979</v>
      </c>
      <c r="L140" s="619">
        <v>60.279909229960694</v>
      </c>
      <c r="M140" s="619">
        <v>215</v>
      </c>
      <c r="N140" s="620">
        <v>12960.180484441549</v>
      </c>
    </row>
    <row r="141" spans="1:14" ht="14.4" customHeight="1" x14ac:dyDescent="0.3">
      <c r="A141" s="615" t="s">
        <v>479</v>
      </c>
      <c r="B141" s="616" t="s">
        <v>2514</v>
      </c>
      <c r="C141" s="617" t="s">
        <v>484</v>
      </c>
      <c r="D141" s="618" t="s">
        <v>2515</v>
      </c>
      <c r="E141" s="617" t="s">
        <v>489</v>
      </c>
      <c r="F141" s="618" t="s">
        <v>2516</v>
      </c>
      <c r="G141" s="617" t="s">
        <v>551</v>
      </c>
      <c r="H141" s="617" t="s">
        <v>980</v>
      </c>
      <c r="I141" s="617" t="s">
        <v>981</v>
      </c>
      <c r="J141" s="617" t="s">
        <v>982</v>
      </c>
      <c r="K141" s="617" t="s">
        <v>983</v>
      </c>
      <c r="L141" s="619">
        <v>50.930000000000021</v>
      </c>
      <c r="M141" s="619">
        <v>1</v>
      </c>
      <c r="N141" s="620">
        <v>50.930000000000021</v>
      </c>
    </row>
    <row r="142" spans="1:14" ht="14.4" customHeight="1" x14ac:dyDescent="0.3">
      <c r="A142" s="615" t="s">
        <v>479</v>
      </c>
      <c r="B142" s="616" t="s">
        <v>2514</v>
      </c>
      <c r="C142" s="617" t="s">
        <v>484</v>
      </c>
      <c r="D142" s="618" t="s">
        <v>2515</v>
      </c>
      <c r="E142" s="617" t="s">
        <v>489</v>
      </c>
      <c r="F142" s="618" t="s">
        <v>2516</v>
      </c>
      <c r="G142" s="617" t="s">
        <v>551</v>
      </c>
      <c r="H142" s="617" t="s">
        <v>984</v>
      </c>
      <c r="I142" s="617" t="s">
        <v>985</v>
      </c>
      <c r="J142" s="617" t="s">
        <v>986</v>
      </c>
      <c r="K142" s="617" t="s">
        <v>987</v>
      </c>
      <c r="L142" s="619">
        <v>62.516250000000014</v>
      </c>
      <c r="M142" s="619">
        <v>8</v>
      </c>
      <c r="N142" s="620">
        <v>500.13000000000011</v>
      </c>
    </row>
    <row r="143" spans="1:14" ht="14.4" customHeight="1" x14ac:dyDescent="0.3">
      <c r="A143" s="615" t="s">
        <v>479</v>
      </c>
      <c r="B143" s="616" t="s">
        <v>2514</v>
      </c>
      <c r="C143" s="617" t="s">
        <v>484</v>
      </c>
      <c r="D143" s="618" t="s">
        <v>2515</v>
      </c>
      <c r="E143" s="617" t="s">
        <v>489</v>
      </c>
      <c r="F143" s="618" t="s">
        <v>2516</v>
      </c>
      <c r="G143" s="617" t="s">
        <v>551</v>
      </c>
      <c r="H143" s="617" t="s">
        <v>988</v>
      </c>
      <c r="I143" s="617" t="s">
        <v>989</v>
      </c>
      <c r="J143" s="617" t="s">
        <v>990</v>
      </c>
      <c r="K143" s="617" t="s">
        <v>991</v>
      </c>
      <c r="L143" s="619">
        <v>1593.9935642370358</v>
      </c>
      <c r="M143" s="619">
        <v>141.39999999999998</v>
      </c>
      <c r="N143" s="620">
        <v>225390.68998311681</v>
      </c>
    </row>
    <row r="144" spans="1:14" ht="14.4" customHeight="1" x14ac:dyDescent="0.3">
      <c r="A144" s="615" t="s">
        <v>479</v>
      </c>
      <c r="B144" s="616" t="s">
        <v>2514</v>
      </c>
      <c r="C144" s="617" t="s">
        <v>484</v>
      </c>
      <c r="D144" s="618" t="s">
        <v>2515</v>
      </c>
      <c r="E144" s="617" t="s">
        <v>489</v>
      </c>
      <c r="F144" s="618" t="s">
        <v>2516</v>
      </c>
      <c r="G144" s="617" t="s">
        <v>551</v>
      </c>
      <c r="H144" s="617" t="s">
        <v>992</v>
      </c>
      <c r="I144" s="617" t="s">
        <v>993</v>
      </c>
      <c r="J144" s="617" t="s">
        <v>994</v>
      </c>
      <c r="K144" s="617" t="s">
        <v>995</v>
      </c>
      <c r="L144" s="619">
        <v>71.449999999999989</v>
      </c>
      <c r="M144" s="619">
        <v>2</v>
      </c>
      <c r="N144" s="620">
        <v>142.89999999999998</v>
      </c>
    </row>
    <row r="145" spans="1:14" ht="14.4" customHeight="1" x14ac:dyDescent="0.3">
      <c r="A145" s="615" t="s">
        <v>479</v>
      </c>
      <c r="B145" s="616" t="s">
        <v>2514</v>
      </c>
      <c r="C145" s="617" t="s">
        <v>484</v>
      </c>
      <c r="D145" s="618" t="s">
        <v>2515</v>
      </c>
      <c r="E145" s="617" t="s">
        <v>489</v>
      </c>
      <c r="F145" s="618" t="s">
        <v>2516</v>
      </c>
      <c r="G145" s="617" t="s">
        <v>551</v>
      </c>
      <c r="H145" s="617" t="s">
        <v>996</v>
      </c>
      <c r="I145" s="617" t="s">
        <v>997</v>
      </c>
      <c r="J145" s="617" t="s">
        <v>998</v>
      </c>
      <c r="K145" s="617" t="s">
        <v>999</v>
      </c>
      <c r="L145" s="619">
        <v>74.879984969493066</v>
      </c>
      <c r="M145" s="619">
        <v>129.75</v>
      </c>
      <c r="N145" s="620">
        <v>9715.6780497917262</v>
      </c>
    </row>
    <row r="146" spans="1:14" ht="14.4" customHeight="1" x14ac:dyDescent="0.3">
      <c r="A146" s="615" t="s">
        <v>479</v>
      </c>
      <c r="B146" s="616" t="s">
        <v>2514</v>
      </c>
      <c r="C146" s="617" t="s">
        <v>484</v>
      </c>
      <c r="D146" s="618" t="s">
        <v>2515</v>
      </c>
      <c r="E146" s="617" t="s">
        <v>489</v>
      </c>
      <c r="F146" s="618" t="s">
        <v>2516</v>
      </c>
      <c r="G146" s="617" t="s">
        <v>551</v>
      </c>
      <c r="H146" s="617" t="s">
        <v>1000</v>
      </c>
      <c r="I146" s="617" t="s">
        <v>1001</v>
      </c>
      <c r="J146" s="617" t="s">
        <v>691</v>
      </c>
      <c r="K146" s="617" t="s">
        <v>1002</v>
      </c>
      <c r="L146" s="619">
        <v>241.99988858673416</v>
      </c>
      <c r="M146" s="619">
        <v>236</v>
      </c>
      <c r="N146" s="620">
        <v>57111.97370646926</v>
      </c>
    </row>
    <row r="147" spans="1:14" ht="14.4" customHeight="1" x14ac:dyDescent="0.3">
      <c r="A147" s="615" t="s">
        <v>479</v>
      </c>
      <c r="B147" s="616" t="s">
        <v>2514</v>
      </c>
      <c r="C147" s="617" t="s">
        <v>484</v>
      </c>
      <c r="D147" s="618" t="s">
        <v>2515</v>
      </c>
      <c r="E147" s="617" t="s">
        <v>489</v>
      </c>
      <c r="F147" s="618" t="s">
        <v>2516</v>
      </c>
      <c r="G147" s="617" t="s">
        <v>551</v>
      </c>
      <c r="H147" s="617" t="s">
        <v>1003</v>
      </c>
      <c r="I147" s="617" t="s">
        <v>1004</v>
      </c>
      <c r="J147" s="617" t="s">
        <v>1005</v>
      </c>
      <c r="K147" s="617" t="s">
        <v>1006</v>
      </c>
      <c r="L147" s="619">
        <v>23.870000000000005</v>
      </c>
      <c r="M147" s="619">
        <v>4</v>
      </c>
      <c r="N147" s="620">
        <v>95.480000000000018</v>
      </c>
    </row>
    <row r="148" spans="1:14" ht="14.4" customHeight="1" x14ac:dyDescent="0.3">
      <c r="A148" s="615" t="s">
        <v>479</v>
      </c>
      <c r="B148" s="616" t="s">
        <v>2514</v>
      </c>
      <c r="C148" s="617" t="s">
        <v>484</v>
      </c>
      <c r="D148" s="618" t="s">
        <v>2515</v>
      </c>
      <c r="E148" s="617" t="s">
        <v>489</v>
      </c>
      <c r="F148" s="618" t="s">
        <v>2516</v>
      </c>
      <c r="G148" s="617" t="s">
        <v>551</v>
      </c>
      <c r="H148" s="617" t="s">
        <v>1007</v>
      </c>
      <c r="I148" s="617" t="s">
        <v>1008</v>
      </c>
      <c r="J148" s="617" t="s">
        <v>1009</v>
      </c>
      <c r="K148" s="617" t="s">
        <v>1010</v>
      </c>
      <c r="L148" s="619">
        <v>107.66</v>
      </c>
      <c r="M148" s="619">
        <v>1</v>
      </c>
      <c r="N148" s="620">
        <v>107.66</v>
      </c>
    </row>
    <row r="149" spans="1:14" ht="14.4" customHeight="1" x14ac:dyDescent="0.3">
      <c r="A149" s="615" t="s">
        <v>479</v>
      </c>
      <c r="B149" s="616" t="s">
        <v>2514</v>
      </c>
      <c r="C149" s="617" t="s">
        <v>484</v>
      </c>
      <c r="D149" s="618" t="s">
        <v>2515</v>
      </c>
      <c r="E149" s="617" t="s">
        <v>489</v>
      </c>
      <c r="F149" s="618" t="s">
        <v>2516</v>
      </c>
      <c r="G149" s="617" t="s">
        <v>551</v>
      </c>
      <c r="H149" s="617" t="s">
        <v>1011</v>
      </c>
      <c r="I149" s="617" t="s">
        <v>1012</v>
      </c>
      <c r="J149" s="617" t="s">
        <v>1013</v>
      </c>
      <c r="K149" s="617" t="s">
        <v>1014</v>
      </c>
      <c r="L149" s="619">
        <v>1657.9371663675099</v>
      </c>
      <c r="M149" s="619">
        <v>123</v>
      </c>
      <c r="N149" s="620">
        <v>203926.27146320371</v>
      </c>
    </row>
    <row r="150" spans="1:14" ht="14.4" customHeight="1" x14ac:dyDescent="0.3">
      <c r="A150" s="615" t="s">
        <v>479</v>
      </c>
      <c r="B150" s="616" t="s">
        <v>2514</v>
      </c>
      <c r="C150" s="617" t="s">
        <v>484</v>
      </c>
      <c r="D150" s="618" t="s">
        <v>2515</v>
      </c>
      <c r="E150" s="617" t="s">
        <v>489</v>
      </c>
      <c r="F150" s="618" t="s">
        <v>2516</v>
      </c>
      <c r="G150" s="617" t="s">
        <v>551</v>
      </c>
      <c r="H150" s="617" t="s">
        <v>1015</v>
      </c>
      <c r="I150" s="617" t="s">
        <v>1016</v>
      </c>
      <c r="J150" s="617" t="s">
        <v>1017</v>
      </c>
      <c r="K150" s="617" t="s">
        <v>1018</v>
      </c>
      <c r="L150" s="619">
        <v>241.76</v>
      </c>
      <c r="M150" s="619">
        <v>1</v>
      </c>
      <c r="N150" s="620">
        <v>241.76</v>
      </c>
    </row>
    <row r="151" spans="1:14" ht="14.4" customHeight="1" x14ac:dyDescent="0.3">
      <c r="A151" s="615" t="s">
        <v>479</v>
      </c>
      <c r="B151" s="616" t="s">
        <v>2514</v>
      </c>
      <c r="C151" s="617" t="s">
        <v>484</v>
      </c>
      <c r="D151" s="618" t="s">
        <v>2515</v>
      </c>
      <c r="E151" s="617" t="s">
        <v>489</v>
      </c>
      <c r="F151" s="618" t="s">
        <v>2516</v>
      </c>
      <c r="G151" s="617" t="s">
        <v>551</v>
      </c>
      <c r="H151" s="617" t="s">
        <v>1019</v>
      </c>
      <c r="I151" s="617" t="s">
        <v>1020</v>
      </c>
      <c r="J151" s="617" t="s">
        <v>1021</v>
      </c>
      <c r="K151" s="617" t="s">
        <v>1022</v>
      </c>
      <c r="L151" s="619">
        <v>32.19</v>
      </c>
      <c r="M151" s="619">
        <v>1</v>
      </c>
      <c r="N151" s="620">
        <v>32.19</v>
      </c>
    </row>
    <row r="152" spans="1:14" ht="14.4" customHeight="1" x14ac:dyDescent="0.3">
      <c r="A152" s="615" t="s">
        <v>479</v>
      </c>
      <c r="B152" s="616" t="s">
        <v>2514</v>
      </c>
      <c r="C152" s="617" t="s">
        <v>484</v>
      </c>
      <c r="D152" s="618" t="s">
        <v>2515</v>
      </c>
      <c r="E152" s="617" t="s">
        <v>489</v>
      </c>
      <c r="F152" s="618" t="s">
        <v>2516</v>
      </c>
      <c r="G152" s="617" t="s">
        <v>551</v>
      </c>
      <c r="H152" s="617" t="s">
        <v>1023</v>
      </c>
      <c r="I152" s="617" t="s">
        <v>1024</v>
      </c>
      <c r="J152" s="617" t="s">
        <v>1025</v>
      </c>
      <c r="K152" s="617" t="s">
        <v>1018</v>
      </c>
      <c r="L152" s="619">
        <v>60.359999999999985</v>
      </c>
      <c r="M152" s="619">
        <v>4</v>
      </c>
      <c r="N152" s="620">
        <v>241.43999999999994</v>
      </c>
    </row>
    <row r="153" spans="1:14" ht="14.4" customHeight="1" x14ac:dyDescent="0.3">
      <c r="A153" s="615" t="s">
        <v>479</v>
      </c>
      <c r="B153" s="616" t="s">
        <v>2514</v>
      </c>
      <c r="C153" s="617" t="s">
        <v>484</v>
      </c>
      <c r="D153" s="618" t="s">
        <v>2515</v>
      </c>
      <c r="E153" s="617" t="s">
        <v>489</v>
      </c>
      <c r="F153" s="618" t="s">
        <v>2516</v>
      </c>
      <c r="G153" s="617" t="s">
        <v>551</v>
      </c>
      <c r="H153" s="617" t="s">
        <v>1026</v>
      </c>
      <c r="I153" s="617" t="s">
        <v>1027</v>
      </c>
      <c r="J153" s="617" t="s">
        <v>1028</v>
      </c>
      <c r="K153" s="617" t="s">
        <v>1029</v>
      </c>
      <c r="L153" s="619">
        <v>1057.1203628182009</v>
      </c>
      <c r="M153" s="619">
        <v>13</v>
      </c>
      <c r="N153" s="620">
        <v>13742.564716636613</v>
      </c>
    </row>
    <row r="154" spans="1:14" ht="14.4" customHeight="1" x14ac:dyDescent="0.3">
      <c r="A154" s="615" t="s">
        <v>479</v>
      </c>
      <c r="B154" s="616" t="s">
        <v>2514</v>
      </c>
      <c r="C154" s="617" t="s">
        <v>484</v>
      </c>
      <c r="D154" s="618" t="s">
        <v>2515</v>
      </c>
      <c r="E154" s="617" t="s">
        <v>489</v>
      </c>
      <c r="F154" s="618" t="s">
        <v>2516</v>
      </c>
      <c r="G154" s="617" t="s">
        <v>551</v>
      </c>
      <c r="H154" s="617" t="s">
        <v>1030</v>
      </c>
      <c r="I154" s="617" t="s">
        <v>1031</v>
      </c>
      <c r="J154" s="617" t="s">
        <v>1032</v>
      </c>
      <c r="K154" s="617" t="s">
        <v>1033</v>
      </c>
      <c r="L154" s="619">
        <v>188.87962052514246</v>
      </c>
      <c r="M154" s="619">
        <v>20</v>
      </c>
      <c r="N154" s="620">
        <v>3777.5924105028494</v>
      </c>
    </row>
    <row r="155" spans="1:14" ht="14.4" customHeight="1" x14ac:dyDescent="0.3">
      <c r="A155" s="615" t="s">
        <v>479</v>
      </c>
      <c r="B155" s="616" t="s">
        <v>2514</v>
      </c>
      <c r="C155" s="617" t="s">
        <v>484</v>
      </c>
      <c r="D155" s="618" t="s">
        <v>2515</v>
      </c>
      <c r="E155" s="617" t="s">
        <v>489</v>
      </c>
      <c r="F155" s="618" t="s">
        <v>2516</v>
      </c>
      <c r="G155" s="617" t="s">
        <v>551</v>
      </c>
      <c r="H155" s="617" t="s">
        <v>1034</v>
      </c>
      <c r="I155" s="617" t="s">
        <v>1035</v>
      </c>
      <c r="J155" s="617" t="s">
        <v>1036</v>
      </c>
      <c r="K155" s="617" t="s">
        <v>1037</v>
      </c>
      <c r="L155" s="619">
        <v>101.3502389978694</v>
      </c>
      <c r="M155" s="619">
        <v>2</v>
      </c>
      <c r="N155" s="620">
        <v>202.70047799573879</v>
      </c>
    </row>
    <row r="156" spans="1:14" ht="14.4" customHeight="1" x14ac:dyDescent="0.3">
      <c r="A156" s="615" t="s">
        <v>479</v>
      </c>
      <c r="B156" s="616" t="s">
        <v>2514</v>
      </c>
      <c r="C156" s="617" t="s">
        <v>484</v>
      </c>
      <c r="D156" s="618" t="s">
        <v>2515</v>
      </c>
      <c r="E156" s="617" t="s">
        <v>489</v>
      </c>
      <c r="F156" s="618" t="s">
        <v>2516</v>
      </c>
      <c r="G156" s="617" t="s">
        <v>551</v>
      </c>
      <c r="H156" s="617" t="s">
        <v>1038</v>
      </c>
      <c r="I156" s="617" t="s">
        <v>1039</v>
      </c>
      <c r="J156" s="617" t="s">
        <v>1040</v>
      </c>
      <c r="K156" s="617" t="s">
        <v>1041</v>
      </c>
      <c r="L156" s="619">
        <v>440.90661500743732</v>
      </c>
      <c r="M156" s="619">
        <v>34</v>
      </c>
      <c r="N156" s="620">
        <v>14990.82491025287</v>
      </c>
    </row>
    <row r="157" spans="1:14" ht="14.4" customHeight="1" x14ac:dyDescent="0.3">
      <c r="A157" s="615" t="s">
        <v>479</v>
      </c>
      <c r="B157" s="616" t="s">
        <v>2514</v>
      </c>
      <c r="C157" s="617" t="s">
        <v>484</v>
      </c>
      <c r="D157" s="618" t="s">
        <v>2515</v>
      </c>
      <c r="E157" s="617" t="s">
        <v>489</v>
      </c>
      <c r="F157" s="618" t="s">
        <v>2516</v>
      </c>
      <c r="G157" s="617" t="s">
        <v>551</v>
      </c>
      <c r="H157" s="617" t="s">
        <v>1042</v>
      </c>
      <c r="I157" s="617" t="s">
        <v>1042</v>
      </c>
      <c r="J157" s="617" t="s">
        <v>1043</v>
      </c>
      <c r="K157" s="617" t="s">
        <v>1044</v>
      </c>
      <c r="L157" s="619">
        <v>586.70000000000016</v>
      </c>
      <c r="M157" s="619">
        <v>1</v>
      </c>
      <c r="N157" s="620">
        <v>586.70000000000016</v>
      </c>
    </row>
    <row r="158" spans="1:14" ht="14.4" customHeight="1" x14ac:dyDescent="0.3">
      <c r="A158" s="615" t="s">
        <v>479</v>
      </c>
      <c r="B158" s="616" t="s">
        <v>2514</v>
      </c>
      <c r="C158" s="617" t="s">
        <v>484</v>
      </c>
      <c r="D158" s="618" t="s">
        <v>2515</v>
      </c>
      <c r="E158" s="617" t="s">
        <v>489</v>
      </c>
      <c r="F158" s="618" t="s">
        <v>2516</v>
      </c>
      <c r="G158" s="617" t="s">
        <v>551</v>
      </c>
      <c r="H158" s="617" t="s">
        <v>1045</v>
      </c>
      <c r="I158" s="617" t="s">
        <v>1046</v>
      </c>
      <c r="J158" s="617" t="s">
        <v>1047</v>
      </c>
      <c r="K158" s="617" t="s">
        <v>1048</v>
      </c>
      <c r="L158" s="619">
        <v>563.14994986570798</v>
      </c>
      <c r="M158" s="619">
        <v>19</v>
      </c>
      <c r="N158" s="620">
        <v>10699.849047448452</v>
      </c>
    </row>
    <row r="159" spans="1:14" ht="14.4" customHeight="1" x14ac:dyDescent="0.3">
      <c r="A159" s="615" t="s">
        <v>479</v>
      </c>
      <c r="B159" s="616" t="s">
        <v>2514</v>
      </c>
      <c r="C159" s="617" t="s">
        <v>484</v>
      </c>
      <c r="D159" s="618" t="s">
        <v>2515</v>
      </c>
      <c r="E159" s="617" t="s">
        <v>489</v>
      </c>
      <c r="F159" s="618" t="s">
        <v>2516</v>
      </c>
      <c r="G159" s="617" t="s">
        <v>551</v>
      </c>
      <c r="H159" s="617" t="s">
        <v>1049</v>
      </c>
      <c r="I159" s="617" t="s">
        <v>1050</v>
      </c>
      <c r="J159" s="617" t="s">
        <v>1051</v>
      </c>
      <c r="K159" s="617" t="s">
        <v>1052</v>
      </c>
      <c r="L159" s="619">
        <v>20.759189057226585</v>
      </c>
      <c r="M159" s="619">
        <v>277</v>
      </c>
      <c r="N159" s="620">
        <v>5750.2953688517637</v>
      </c>
    </row>
    <row r="160" spans="1:14" ht="14.4" customHeight="1" x14ac:dyDescent="0.3">
      <c r="A160" s="615" t="s">
        <v>479</v>
      </c>
      <c r="B160" s="616" t="s">
        <v>2514</v>
      </c>
      <c r="C160" s="617" t="s">
        <v>484</v>
      </c>
      <c r="D160" s="618" t="s">
        <v>2515</v>
      </c>
      <c r="E160" s="617" t="s">
        <v>489</v>
      </c>
      <c r="F160" s="618" t="s">
        <v>2516</v>
      </c>
      <c r="G160" s="617" t="s">
        <v>551</v>
      </c>
      <c r="H160" s="617" t="s">
        <v>1053</v>
      </c>
      <c r="I160" s="617" t="s">
        <v>1054</v>
      </c>
      <c r="J160" s="617" t="s">
        <v>1055</v>
      </c>
      <c r="K160" s="617" t="s">
        <v>1056</v>
      </c>
      <c r="L160" s="619">
        <v>3918.2143341248725</v>
      </c>
      <c r="M160" s="619">
        <v>5</v>
      </c>
      <c r="N160" s="620">
        <v>19591.071670624362</v>
      </c>
    </row>
    <row r="161" spans="1:14" ht="14.4" customHeight="1" x14ac:dyDescent="0.3">
      <c r="A161" s="615" t="s">
        <v>479</v>
      </c>
      <c r="B161" s="616" t="s">
        <v>2514</v>
      </c>
      <c r="C161" s="617" t="s">
        <v>484</v>
      </c>
      <c r="D161" s="618" t="s">
        <v>2515</v>
      </c>
      <c r="E161" s="617" t="s">
        <v>489</v>
      </c>
      <c r="F161" s="618" t="s">
        <v>2516</v>
      </c>
      <c r="G161" s="617" t="s">
        <v>551</v>
      </c>
      <c r="H161" s="617" t="s">
        <v>1057</v>
      </c>
      <c r="I161" s="617" t="s">
        <v>1058</v>
      </c>
      <c r="J161" s="617" t="s">
        <v>806</v>
      </c>
      <c r="K161" s="617" t="s">
        <v>1059</v>
      </c>
      <c r="L161" s="619">
        <v>74.859984655879131</v>
      </c>
      <c r="M161" s="619">
        <v>7</v>
      </c>
      <c r="N161" s="620">
        <v>524.01989259115396</v>
      </c>
    </row>
    <row r="162" spans="1:14" ht="14.4" customHeight="1" x14ac:dyDescent="0.3">
      <c r="A162" s="615" t="s">
        <v>479</v>
      </c>
      <c r="B162" s="616" t="s">
        <v>2514</v>
      </c>
      <c r="C162" s="617" t="s">
        <v>484</v>
      </c>
      <c r="D162" s="618" t="s">
        <v>2515</v>
      </c>
      <c r="E162" s="617" t="s">
        <v>489</v>
      </c>
      <c r="F162" s="618" t="s">
        <v>2516</v>
      </c>
      <c r="G162" s="617" t="s">
        <v>551</v>
      </c>
      <c r="H162" s="617" t="s">
        <v>1060</v>
      </c>
      <c r="I162" s="617" t="s">
        <v>1061</v>
      </c>
      <c r="J162" s="617" t="s">
        <v>1062</v>
      </c>
      <c r="K162" s="617" t="s">
        <v>1063</v>
      </c>
      <c r="L162" s="619">
        <v>68.891411981566819</v>
      </c>
      <c r="M162" s="619">
        <v>6</v>
      </c>
      <c r="N162" s="620">
        <v>413.34847188940091</v>
      </c>
    </row>
    <row r="163" spans="1:14" ht="14.4" customHeight="1" x14ac:dyDescent="0.3">
      <c r="A163" s="615" t="s">
        <v>479</v>
      </c>
      <c r="B163" s="616" t="s">
        <v>2514</v>
      </c>
      <c r="C163" s="617" t="s">
        <v>484</v>
      </c>
      <c r="D163" s="618" t="s">
        <v>2515</v>
      </c>
      <c r="E163" s="617" t="s">
        <v>489</v>
      </c>
      <c r="F163" s="618" t="s">
        <v>2516</v>
      </c>
      <c r="G163" s="617" t="s">
        <v>551</v>
      </c>
      <c r="H163" s="617" t="s">
        <v>1064</v>
      </c>
      <c r="I163" s="617" t="s">
        <v>1065</v>
      </c>
      <c r="J163" s="617" t="s">
        <v>1066</v>
      </c>
      <c r="K163" s="617" t="s">
        <v>1067</v>
      </c>
      <c r="L163" s="619">
        <v>52.389937474419163</v>
      </c>
      <c r="M163" s="619">
        <v>20</v>
      </c>
      <c r="N163" s="620">
        <v>1047.7987494883832</v>
      </c>
    </row>
    <row r="164" spans="1:14" ht="14.4" customHeight="1" x14ac:dyDescent="0.3">
      <c r="A164" s="615" t="s">
        <v>479</v>
      </c>
      <c r="B164" s="616" t="s">
        <v>2514</v>
      </c>
      <c r="C164" s="617" t="s">
        <v>484</v>
      </c>
      <c r="D164" s="618" t="s">
        <v>2515</v>
      </c>
      <c r="E164" s="617" t="s">
        <v>489</v>
      </c>
      <c r="F164" s="618" t="s">
        <v>2516</v>
      </c>
      <c r="G164" s="617" t="s">
        <v>551</v>
      </c>
      <c r="H164" s="617" t="s">
        <v>1068</v>
      </c>
      <c r="I164" s="617" t="s">
        <v>1069</v>
      </c>
      <c r="J164" s="617" t="s">
        <v>1066</v>
      </c>
      <c r="K164" s="617" t="s">
        <v>1070</v>
      </c>
      <c r="L164" s="619">
        <v>74.89</v>
      </c>
      <c r="M164" s="619">
        <v>2</v>
      </c>
      <c r="N164" s="620">
        <v>149.78</v>
      </c>
    </row>
    <row r="165" spans="1:14" ht="14.4" customHeight="1" x14ac:dyDescent="0.3">
      <c r="A165" s="615" t="s">
        <v>479</v>
      </c>
      <c r="B165" s="616" t="s">
        <v>2514</v>
      </c>
      <c r="C165" s="617" t="s">
        <v>484</v>
      </c>
      <c r="D165" s="618" t="s">
        <v>2515</v>
      </c>
      <c r="E165" s="617" t="s">
        <v>489</v>
      </c>
      <c r="F165" s="618" t="s">
        <v>2516</v>
      </c>
      <c r="G165" s="617" t="s">
        <v>551</v>
      </c>
      <c r="H165" s="617" t="s">
        <v>1071</v>
      </c>
      <c r="I165" s="617" t="s">
        <v>1072</v>
      </c>
      <c r="J165" s="617" t="s">
        <v>1073</v>
      </c>
      <c r="K165" s="617" t="s">
        <v>1074</v>
      </c>
      <c r="L165" s="619">
        <v>48.612731291632493</v>
      </c>
      <c r="M165" s="619">
        <v>66</v>
      </c>
      <c r="N165" s="620">
        <v>3208.4402652477447</v>
      </c>
    </row>
    <row r="166" spans="1:14" ht="14.4" customHeight="1" x14ac:dyDescent="0.3">
      <c r="A166" s="615" t="s">
        <v>479</v>
      </c>
      <c r="B166" s="616" t="s">
        <v>2514</v>
      </c>
      <c r="C166" s="617" t="s">
        <v>484</v>
      </c>
      <c r="D166" s="618" t="s">
        <v>2515</v>
      </c>
      <c r="E166" s="617" t="s">
        <v>489</v>
      </c>
      <c r="F166" s="618" t="s">
        <v>2516</v>
      </c>
      <c r="G166" s="617" t="s">
        <v>551</v>
      </c>
      <c r="H166" s="617" t="s">
        <v>1075</v>
      </c>
      <c r="I166" s="617" t="s">
        <v>885</v>
      </c>
      <c r="J166" s="617" t="s">
        <v>1076</v>
      </c>
      <c r="K166" s="617"/>
      <c r="L166" s="619">
        <v>30.589999999999996</v>
      </c>
      <c r="M166" s="619">
        <v>1</v>
      </c>
      <c r="N166" s="620">
        <v>30.589999999999996</v>
      </c>
    </row>
    <row r="167" spans="1:14" ht="14.4" customHeight="1" x14ac:dyDescent="0.3">
      <c r="A167" s="615" t="s">
        <v>479</v>
      </c>
      <c r="B167" s="616" t="s">
        <v>2514</v>
      </c>
      <c r="C167" s="617" t="s">
        <v>484</v>
      </c>
      <c r="D167" s="618" t="s">
        <v>2515</v>
      </c>
      <c r="E167" s="617" t="s">
        <v>489</v>
      </c>
      <c r="F167" s="618" t="s">
        <v>2516</v>
      </c>
      <c r="G167" s="617" t="s">
        <v>551</v>
      </c>
      <c r="H167" s="617" t="s">
        <v>1077</v>
      </c>
      <c r="I167" s="617" t="s">
        <v>885</v>
      </c>
      <c r="J167" s="617" t="s">
        <v>1078</v>
      </c>
      <c r="K167" s="617"/>
      <c r="L167" s="619">
        <v>111.23346812525438</v>
      </c>
      <c r="M167" s="619">
        <v>65</v>
      </c>
      <c r="N167" s="620">
        <v>7230.1754281415342</v>
      </c>
    </row>
    <row r="168" spans="1:14" ht="14.4" customHeight="1" x14ac:dyDescent="0.3">
      <c r="A168" s="615" t="s">
        <v>479</v>
      </c>
      <c r="B168" s="616" t="s">
        <v>2514</v>
      </c>
      <c r="C168" s="617" t="s">
        <v>484</v>
      </c>
      <c r="D168" s="618" t="s">
        <v>2515</v>
      </c>
      <c r="E168" s="617" t="s">
        <v>489</v>
      </c>
      <c r="F168" s="618" t="s">
        <v>2516</v>
      </c>
      <c r="G168" s="617" t="s">
        <v>551</v>
      </c>
      <c r="H168" s="617" t="s">
        <v>1079</v>
      </c>
      <c r="I168" s="617" t="s">
        <v>885</v>
      </c>
      <c r="J168" s="617" t="s">
        <v>1080</v>
      </c>
      <c r="K168" s="617"/>
      <c r="L168" s="619">
        <v>148.23989568974312</v>
      </c>
      <c r="M168" s="619">
        <v>3</v>
      </c>
      <c r="N168" s="620">
        <v>444.71968706922939</v>
      </c>
    </row>
    <row r="169" spans="1:14" ht="14.4" customHeight="1" x14ac:dyDescent="0.3">
      <c r="A169" s="615" t="s">
        <v>479</v>
      </c>
      <c r="B169" s="616" t="s">
        <v>2514</v>
      </c>
      <c r="C169" s="617" t="s">
        <v>484</v>
      </c>
      <c r="D169" s="618" t="s">
        <v>2515</v>
      </c>
      <c r="E169" s="617" t="s">
        <v>489</v>
      </c>
      <c r="F169" s="618" t="s">
        <v>2516</v>
      </c>
      <c r="G169" s="617" t="s">
        <v>551</v>
      </c>
      <c r="H169" s="617" t="s">
        <v>1081</v>
      </c>
      <c r="I169" s="617" t="s">
        <v>1082</v>
      </c>
      <c r="J169" s="617" t="s">
        <v>1083</v>
      </c>
      <c r="K169" s="617" t="s">
        <v>1084</v>
      </c>
      <c r="L169" s="619">
        <v>166.6493339741163</v>
      </c>
      <c r="M169" s="619">
        <v>1</v>
      </c>
      <c r="N169" s="620">
        <v>166.6493339741163</v>
      </c>
    </row>
    <row r="170" spans="1:14" ht="14.4" customHeight="1" x14ac:dyDescent="0.3">
      <c r="A170" s="615" t="s">
        <v>479</v>
      </c>
      <c r="B170" s="616" t="s">
        <v>2514</v>
      </c>
      <c r="C170" s="617" t="s">
        <v>484</v>
      </c>
      <c r="D170" s="618" t="s">
        <v>2515</v>
      </c>
      <c r="E170" s="617" t="s">
        <v>489</v>
      </c>
      <c r="F170" s="618" t="s">
        <v>2516</v>
      </c>
      <c r="G170" s="617" t="s">
        <v>551</v>
      </c>
      <c r="H170" s="617" t="s">
        <v>1085</v>
      </c>
      <c r="I170" s="617" t="s">
        <v>1086</v>
      </c>
      <c r="J170" s="617" t="s">
        <v>1087</v>
      </c>
      <c r="K170" s="617" t="s">
        <v>1088</v>
      </c>
      <c r="L170" s="619">
        <v>47.621921819714871</v>
      </c>
      <c r="M170" s="619">
        <v>53</v>
      </c>
      <c r="N170" s="620">
        <v>2523.9618564448883</v>
      </c>
    </row>
    <row r="171" spans="1:14" ht="14.4" customHeight="1" x14ac:dyDescent="0.3">
      <c r="A171" s="615" t="s">
        <v>479</v>
      </c>
      <c r="B171" s="616" t="s">
        <v>2514</v>
      </c>
      <c r="C171" s="617" t="s">
        <v>484</v>
      </c>
      <c r="D171" s="618" t="s">
        <v>2515</v>
      </c>
      <c r="E171" s="617" t="s">
        <v>489</v>
      </c>
      <c r="F171" s="618" t="s">
        <v>2516</v>
      </c>
      <c r="G171" s="617" t="s">
        <v>551</v>
      </c>
      <c r="H171" s="617" t="s">
        <v>1089</v>
      </c>
      <c r="I171" s="617" t="s">
        <v>1090</v>
      </c>
      <c r="J171" s="617" t="s">
        <v>583</v>
      </c>
      <c r="K171" s="617" t="s">
        <v>1091</v>
      </c>
      <c r="L171" s="619">
        <v>69.664182150888138</v>
      </c>
      <c r="M171" s="619">
        <v>103</v>
      </c>
      <c r="N171" s="620">
        <v>7175.4107615414778</v>
      </c>
    </row>
    <row r="172" spans="1:14" ht="14.4" customHeight="1" x14ac:dyDescent="0.3">
      <c r="A172" s="615" t="s">
        <v>479</v>
      </c>
      <c r="B172" s="616" t="s">
        <v>2514</v>
      </c>
      <c r="C172" s="617" t="s">
        <v>484</v>
      </c>
      <c r="D172" s="618" t="s">
        <v>2515</v>
      </c>
      <c r="E172" s="617" t="s">
        <v>489</v>
      </c>
      <c r="F172" s="618" t="s">
        <v>2516</v>
      </c>
      <c r="G172" s="617" t="s">
        <v>551</v>
      </c>
      <c r="H172" s="617" t="s">
        <v>1092</v>
      </c>
      <c r="I172" s="617" t="s">
        <v>1093</v>
      </c>
      <c r="J172" s="617" t="s">
        <v>630</v>
      </c>
      <c r="K172" s="617" t="s">
        <v>1094</v>
      </c>
      <c r="L172" s="619">
        <v>154.02999999999997</v>
      </c>
      <c r="M172" s="619">
        <v>2</v>
      </c>
      <c r="N172" s="620">
        <v>308.05999999999995</v>
      </c>
    </row>
    <row r="173" spans="1:14" ht="14.4" customHeight="1" x14ac:dyDescent="0.3">
      <c r="A173" s="615" t="s">
        <v>479</v>
      </c>
      <c r="B173" s="616" t="s">
        <v>2514</v>
      </c>
      <c r="C173" s="617" t="s">
        <v>484</v>
      </c>
      <c r="D173" s="618" t="s">
        <v>2515</v>
      </c>
      <c r="E173" s="617" t="s">
        <v>489</v>
      </c>
      <c r="F173" s="618" t="s">
        <v>2516</v>
      </c>
      <c r="G173" s="617" t="s">
        <v>551</v>
      </c>
      <c r="H173" s="617" t="s">
        <v>1095</v>
      </c>
      <c r="I173" s="617" t="s">
        <v>1096</v>
      </c>
      <c r="J173" s="617" t="s">
        <v>1097</v>
      </c>
      <c r="K173" s="617" t="s">
        <v>1098</v>
      </c>
      <c r="L173" s="619">
        <v>294.76</v>
      </c>
      <c r="M173" s="619">
        <v>2</v>
      </c>
      <c r="N173" s="620">
        <v>589.52</v>
      </c>
    </row>
    <row r="174" spans="1:14" ht="14.4" customHeight="1" x14ac:dyDescent="0.3">
      <c r="A174" s="615" t="s">
        <v>479</v>
      </c>
      <c r="B174" s="616" t="s">
        <v>2514</v>
      </c>
      <c r="C174" s="617" t="s">
        <v>484</v>
      </c>
      <c r="D174" s="618" t="s">
        <v>2515</v>
      </c>
      <c r="E174" s="617" t="s">
        <v>489</v>
      </c>
      <c r="F174" s="618" t="s">
        <v>2516</v>
      </c>
      <c r="G174" s="617" t="s">
        <v>551</v>
      </c>
      <c r="H174" s="617" t="s">
        <v>1099</v>
      </c>
      <c r="I174" s="617" t="s">
        <v>1100</v>
      </c>
      <c r="J174" s="617" t="s">
        <v>1101</v>
      </c>
      <c r="K174" s="617" t="s">
        <v>1102</v>
      </c>
      <c r="L174" s="619">
        <v>2866.3816181577135</v>
      </c>
      <c r="M174" s="619">
        <v>31</v>
      </c>
      <c r="N174" s="620">
        <v>88857.83016288912</v>
      </c>
    </row>
    <row r="175" spans="1:14" ht="14.4" customHeight="1" x14ac:dyDescent="0.3">
      <c r="A175" s="615" t="s">
        <v>479</v>
      </c>
      <c r="B175" s="616" t="s">
        <v>2514</v>
      </c>
      <c r="C175" s="617" t="s">
        <v>484</v>
      </c>
      <c r="D175" s="618" t="s">
        <v>2515</v>
      </c>
      <c r="E175" s="617" t="s">
        <v>489</v>
      </c>
      <c r="F175" s="618" t="s">
        <v>2516</v>
      </c>
      <c r="G175" s="617" t="s">
        <v>551</v>
      </c>
      <c r="H175" s="617" t="s">
        <v>1103</v>
      </c>
      <c r="I175" s="617" t="s">
        <v>1103</v>
      </c>
      <c r="J175" s="617" t="s">
        <v>1104</v>
      </c>
      <c r="K175" s="617" t="s">
        <v>557</v>
      </c>
      <c r="L175" s="619">
        <v>288.53000107634563</v>
      </c>
      <c r="M175" s="619">
        <v>23</v>
      </c>
      <c r="N175" s="620">
        <v>6636.1900247559497</v>
      </c>
    </row>
    <row r="176" spans="1:14" ht="14.4" customHeight="1" x14ac:dyDescent="0.3">
      <c r="A176" s="615" t="s">
        <v>479</v>
      </c>
      <c r="B176" s="616" t="s">
        <v>2514</v>
      </c>
      <c r="C176" s="617" t="s">
        <v>484</v>
      </c>
      <c r="D176" s="618" t="s">
        <v>2515</v>
      </c>
      <c r="E176" s="617" t="s">
        <v>489</v>
      </c>
      <c r="F176" s="618" t="s">
        <v>2516</v>
      </c>
      <c r="G176" s="617" t="s">
        <v>551</v>
      </c>
      <c r="H176" s="617" t="s">
        <v>1105</v>
      </c>
      <c r="I176" s="617" t="s">
        <v>1106</v>
      </c>
      <c r="J176" s="617" t="s">
        <v>1107</v>
      </c>
      <c r="K176" s="617" t="s">
        <v>577</v>
      </c>
      <c r="L176" s="619">
        <v>71.00999552553796</v>
      </c>
      <c r="M176" s="619">
        <v>143</v>
      </c>
      <c r="N176" s="620">
        <v>10154.429360151928</v>
      </c>
    </row>
    <row r="177" spans="1:14" ht="14.4" customHeight="1" x14ac:dyDescent="0.3">
      <c r="A177" s="615" t="s">
        <v>479</v>
      </c>
      <c r="B177" s="616" t="s">
        <v>2514</v>
      </c>
      <c r="C177" s="617" t="s">
        <v>484</v>
      </c>
      <c r="D177" s="618" t="s">
        <v>2515</v>
      </c>
      <c r="E177" s="617" t="s">
        <v>489</v>
      </c>
      <c r="F177" s="618" t="s">
        <v>2516</v>
      </c>
      <c r="G177" s="617" t="s">
        <v>551</v>
      </c>
      <c r="H177" s="617" t="s">
        <v>1108</v>
      </c>
      <c r="I177" s="617" t="s">
        <v>1109</v>
      </c>
      <c r="J177" s="617" t="s">
        <v>1110</v>
      </c>
      <c r="K177" s="617" t="s">
        <v>604</v>
      </c>
      <c r="L177" s="619">
        <v>42.573981219059668</v>
      </c>
      <c r="M177" s="619">
        <v>125</v>
      </c>
      <c r="N177" s="620">
        <v>5321.7476523824589</v>
      </c>
    </row>
    <row r="178" spans="1:14" ht="14.4" customHeight="1" x14ac:dyDescent="0.3">
      <c r="A178" s="615" t="s">
        <v>479</v>
      </c>
      <c r="B178" s="616" t="s">
        <v>2514</v>
      </c>
      <c r="C178" s="617" t="s">
        <v>484</v>
      </c>
      <c r="D178" s="618" t="s">
        <v>2515</v>
      </c>
      <c r="E178" s="617" t="s">
        <v>489</v>
      </c>
      <c r="F178" s="618" t="s">
        <v>2516</v>
      </c>
      <c r="G178" s="617" t="s">
        <v>551</v>
      </c>
      <c r="H178" s="617" t="s">
        <v>1111</v>
      </c>
      <c r="I178" s="617" t="s">
        <v>1112</v>
      </c>
      <c r="J178" s="617" t="s">
        <v>1113</v>
      </c>
      <c r="K178" s="617" t="s">
        <v>1114</v>
      </c>
      <c r="L178" s="619">
        <v>94.599166666666676</v>
      </c>
      <c r="M178" s="619">
        <v>12</v>
      </c>
      <c r="N178" s="620">
        <v>1135.19</v>
      </c>
    </row>
    <row r="179" spans="1:14" ht="14.4" customHeight="1" x14ac:dyDescent="0.3">
      <c r="A179" s="615" t="s">
        <v>479</v>
      </c>
      <c r="B179" s="616" t="s">
        <v>2514</v>
      </c>
      <c r="C179" s="617" t="s">
        <v>484</v>
      </c>
      <c r="D179" s="618" t="s">
        <v>2515</v>
      </c>
      <c r="E179" s="617" t="s">
        <v>489</v>
      </c>
      <c r="F179" s="618" t="s">
        <v>2516</v>
      </c>
      <c r="G179" s="617" t="s">
        <v>551</v>
      </c>
      <c r="H179" s="617" t="s">
        <v>1115</v>
      </c>
      <c r="I179" s="617" t="s">
        <v>1116</v>
      </c>
      <c r="J179" s="617" t="s">
        <v>1117</v>
      </c>
      <c r="K179" s="617" t="s">
        <v>1118</v>
      </c>
      <c r="L179" s="619">
        <v>899.30322580645156</v>
      </c>
      <c r="M179" s="619">
        <v>31</v>
      </c>
      <c r="N179" s="620">
        <v>27878.399999999998</v>
      </c>
    </row>
    <row r="180" spans="1:14" ht="14.4" customHeight="1" x14ac:dyDescent="0.3">
      <c r="A180" s="615" t="s">
        <v>479</v>
      </c>
      <c r="B180" s="616" t="s">
        <v>2514</v>
      </c>
      <c r="C180" s="617" t="s">
        <v>484</v>
      </c>
      <c r="D180" s="618" t="s">
        <v>2515</v>
      </c>
      <c r="E180" s="617" t="s">
        <v>489</v>
      </c>
      <c r="F180" s="618" t="s">
        <v>2516</v>
      </c>
      <c r="G180" s="617" t="s">
        <v>551</v>
      </c>
      <c r="H180" s="617" t="s">
        <v>1119</v>
      </c>
      <c r="I180" s="617" t="s">
        <v>1120</v>
      </c>
      <c r="J180" s="617" t="s">
        <v>1121</v>
      </c>
      <c r="K180" s="617" t="s">
        <v>1122</v>
      </c>
      <c r="L180" s="619">
        <v>72.3</v>
      </c>
      <c r="M180" s="619">
        <v>1</v>
      </c>
      <c r="N180" s="620">
        <v>72.3</v>
      </c>
    </row>
    <row r="181" spans="1:14" ht="14.4" customHeight="1" x14ac:dyDescent="0.3">
      <c r="A181" s="615" t="s">
        <v>479</v>
      </c>
      <c r="B181" s="616" t="s">
        <v>2514</v>
      </c>
      <c r="C181" s="617" t="s">
        <v>484</v>
      </c>
      <c r="D181" s="618" t="s">
        <v>2515</v>
      </c>
      <c r="E181" s="617" t="s">
        <v>489</v>
      </c>
      <c r="F181" s="618" t="s">
        <v>2516</v>
      </c>
      <c r="G181" s="617" t="s">
        <v>551</v>
      </c>
      <c r="H181" s="617" t="s">
        <v>1123</v>
      </c>
      <c r="I181" s="617" t="s">
        <v>1124</v>
      </c>
      <c r="J181" s="617" t="s">
        <v>1125</v>
      </c>
      <c r="K181" s="617" t="s">
        <v>1126</v>
      </c>
      <c r="L181" s="619">
        <v>953.29358269256034</v>
      </c>
      <c r="M181" s="619">
        <v>55</v>
      </c>
      <c r="N181" s="620">
        <v>52431.147048090817</v>
      </c>
    </row>
    <row r="182" spans="1:14" ht="14.4" customHeight="1" x14ac:dyDescent="0.3">
      <c r="A182" s="615" t="s">
        <v>479</v>
      </c>
      <c r="B182" s="616" t="s">
        <v>2514</v>
      </c>
      <c r="C182" s="617" t="s">
        <v>484</v>
      </c>
      <c r="D182" s="618" t="s">
        <v>2515</v>
      </c>
      <c r="E182" s="617" t="s">
        <v>489</v>
      </c>
      <c r="F182" s="618" t="s">
        <v>2516</v>
      </c>
      <c r="G182" s="617" t="s">
        <v>551</v>
      </c>
      <c r="H182" s="617" t="s">
        <v>1127</v>
      </c>
      <c r="I182" s="617" t="s">
        <v>1128</v>
      </c>
      <c r="J182" s="617" t="s">
        <v>1129</v>
      </c>
      <c r="K182" s="617" t="s">
        <v>1130</v>
      </c>
      <c r="L182" s="619">
        <v>269.26999999999987</v>
      </c>
      <c r="M182" s="619">
        <v>2</v>
      </c>
      <c r="N182" s="620">
        <v>538.53999999999974</v>
      </c>
    </row>
    <row r="183" spans="1:14" ht="14.4" customHeight="1" x14ac:dyDescent="0.3">
      <c r="A183" s="615" t="s">
        <v>479</v>
      </c>
      <c r="B183" s="616" t="s">
        <v>2514</v>
      </c>
      <c r="C183" s="617" t="s">
        <v>484</v>
      </c>
      <c r="D183" s="618" t="s">
        <v>2515</v>
      </c>
      <c r="E183" s="617" t="s">
        <v>489</v>
      </c>
      <c r="F183" s="618" t="s">
        <v>2516</v>
      </c>
      <c r="G183" s="617" t="s">
        <v>551</v>
      </c>
      <c r="H183" s="617" t="s">
        <v>1131</v>
      </c>
      <c r="I183" s="617" t="s">
        <v>1132</v>
      </c>
      <c r="J183" s="617" t="s">
        <v>1133</v>
      </c>
      <c r="K183" s="617" t="s">
        <v>1134</v>
      </c>
      <c r="L183" s="619">
        <v>78.52999999999993</v>
      </c>
      <c r="M183" s="619">
        <v>2</v>
      </c>
      <c r="N183" s="620">
        <v>157.05999999999986</v>
      </c>
    </row>
    <row r="184" spans="1:14" ht="14.4" customHeight="1" x14ac:dyDescent="0.3">
      <c r="A184" s="615" t="s">
        <v>479</v>
      </c>
      <c r="B184" s="616" t="s">
        <v>2514</v>
      </c>
      <c r="C184" s="617" t="s">
        <v>484</v>
      </c>
      <c r="D184" s="618" t="s">
        <v>2515</v>
      </c>
      <c r="E184" s="617" t="s">
        <v>489</v>
      </c>
      <c r="F184" s="618" t="s">
        <v>2516</v>
      </c>
      <c r="G184" s="617" t="s">
        <v>551</v>
      </c>
      <c r="H184" s="617" t="s">
        <v>1135</v>
      </c>
      <c r="I184" s="617" t="s">
        <v>1136</v>
      </c>
      <c r="J184" s="617" t="s">
        <v>1137</v>
      </c>
      <c r="K184" s="617" t="s">
        <v>1138</v>
      </c>
      <c r="L184" s="619">
        <v>1333.09</v>
      </c>
      <c r="M184" s="619">
        <v>3</v>
      </c>
      <c r="N184" s="620">
        <v>3999.27</v>
      </c>
    </row>
    <row r="185" spans="1:14" ht="14.4" customHeight="1" x14ac:dyDescent="0.3">
      <c r="A185" s="615" t="s">
        <v>479</v>
      </c>
      <c r="B185" s="616" t="s">
        <v>2514</v>
      </c>
      <c r="C185" s="617" t="s">
        <v>484</v>
      </c>
      <c r="D185" s="618" t="s">
        <v>2515</v>
      </c>
      <c r="E185" s="617" t="s">
        <v>489</v>
      </c>
      <c r="F185" s="618" t="s">
        <v>2516</v>
      </c>
      <c r="G185" s="617" t="s">
        <v>551</v>
      </c>
      <c r="H185" s="617" t="s">
        <v>1139</v>
      </c>
      <c r="I185" s="617" t="s">
        <v>1140</v>
      </c>
      <c r="J185" s="617" t="s">
        <v>1141</v>
      </c>
      <c r="K185" s="617" t="s">
        <v>1142</v>
      </c>
      <c r="L185" s="619">
        <v>1037.9517021506101</v>
      </c>
      <c r="M185" s="619">
        <v>75</v>
      </c>
      <c r="N185" s="620">
        <v>77846.377661295759</v>
      </c>
    </row>
    <row r="186" spans="1:14" ht="14.4" customHeight="1" x14ac:dyDescent="0.3">
      <c r="A186" s="615" t="s">
        <v>479</v>
      </c>
      <c r="B186" s="616" t="s">
        <v>2514</v>
      </c>
      <c r="C186" s="617" t="s">
        <v>484</v>
      </c>
      <c r="D186" s="618" t="s">
        <v>2515</v>
      </c>
      <c r="E186" s="617" t="s">
        <v>489</v>
      </c>
      <c r="F186" s="618" t="s">
        <v>2516</v>
      </c>
      <c r="G186" s="617" t="s">
        <v>551</v>
      </c>
      <c r="H186" s="617" t="s">
        <v>1143</v>
      </c>
      <c r="I186" s="617" t="s">
        <v>1144</v>
      </c>
      <c r="J186" s="617" t="s">
        <v>1145</v>
      </c>
      <c r="K186" s="617" t="s">
        <v>1146</v>
      </c>
      <c r="L186" s="619">
        <v>85.75</v>
      </c>
      <c r="M186" s="619">
        <v>30</v>
      </c>
      <c r="N186" s="620">
        <v>2572.5</v>
      </c>
    </row>
    <row r="187" spans="1:14" ht="14.4" customHeight="1" x14ac:dyDescent="0.3">
      <c r="A187" s="615" t="s">
        <v>479</v>
      </c>
      <c r="B187" s="616" t="s">
        <v>2514</v>
      </c>
      <c r="C187" s="617" t="s">
        <v>484</v>
      </c>
      <c r="D187" s="618" t="s">
        <v>2515</v>
      </c>
      <c r="E187" s="617" t="s">
        <v>489</v>
      </c>
      <c r="F187" s="618" t="s">
        <v>2516</v>
      </c>
      <c r="G187" s="617" t="s">
        <v>551</v>
      </c>
      <c r="H187" s="617" t="s">
        <v>1147</v>
      </c>
      <c r="I187" s="617" t="s">
        <v>1148</v>
      </c>
      <c r="J187" s="617" t="s">
        <v>1149</v>
      </c>
      <c r="K187" s="617"/>
      <c r="L187" s="619">
        <v>145.72999999999996</v>
      </c>
      <c r="M187" s="619">
        <v>1</v>
      </c>
      <c r="N187" s="620">
        <v>145.72999999999996</v>
      </c>
    </row>
    <row r="188" spans="1:14" ht="14.4" customHeight="1" x14ac:dyDescent="0.3">
      <c r="A188" s="615" t="s">
        <v>479</v>
      </c>
      <c r="B188" s="616" t="s">
        <v>2514</v>
      </c>
      <c r="C188" s="617" t="s">
        <v>484</v>
      </c>
      <c r="D188" s="618" t="s">
        <v>2515</v>
      </c>
      <c r="E188" s="617" t="s">
        <v>489</v>
      </c>
      <c r="F188" s="618" t="s">
        <v>2516</v>
      </c>
      <c r="G188" s="617" t="s">
        <v>551</v>
      </c>
      <c r="H188" s="617" t="s">
        <v>1150</v>
      </c>
      <c r="I188" s="617" t="s">
        <v>885</v>
      </c>
      <c r="J188" s="617" t="s">
        <v>1151</v>
      </c>
      <c r="K188" s="617"/>
      <c r="L188" s="619">
        <v>24.599999999999998</v>
      </c>
      <c r="M188" s="619">
        <v>3</v>
      </c>
      <c r="N188" s="620">
        <v>73.8</v>
      </c>
    </row>
    <row r="189" spans="1:14" ht="14.4" customHeight="1" x14ac:dyDescent="0.3">
      <c r="A189" s="615" t="s">
        <v>479</v>
      </c>
      <c r="B189" s="616" t="s">
        <v>2514</v>
      </c>
      <c r="C189" s="617" t="s">
        <v>484</v>
      </c>
      <c r="D189" s="618" t="s">
        <v>2515</v>
      </c>
      <c r="E189" s="617" t="s">
        <v>489</v>
      </c>
      <c r="F189" s="618" t="s">
        <v>2516</v>
      </c>
      <c r="G189" s="617" t="s">
        <v>551</v>
      </c>
      <c r="H189" s="617" t="s">
        <v>1152</v>
      </c>
      <c r="I189" s="617" t="s">
        <v>885</v>
      </c>
      <c r="J189" s="617" t="s">
        <v>1153</v>
      </c>
      <c r="K189" s="617" t="s">
        <v>1154</v>
      </c>
      <c r="L189" s="619">
        <v>390.1921739130434</v>
      </c>
      <c r="M189" s="619">
        <v>115</v>
      </c>
      <c r="N189" s="620">
        <v>44872.099999999991</v>
      </c>
    </row>
    <row r="190" spans="1:14" ht="14.4" customHeight="1" x14ac:dyDescent="0.3">
      <c r="A190" s="615" t="s">
        <v>479</v>
      </c>
      <c r="B190" s="616" t="s">
        <v>2514</v>
      </c>
      <c r="C190" s="617" t="s">
        <v>484</v>
      </c>
      <c r="D190" s="618" t="s">
        <v>2515</v>
      </c>
      <c r="E190" s="617" t="s">
        <v>489</v>
      </c>
      <c r="F190" s="618" t="s">
        <v>2516</v>
      </c>
      <c r="G190" s="617" t="s">
        <v>551</v>
      </c>
      <c r="H190" s="617" t="s">
        <v>1155</v>
      </c>
      <c r="I190" s="617" t="s">
        <v>885</v>
      </c>
      <c r="J190" s="617" t="s">
        <v>1156</v>
      </c>
      <c r="K190" s="617"/>
      <c r="L190" s="619">
        <v>102.25560236342602</v>
      </c>
      <c r="M190" s="619">
        <v>26</v>
      </c>
      <c r="N190" s="620">
        <v>2658.6456614490767</v>
      </c>
    </row>
    <row r="191" spans="1:14" ht="14.4" customHeight="1" x14ac:dyDescent="0.3">
      <c r="A191" s="615" t="s">
        <v>479</v>
      </c>
      <c r="B191" s="616" t="s">
        <v>2514</v>
      </c>
      <c r="C191" s="617" t="s">
        <v>484</v>
      </c>
      <c r="D191" s="618" t="s">
        <v>2515</v>
      </c>
      <c r="E191" s="617" t="s">
        <v>489</v>
      </c>
      <c r="F191" s="618" t="s">
        <v>2516</v>
      </c>
      <c r="G191" s="617" t="s">
        <v>551</v>
      </c>
      <c r="H191" s="617" t="s">
        <v>1157</v>
      </c>
      <c r="I191" s="617" t="s">
        <v>1158</v>
      </c>
      <c r="J191" s="617" t="s">
        <v>1159</v>
      </c>
      <c r="K191" s="617" t="s">
        <v>979</v>
      </c>
      <c r="L191" s="619">
        <v>57.939999999999984</v>
      </c>
      <c r="M191" s="619">
        <v>5</v>
      </c>
      <c r="N191" s="620">
        <v>289.69999999999993</v>
      </c>
    </row>
    <row r="192" spans="1:14" ht="14.4" customHeight="1" x14ac:dyDescent="0.3">
      <c r="A192" s="615" t="s">
        <v>479</v>
      </c>
      <c r="B192" s="616" t="s">
        <v>2514</v>
      </c>
      <c r="C192" s="617" t="s">
        <v>484</v>
      </c>
      <c r="D192" s="618" t="s">
        <v>2515</v>
      </c>
      <c r="E192" s="617" t="s">
        <v>489</v>
      </c>
      <c r="F192" s="618" t="s">
        <v>2516</v>
      </c>
      <c r="G192" s="617" t="s">
        <v>551</v>
      </c>
      <c r="H192" s="617" t="s">
        <v>1160</v>
      </c>
      <c r="I192" s="617" t="s">
        <v>1161</v>
      </c>
      <c r="J192" s="617" t="s">
        <v>1162</v>
      </c>
      <c r="K192" s="617" t="s">
        <v>1163</v>
      </c>
      <c r="L192" s="619">
        <v>257.89999999999998</v>
      </c>
      <c r="M192" s="619">
        <v>2</v>
      </c>
      <c r="N192" s="620">
        <v>515.79999999999995</v>
      </c>
    </row>
    <row r="193" spans="1:14" ht="14.4" customHeight="1" x14ac:dyDescent="0.3">
      <c r="A193" s="615" t="s">
        <v>479</v>
      </c>
      <c r="B193" s="616" t="s">
        <v>2514</v>
      </c>
      <c r="C193" s="617" t="s">
        <v>484</v>
      </c>
      <c r="D193" s="618" t="s">
        <v>2515</v>
      </c>
      <c r="E193" s="617" t="s">
        <v>489</v>
      </c>
      <c r="F193" s="618" t="s">
        <v>2516</v>
      </c>
      <c r="G193" s="617" t="s">
        <v>551</v>
      </c>
      <c r="H193" s="617" t="s">
        <v>1164</v>
      </c>
      <c r="I193" s="617" t="s">
        <v>1165</v>
      </c>
      <c r="J193" s="617" t="s">
        <v>1166</v>
      </c>
      <c r="K193" s="617" t="s">
        <v>1167</v>
      </c>
      <c r="L193" s="619">
        <v>316.74564582647969</v>
      </c>
      <c r="M193" s="619">
        <v>9</v>
      </c>
      <c r="N193" s="620">
        <v>2850.7108124383171</v>
      </c>
    </row>
    <row r="194" spans="1:14" ht="14.4" customHeight="1" x14ac:dyDescent="0.3">
      <c r="A194" s="615" t="s">
        <v>479</v>
      </c>
      <c r="B194" s="616" t="s">
        <v>2514</v>
      </c>
      <c r="C194" s="617" t="s">
        <v>484</v>
      </c>
      <c r="D194" s="618" t="s">
        <v>2515</v>
      </c>
      <c r="E194" s="617" t="s">
        <v>489</v>
      </c>
      <c r="F194" s="618" t="s">
        <v>2516</v>
      </c>
      <c r="G194" s="617" t="s">
        <v>551</v>
      </c>
      <c r="H194" s="617" t="s">
        <v>1168</v>
      </c>
      <c r="I194" s="617" t="s">
        <v>1169</v>
      </c>
      <c r="J194" s="617" t="s">
        <v>1170</v>
      </c>
      <c r="K194" s="617" t="s">
        <v>1171</v>
      </c>
      <c r="L194" s="619">
        <v>58.869999999999976</v>
      </c>
      <c r="M194" s="619">
        <v>1</v>
      </c>
      <c r="N194" s="620">
        <v>58.869999999999976</v>
      </c>
    </row>
    <row r="195" spans="1:14" ht="14.4" customHeight="1" x14ac:dyDescent="0.3">
      <c r="A195" s="615" t="s">
        <v>479</v>
      </c>
      <c r="B195" s="616" t="s">
        <v>2514</v>
      </c>
      <c r="C195" s="617" t="s">
        <v>484</v>
      </c>
      <c r="D195" s="618" t="s">
        <v>2515</v>
      </c>
      <c r="E195" s="617" t="s">
        <v>489</v>
      </c>
      <c r="F195" s="618" t="s">
        <v>2516</v>
      </c>
      <c r="G195" s="617" t="s">
        <v>551</v>
      </c>
      <c r="H195" s="617" t="s">
        <v>1172</v>
      </c>
      <c r="I195" s="617" t="s">
        <v>1173</v>
      </c>
      <c r="J195" s="617" t="s">
        <v>1174</v>
      </c>
      <c r="K195" s="617" t="s">
        <v>1175</v>
      </c>
      <c r="L195" s="619">
        <v>186.34996541875756</v>
      </c>
      <c r="M195" s="619">
        <v>67</v>
      </c>
      <c r="N195" s="620">
        <v>12485.447683056756</v>
      </c>
    </row>
    <row r="196" spans="1:14" ht="14.4" customHeight="1" x14ac:dyDescent="0.3">
      <c r="A196" s="615" t="s">
        <v>479</v>
      </c>
      <c r="B196" s="616" t="s">
        <v>2514</v>
      </c>
      <c r="C196" s="617" t="s">
        <v>484</v>
      </c>
      <c r="D196" s="618" t="s">
        <v>2515</v>
      </c>
      <c r="E196" s="617" t="s">
        <v>489</v>
      </c>
      <c r="F196" s="618" t="s">
        <v>2516</v>
      </c>
      <c r="G196" s="617" t="s">
        <v>551</v>
      </c>
      <c r="H196" s="617" t="s">
        <v>1176</v>
      </c>
      <c r="I196" s="617" t="s">
        <v>1177</v>
      </c>
      <c r="J196" s="617" t="s">
        <v>1178</v>
      </c>
      <c r="K196" s="617" t="s">
        <v>1179</v>
      </c>
      <c r="L196" s="619">
        <v>98.02000000000001</v>
      </c>
      <c r="M196" s="619">
        <v>2</v>
      </c>
      <c r="N196" s="620">
        <v>196.04000000000002</v>
      </c>
    </row>
    <row r="197" spans="1:14" ht="14.4" customHeight="1" x14ac:dyDescent="0.3">
      <c r="A197" s="615" t="s">
        <v>479</v>
      </c>
      <c r="B197" s="616" t="s">
        <v>2514</v>
      </c>
      <c r="C197" s="617" t="s">
        <v>484</v>
      </c>
      <c r="D197" s="618" t="s">
        <v>2515</v>
      </c>
      <c r="E197" s="617" t="s">
        <v>489</v>
      </c>
      <c r="F197" s="618" t="s">
        <v>2516</v>
      </c>
      <c r="G197" s="617" t="s">
        <v>551</v>
      </c>
      <c r="H197" s="617" t="s">
        <v>1180</v>
      </c>
      <c r="I197" s="617" t="s">
        <v>1181</v>
      </c>
      <c r="J197" s="617" t="s">
        <v>1182</v>
      </c>
      <c r="K197" s="617" t="s">
        <v>1183</v>
      </c>
      <c r="L197" s="619">
        <v>537.87</v>
      </c>
      <c r="M197" s="619">
        <v>1</v>
      </c>
      <c r="N197" s="620">
        <v>537.87</v>
      </c>
    </row>
    <row r="198" spans="1:14" ht="14.4" customHeight="1" x14ac:dyDescent="0.3">
      <c r="A198" s="615" t="s">
        <v>479</v>
      </c>
      <c r="B198" s="616" t="s">
        <v>2514</v>
      </c>
      <c r="C198" s="617" t="s">
        <v>484</v>
      </c>
      <c r="D198" s="618" t="s">
        <v>2515</v>
      </c>
      <c r="E198" s="617" t="s">
        <v>489</v>
      </c>
      <c r="F198" s="618" t="s">
        <v>2516</v>
      </c>
      <c r="G198" s="617" t="s">
        <v>551</v>
      </c>
      <c r="H198" s="617" t="s">
        <v>1184</v>
      </c>
      <c r="I198" s="617" t="s">
        <v>1185</v>
      </c>
      <c r="J198" s="617" t="s">
        <v>1182</v>
      </c>
      <c r="K198" s="617" t="s">
        <v>1186</v>
      </c>
      <c r="L198" s="619">
        <v>312.83999999999997</v>
      </c>
      <c r="M198" s="619">
        <v>1</v>
      </c>
      <c r="N198" s="620">
        <v>312.83999999999997</v>
      </c>
    </row>
    <row r="199" spans="1:14" ht="14.4" customHeight="1" x14ac:dyDescent="0.3">
      <c r="A199" s="615" t="s">
        <v>479</v>
      </c>
      <c r="B199" s="616" t="s">
        <v>2514</v>
      </c>
      <c r="C199" s="617" t="s">
        <v>484</v>
      </c>
      <c r="D199" s="618" t="s">
        <v>2515</v>
      </c>
      <c r="E199" s="617" t="s">
        <v>489</v>
      </c>
      <c r="F199" s="618" t="s">
        <v>2516</v>
      </c>
      <c r="G199" s="617" t="s">
        <v>551</v>
      </c>
      <c r="H199" s="617" t="s">
        <v>1187</v>
      </c>
      <c r="I199" s="617" t="s">
        <v>885</v>
      </c>
      <c r="J199" s="617" t="s">
        <v>1188</v>
      </c>
      <c r="K199" s="617"/>
      <c r="L199" s="619">
        <v>405.76940183145825</v>
      </c>
      <c r="M199" s="619">
        <v>20</v>
      </c>
      <c r="N199" s="620">
        <v>8115.3880366291651</v>
      </c>
    </row>
    <row r="200" spans="1:14" ht="14.4" customHeight="1" x14ac:dyDescent="0.3">
      <c r="A200" s="615" t="s">
        <v>479</v>
      </c>
      <c r="B200" s="616" t="s">
        <v>2514</v>
      </c>
      <c r="C200" s="617" t="s">
        <v>484</v>
      </c>
      <c r="D200" s="618" t="s">
        <v>2515</v>
      </c>
      <c r="E200" s="617" t="s">
        <v>489</v>
      </c>
      <c r="F200" s="618" t="s">
        <v>2516</v>
      </c>
      <c r="G200" s="617" t="s">
        <v>551</v>
      </c>
      <c r="H200" s="617" t="s">
        <v>1189</v>
      </c>
      <c r="I200" s="617" t="s">
        <v>1190</v>
      </c>
      <c r="J200" s="617" t="s">
        <v>972</v>
      </c>
      <c r="K200" s="617" t="s">
        <v>1191</v>
      </c>
      <c r="L200" s="619">
        <v>56.75</v>
      </c>
      <c r="M200" s="619">
        <v>25</v>
      </c>
      <c r="N200" s="620">
        <v>1418.75</v>
      </c>
    </row>
    <row r="201" spans="1:14" ht="14.4" customHeight="1" x14ac:dyDescent="0.3">
      <c r="A201" s="615" t="s">
        <v>479</v>
      </c>
      <c r="B201" s="616" t="s">
        <v>2514</v>
      </c>
      <c r="C201" s="617" t="s">
        <v>484</v>
      </c>
      <c r="D201" s="618" t="s">
        <v>2515</v>
      </c>
      <c r="E201" s="617" t="s">
        <v>489</v>
      </c>
      <c r="F201" s="618" t="s">
        <v>2516</v>
      </c>
      <c r="G201" s="617" t="s">
        <v>551</v>
      </c>
      <c r="H201" s="617" t="s">
        <v>1192</v>
      </c>
      <c r="I201" s="617" t="s">
        <v>1193</v>
      </c>
      <c r="J201" s="617" t="s">
        <v>610</v>
      </c>
      <c r="K201" s="617" t="s">
        <v>1194</v>
      </c>
      <c r="L201" s="619">
        <v>92.266057797323256</v>
      </c>
      <c r="M201" s="619">
        <v>295</v>
      </c>
      <c r="N201" s="620">
        <v>27218.487050210359</v>
      </c>
    </row>
    <row r="202" spans="1:14" ht="14.4" customHeight="1" x14ac:dyDescent="0.3">
      <c r="A202" s="615" t="s">
        <v>479</v>
      </c>
      <c r="B202" s="616" t="s">
        <v>2514</v>
      </c>
      <c r="C202" s="617" t="s">
        <v>484</v>
      </c>
      <c r="D202" s="618" t="s">
        <v>2515</v>
      </c>
      <c r="E202" s="617" t="s">
        <v>489</v>
      </c>
      <c r="F202" s="618" t="s">
        <v>2516</v>
      </c>
      <c r="G202" s="617" t="s">
        <v>551</v>
      </c>
      <c r="H202" s="617" t="s">
        <v>1195</v>
      </c>
      <c r="I202" s="617" t="s">
        <v>1196</v>
      </c>
      <c r="J202" s="617" t="s">
        <v>1197</v>
      </c>
      <c r="K202" s="617" t="s">
        <v>1198</v>
      </c>
      <c r="L202" s="619">
        <v>52.589999999999975</v>
      </c>
      <c r="M202" s="619">
        <v>1</v>
      </c>
      <c r="N202" s="620">
        <v>52.589999999999975</v>
      </c>
    </row>
    <row r="203" spans="1:14" ht="14.4" customHeight="1" x14ac:dyDescent="0.3">
      <c r="A203" s="615" t="s">
        <v>479</v>
      </c>
      <c r="B203" s="616" t="s">
        <v>2514</v>
      </c>
      <c r="C203" s="617" t="s">
        <v>484</v>
      </c>
      <c r="D203" s="618" t="s">
        <v>2515</v>
      </c>
      <c r="E203" s="617" t="s">
        <v>489</v>
      </c>
      <c r="F203" s="618" t="s">
        <v>2516</v>
      </c>
      <c r="G203" s="617" t="s">
        <v>551</v>
      </c>
      <c r="H203" s="617" t="s">
        <v>1199</v>
      </c>
      <c r="I203" s="617" t="s">
        <v>1200</v>
      </c>
      <c r="J203" s="617" t="s">
        <v>1201</v>
      </c>
      <c r="K203" s="617" t="s">
        <v>1202</v>
      </c>
      <c r="L203" s="619">
        <v>52.989999999999988</v>
      </c>
      <c r="M203" s="619">
        <v>1</v>
      </c>
      <c r="N203" s="620">
        <v>52.989999999999988</v>
      </c>
    </row>
    <row r="204" spans="1:14" ht="14.4" customHeight="1" x14ac:dyDescent="0.3">
      <c r="A204" s="615" t="s">
        <v>479</v>
      </c>
      <c r="B204" s="616" t="s">
        <v>2514</v>
      </c>
      <c r="C204" s="617" t="s">
        <v>484</v>
      </c>
      <c r="D204" s="618" t="s">
        <v>2515</v>
      </c>
      <c r="E204" s="617" t="s">
        <v>489</v>
      </c>
      <c r="F204" s="618" t="s">
        <v>2516</v>
      </c>
      <c r="G204" s="617" t="s">
        <v>551</v>
      </c>
      <c r="H204" s="617" t="s">
        <v>1203</v>
      </c>
      <c r="I204" s="617" t="s">
        <v>1204</v>
      </c>
      <c r="J204" s="617" t="s">
        <v>1205</v>
      </c>
      <c r="K204" s="617" t="s">
        <v>1206</v>
      </c>
      <c r="L204" s="619">
        <v>124.90972152204797</v>
      </c>
      <c r="M204" s="619">
        <v>576</v>
      </c>
      <c r="N204" s="620">
        <v>71947.999596699636</v>
      </c>
    </row>
    <row r="205" spans="1:14" ht="14.4" customHeight="1" x14ac:dyDescent="0.3">
      <c r="A205" s="615" t="s">
        <v>479</v>
      </c>
      <c r="B205" s="616" t="s">
        <v>2514</v>
      </c>
      <c r="C205" s="617" t="s">
        <v>484</v>
      </c>
      <c r="D205" s="618" t="s">
        <v>2515</v>
      </c>
      <c r="E205" s="617" t="s">
        <v>489</v>
      </c>
      <c r="F205" s="618" t="s">
        <v>2516</v>
      </c>
      <c r="G205" s="617" t="s">
        <v>551</v>
      </c>
      <c r="H205" s="617" t="s">
        <v>1207</v>
      </c>
      <c r="I205" s="617" t="s">
        <v>1208</v>
      </c>
      <c r="J205" s="617" t="s">
        <v>1209</v>
      </c>
      <c r="K205" s="617" t="s">
        <v>1210</v>
      </c>
      <c r="L205" s="619">
        <v>728.84999999999957</v>
      </c>
      <c r="M205" s="619">
        <v>1</v>
      </c>
      <c r="N205" s="620">
        <v>728.84999999999957</v>
      </c>
    </row>
    <row r="206" spans="1:14" ht="14.4" customHeight="1" x14ac:dyDescent="0.3">
      <c r="A206" s="615" t="s">
        <v>479</v>
      </c>
      <c r="B206" s="616" t="s">
        <v>2514</v>
      </c>
      <c r="C206" s="617" t="s">
        <v>484</v>
      </c>
      <c r="D206" s="618" t="s">
        <v>2515</v>
      </c>
      <c r="E206" s="617" t="s">
        <v>489</v>
      </c>
      <c r="F206" s="618" t="s">
        <v>2516</v>
      </c>
      <c r="G206" s="617" t="s">
        <v>551</v>
      </c>
      <c r="H206" s="617" t="s">
        <v>1211</v>
      </c>
      <c r="I206" s="617" t="s">
        <v>1212</v>
      </c>
      <c r="J206" s="617" t="s">
        <v>1213</v>
      </c>
      <c r="K206" s="617" t="s">
        <v>1214</v>
      </c>
      <c r="L206" s="619">
        <v>3569.28</v>
      </c>
      <c r="M206" s="619">
        <v>2</v>
      </c>
      <c r="N206" s="620">
        <v>7138.56</v>
      </c>
    </row>
    <row r="207" spans="1:14" ht="14.4" customHeight="1" x14ac:dyDescent="0.3">
      <c r="A207" s="615" t="s">
        <v>479</v>
      </c>
      <c r="B207" s="616" t="s">
        <v>2514</v>
      </c>
      <c r="C207" s="617" t="s">
        <v>484</v>
      </c>
      <c r="D207" s="618" t="s">
        <v>2515</v>
      </c>
      <c r="E207" s="617" t="s">
        <v>489</v>
      </c>
      <c r="F207" s="618" t="s">
        <v>2516</v>
      </c>
      <c r="G207" s="617" t="s">
        <v>551</v>
      </c>
      <c r="H207" s="617" t="s">
        <v>1215</v>
      </c>
      <c r="I207" s="617" t="s">
        <v>1216</v>
      </c>
      <c r="J207" s="617" t="s">
        <v>1217</v>
      </c>
      <c r="K207" s="617" t="s">
        <v>1218</v>
      </c>
      <c r="L207" s="619">
        <v>411.8500604737763</v>
      </c>
      <c r="M207" s="619">
        <v>1</v>
      </c>
      <c r="N207" s="620">
        <v>411.8500604737763</v>
      </c>
    </row>
    <row r="208" spans="1:14" ht="14.4" customHeight="1" x14ac:dyDescent="0.3">
      <c r="A208" s="615" t="s">
        <v>479</v>
      </c>
      <c r="B208" s="616" t="s">
        <v>2514</v>
      </c>
      <c r="C208" s="617" t="s">
        <v>484</v>
      </c>
      <c r="D208" s="618" t="s">
        <v>2515</v>
      </c>
      <c r="E208" s="617" t="s">
        <v>489</v>
      </c>
      <c r="F208" s="618" t="s">
        <v>2516</v>
      </c>
      <c r="G208" s="617" t="s">
        <v>551</v>
      </c>
      <c r="H208" s="617" t="s">
        <v>1219</v>
      </c>
      <c r="I208" s="617" t="s">
        <v>1220</v>
      </c>
      <c r="J208" s="617" t="s">
        <v>1221</v>
      </c>
      <c r="K208" s="617" t="s">
        <v>1222</v>
      </c>
      <c r="L208" s="619">
        <v>290.5</v>
      </c>
      <c r="M208" s="619">
        <v>1</v>
      </c>
      <c r="N208" s="620">
        <v>290.5</v>
      </c>
    </row>
    <row r="209" spans="1:14" ht="14.4" customHeight="1" x14ac:dyDescent="0.3">
      <c r="A209" s="615" t="s">
        <v>479</v>
      </c>
      <c r="B209" s="616" t="s">
        <v>2514</v>
      </c>
      <c r="C209" s="617" t="s">
        <v>484</v>
      </c>
      <c r="D209" s="618" t="s">
        <v>2515</v>
      </c>
      <c r="E209" s="617" t="s">
        <v>489</v>
      </c>
      <c r="F209" s="618" t="s">
        <v>2516</v>
      </c>
      <c r="G209" s="617" t="s">
        <v>551</v>
      </c>
      <c r="H209" s="617" t="s">
        <v>1223</v>
      </c>
      <c r="I209" s="617" t="s">
        <v>1224</v>
      </c>
      <c r="J209" s="617" t="s">
        <v>1225</v>
      </c>
      <c r="K209" s="617" t="s">
        <v>1226</v>
      </c>
      <c r="L209" s="619">
        <v>47.769990862935067</v>
      </c>
      <c r="M209" s="619">
        <v>18</v>
      </c>
      <c r="N209" s="620">
        <v>859.8598355328312</v>
      </c>
    </row>
    <row r="210" spans="1:14" ht="14.4" customHeight="1" x14ac:dyDescent="0.3">
      <c r="A210" s="615" t="s">
        <v>479</v>
      </c>
      <c r="B210" s="616" t="s">
        <v>2514</v>
      </c>
      <c r="C210" s="617" t="s">
        <v>484</v>
      </c>
      <c r="D210" s="618" t="s">
        <v>2515</v>
      </c>
      <c r="E210" s="617" t="s">
        <v>489</v>
      </c>
      <c r="F210" s="618" t="s">
        <v>2516</v>
      </c>
      <c r="G210" s="617" t="s">
        <v>551</v>
      </c>
      <c r="H210" s="617" t="s">
        <v>1227</v>
      </c>
      <c r="I210" s="617" t="s">
        <v>1228</v>
      </c>
      <c r="J210" s="617" t="s">
        <v>1229</v>
      </c>
      <c r="K210" s="617" t="s">
        <v>1230</v>
      </c>
      <c r="L210" s="619">
        <v>46.270000000000024</v>
      </c>
      <c r="M210" s="619">
        <v>1</v>
      </c>
      <c r="N210" s="620">
        <v>46.270000000000024</v>
      </c>
    </row>
    <row r="211" spans="1:14" ht="14.4" customHeight="1" x14ac:dyDescent="0.3">
      <c r="A211" s="615" t="s">
        <v>479</v>
      </c>
      <c r="B211" s="616" t="s">
        <v>2514</v>
      </c>
      <c r="C211" s="617" t="s">
        <v>484</v>
      </c>
      <c r="D211" s="618" t="s">
        <v>2515</v>
      </c>
      <c r="E211" s="617" t="s">
        <v>489</v>
      </c>
      <c r="F211" s="618" t="s">
        <v>2516</v>
      </c>
      <c r="G211" s="617" t="s">
        <v>551</v>
      </c>
      <c r="H211" s="617" t="s">
        <v>1231</v>
      </c>
      <c r="I211" s="617" t="s">
        <v>1232</v>
      </c>
      <c r="J211" s="617" t="s">
        <v>1233</v>
      </c>
      <c r="K211" s="617" t="s">
        <v>1234</v>
      </c>
      <c r="L211" s="619">
        <v>47.224705882352936</v>
      </c>
      <c r="M211" s="619">
        <v>17</v>
      </c>
      <c r="N211" s="620">
        <v>802.81999999999994</v>
      </c>
    </row>
    <row r="212" spans="1:14" ht="14.4" customHeight="1" x14ac:dyDescent="0.3">
      <c r="A212" s="615" t="s">
        <v>479</v>
      </c>
      <c r="B212" s="616" t="s">
        <v>2514</v>
      </c>
      <c r="C212" s="617" t="s">
        <v>484</v>
      </c>
      <c r="D212" s="618" t="s">
        <v>2515</v>
      </c>
      <c r="E212" s="617" t="s">
        <v>489</v>
      </c>
      <c r="F212" s="618" t="s">
        <v>2516</v>
      </c>
      <c r="G212" s="617" t="s">
        <v>551</v>
      </c>
      <c r="H212" s="617" t="s">
        <v>1235</v>
      </c>
      <c r="I212" s="617" t="s">
        <v>1236</v>
      </c>
      <c r="J212" s="617" t="s">
        <v>1237</v>
      </c>
      <c r="K212" s="617" t="s">
        <v>1238</v>
      </c>
      <c r="L212" s="619">
        <v>105.80999999999999</v>
      </c>
      <c r="M212" s="619">
        <v>42</v>
      </c>
      <c r="N212" s="620">
        <v>4444.0199999999995</v>
      </c>
    </row>
    <row r="213" spans="1:14" ht="14.4" customHeight="1" x14ac:dyDescent="0.3">
      <c r="A213" s="615" t="s">
        <v>479</v>
      </c>
      <c r="B213" s="616" t="s">
        <v>2514</v>
      </c>
      <c r="C213" s="617" t="s">
        <v>484</v>
      </c>
      <c r="D213" s="618" t="s">
        <v>2515</v>
      </c>
      <c r="E213" s="617" t="s">
        <v>489</v>
      </c>
      <c r="F213" s="618" t="s">
        <v>2516</v>
      </c>
      <c r="G213" s="617" t="s">
        <v>551</v>
      </c>
      <c r="H213" s="617" t="s">
        <v>1239</v>
      </c>
      <c r="I213" s="617" t="s">
        <v>1240</v>
      </c>
      <c r="J213" s="617" t="s">
        <v>1241</v>
      </c>
      <c r="K213" s="617" t="s">
        <v>1242</v>
      </c>
      <c r="L213" s="619">
        <v>40.602082751593755</v>
      </c>
      <c r="M213" s="619">
        <v>5</v>
      </c>
      <c r="N213" s="620">
        <v>203.01041375796876</v>
      </c>
    </row>
    <row r="214" spans="1:14" ht="14.4" customHeight="1" x14ac:dyDescent="0.3">
      <c r="A214" s="615" t="s">
        <v>479</v>
      </c>
      <c r="B214" s="616" t="s">
        <v>2514</v>
      </c>
      <c r="C214" s="617" t="s">
        <v>484</v>
      </c>
      <c r="D214" s="618" t="s">
        <v>2515</v>
      </c>
      <c r="E214" s="617" t="s">
        <v>489</v>
      </c>
      <c r="F214" s="618" t="s">
        <v>2516</v>
      </c>
      <c r="G214" s="617" t="s">
        <v>551</v>
      </c>
      <c r="H214" s="617" t="s">
        <v>1243</v>
      </c>
      <c r="I214" s="617" t="s">
        <v>885</v>
      </c>
      <c r="J214" s="617" t="s">
        <v>1244</v>
      </c>
      <c r="K214" s="617"/>
      <c r="L214" s="619">
        <v>144.11937258643599</v>
      </c>
      <c r="M214" s="619">
        <v>72</v>
      </c>
      <c r="N214" s="620">
        <v>10376.594826223391</v>
      </c>
    </row>
    <row r="215" spans="1:14" ht="14.4" customHeight="1" x14ac:dyDescent="0.3">
      <c r="A215" s="615" t="s">
        <v>479</v>
      </c>
      <c r="B215" s="616" t="s">
        <v>2514</v>
      </c>
      <c r="C215" s="617" t="s">
        <v>484</v>
      </c>
      <c r="D215" s="618" t="s">
        <v>2515</v>
      </c>
      <c r="E215" s="617" t="s">
        <v>489</v>
      </c>
      <c r="F215" s="618" t="s">
        <v>2516</v>
      </c>
      <c r="G215" s="617" t="s">
        <v>551</v>
      </c>
      <c r="H215" s="617" t="s">
        <v>1245</v>
      </c>
      <c r="I215" s="617" t="s">
        <v>885</v>
      </c>
      <c r="J215" s="617" t="s">
        <v>1246</v>
      </c>
      <c r="K215" s="617"/>
      <c r="L215" s="619">
        <v>86.333941396296467</v>
      </c>
      <c r="M215" s="619">
        <v>31</v>
      </c>
      <c r="N215" s="620">
        <v>2676.3521832851907</v>
      </c>
    </row>
    <row r="216" spans="1:14" ht="14.4" customHeight="1" x14ac:dyDescent="0.3">
      <c r="A216" s="615" t="s">
        <v>479</v>
      </c>
      <c r="B216" s="616" t="s">
        <v>2514</v>
      </c>
      <c r="C216" s="617" t="s">
        <v>484</v>
      </c>
      <c r="D216" s="618" t="s">
        <v>2515</v>
      </c>
      <c r="E216" s="617" t="s">
        <v>489</v>
      </c>
      <c r="F216" s="618" t="s">
        <v>2516</v>
      </c>
      <c r="G216" s="617" t="s">
        <v>551</v>
      </c>
      <c r="H216" s="617" t="s">
        <v>1247</v>
      </c>
      <c r="I216" s="617" t="s">
        <v>885</v>
      </c>
      <c r="J216" s="617" t="s">
        <v>1248</v>
      </c>
      <c r="K216" s="617"/>
      <c r="L216" s="619">
        <v>222.98</v>
      </c>
      <c r="M216" s="619">
        <v>2</v>
      </c>
      <c r="N216" s="620">
        <v>445.96</v>
      </c>
    </row>
    <row r="217" spans="1:14" ht="14.4" customHeight="1" x14ac:dyDescent="0.3">
      <c r="A217" s="615" t="s">
        <v>479</v>
      </c>
      <c r="B217" s="616" t="s">
        <v>2514</v>
      </c>
      <c r="C217" s="617" t="s">
        <v>484</v>
      </c>
      <c r="D217" s="618" t="s">
        <v>2515</v>
      </c>
      <c r="E217" s="617" t="s">
        <v>489</v>
      </c>
      <c r="F217" s="618" t="s">
        <v>2516</v>
      </c>
      <c r="G217" s="617" t="s">
        <v>551</v>
      </c>
      <c r="H217" s="617" t="s">
        <v>1249</v>
      </c>
      <c r="I217" s="617" t="s">
        <v>1250</v>
      </c>
      <c r="J217" s="617" t="s">
        <v>1251</v>
      </c>
      <c r="K217" s="617" t="s">
        <v>1252</v>
      </c>
      <c r="L217" s="619">
        <v>198.12000000000009</v>
      </c>
      <c r="M217" s="619">
        <v>1</v>
      </c>
      <c r="N217" s="620">
        <v>198.12000000000009</v>
      </c>
    </row>
    <row r="218" spans="1:14" ht="14.4" customHeight="1" x14ac:dyDescent="0.3">
      <c r="A218" s="615" t="s">
        <v>479</v>
      </c>
      <c r="B218" s="616" t="s">
        <v>2514</v>
      </c>
      <c r="C218" s="617" t="s">
        <v>484</v>
      </c>
      <c r="D218" s="618" t="s">
        <v>2515</v>
      </c>
      <c r="E218" s="617" t="s">
        <v>489</v>
      </c>
      <c r="F218" s="618" t="s">
        <v>2516</v>
      </c>
      <c r="G218" s="617" t="s">
        <v>551</v>
      </c>
      <c r="H218" s="617" t="s">
        <v>1253</v>
      </c>
      <c r="I218" s="617" t="s">
        <v>1254</v>
      </c>
      <c r="J218" s="617" t="s">
        <v>1255</v>
      </c>
      <c r="K218" s="617" t="s">
        <v>1256</v>
      </c>
      <c r="L218" s="619">
        <v>46.369372230249027</v>
      </c>
      <c r="M218" s="619">
        <v>2</v>
      </c>
      <c r="N218" s="620">
        <v>92.738744460498054</v>
      </c>
    </row>
    <row r="219" spans="1:14" ht="14.4" customHeight="1" x14ac:dyDescent="0.3">
      <c r="A219" s="615" t="s">
        <v>479</v>
      </c>
      <c r="B219" s="616" t="s">
        <v>2514</v>
      </c>
      <c r="C219" s="617" t="s">
        <v>484</v>
      </c>
      <c r="D219" s="618" t="s">
        <v>2515</v>
      </c>
      <c r="E219" s="617" t="s">
        <v>489</v>
      </c>
      <c r="F219" s="618" t="s">
        <v>2516</v>
      </c>
      <c r="G219" s="617" t="s">
        <v>551</v>
      </c>
      <c r="H219" s="617" t="s">
        <v>1257</v>
      </c>
      <c r="I219" s="617" t="s">
        <v>1258</v>
      </c>
      <c r="J219" s="617" t="s">
        <v>1259</v>
      </c>
      <c r="K219" s="617" t="s">
        <v>1260</v>
      </c>
      <c r="L219" s="619">
        <v>42.680000000000007</v>
      </c>
      <c r="M219" s="619">
        <v>2</v>
      </c>
      <c r="N219" s="620">
        <v>85.360000000000014</v>
      </c>
    </row>
    <row r="220" spans="1:14" ht="14.4" customHeight="1" x14ac:dyDescent="0.3">
      <c r="A220" s="615" t="s">
        <v>479</v>
      </c>
      <c r="B220" s="616" t="s">
        <v>2514</v>
      </c>
      <c r="C220" s="617" t="s">
        <v>484</v>
      </c>
      <c r="D220" s="618" t="s">
        <v>2515</v>
      </c>
      <c r="E220" s="617" t="s">
        <v>489</v>
      </c>
      <c r="F220" s="618" t="s">
        <v>2516</v>
      </c>
      <c r="G220" s="617" t="s">
        <v>551</v>
      </c>
      <c r="H220" s="617" t="s">
        <v>1261</v>
      </c>
      <c r="I220" s="617" t="s">
        <v>1261</v>
      </c>
      <c r="J220" s="617" t="s">
        <v>1262</v>
      </c>
      <c r="K220" s="617" t="s">
        <v>1263</v>
      </c>
      <c r="L220" s="619">
        <v>163.46999999999997</v>
      </c>
      <c r="M220" s="619">
        <v>1</v>
      </c>
      <c r="N220" s="620">
        <v>163.46999999999997</v>
      </c>
    </row>
    <row r="221" spans="1:14" ht="14.4" customHeight="1" x14ac:dyDescent="0.3">
      <c r="A221" s="615" t="s">
        <v>479</v>
      </c>
      <c r="B221" s="616" t="s">
        <v>2514</v>
      </c>
      <c r="C221" s="617" t="s">
        <v>484</v>
      </c>
      <c r="D221" s="618" t="s">
        <v>2515</v>
      </c>
      <c r="E221" s="617" t="s">
        <v>489</v>
      </c>
      <c r="F221" s="618" t="s">
        <v>2516</v>
      </c>
      <c r="G221" s="617" t="s">
        <v>551</v>
      </c>
      <c r="H221" s="617" t="s">
        <v>1264</v>
      </c>
      <c r="I221" s="617" t="s">
        <v>1265</v>
      </c>
      <c r="J221" s="617" t="s">
        <v>1266</v>
      </c>
      <c r="K221" s="617" t="s">
        <v>1267</v>
      </c>
      <c r="L221" s="619">
        <v>51.869981394279847</v>
      </c>
      <c r="M221" s="619">
        <v>2</v>
      </c>
      <c r="N221" s="620">
        <v>103.73996278855969</v>
      </c>
    </row>
    <row r="222" spans="1:14" ht="14.4" customHeight="1" x14ac:dyDescent="0.3">
      <c r="A222" s="615" t="s">
        <v>479</v>
      </c>
      <c r="B222" s="616" t="s">
        <v>2514</v>
      </c>
      <c r="C222" s="617" t="s">
        <v>484</v>
      </c>
      <c r="D222" s="618" t="s">
        <v>2515</v>
      </c>
      <c r="E222" s="617" t="s">
        <v>489</v>
      </c>
      <c r="F222" s="618" t="s">
        <v>2516</v>
      </c>
      <c r="G222" s="617" t="s">
        <v>551</v>
      </c>
      <c r="H222" s="617" t="s">
        <v>1268</v>
      </c>
      <c r="I222" s="617" t="s">
        <v>1269</v>
      </c>
      <c r="J222" s="617" t="s">
        <v>1270</v>
      </c>
      <c r="K222" s="617" t="s">
        <v>1271</v>
      </c>
      <c r="L222" s="619">
        <v>112.32721339921402</v>
      </c>
      <c r="M222" s="619">
        <v>441</v>
      </c>
      <c r="N222" s="620">
        <v>49536.301109053384</v>
      </c>
    </row>
    <row r="223" spans="1:14" ht="14.4" customHeight="1" x14ac:dyDescent="0.3">
      <c r="A223" s="615" t="s">
        <v>479</v>
      </c>
      <c r="B223" s="616" t="s">
        <v>2514</v>
      </c>
      <c r="C223" s="617" t="s">
        <v>484</v>
      </c>
      <c r="D223" s="618" t="s">
        <v>2515</v>
      </c>
      <c r="E223" s="617" t="s">
        <v>489</v>
      </c>
      <c r="F223" s="618" t="s">
        <v>2516</v>
      </c>
      <c r="G223" s="617" t="s">
        <v>551</v>
      </c>
      <c r="H223" s="617" t="s">
        <v>1272</v>
      </c>
      <c r="I223" s="617" t="s">
        <v>1273</v>
      </c>
      <c r="J223" s="617" t="s">
        <v>1274</v>
      </c>
      <c r="K223" s="617" t="s">
        <v>1275</v>
      </c>
      <c r="L223" s="619">
        <v>105.029</v>
      </c>
      <c r="M223" s="619">
        <v>10</v>
      </c>
      <c r="N223" s="620">
        <v>1050.29</v>
      </c>
    </row>
    <row r="224" spans="1:14" ht="14.4" customHeight="1" x14ac:dyDescent="0.3">
      <c r="A224" s="615" t="s">
        <v>479</v>
      </c>
      <c r="B224" s="616" t="s">
        <v>2514</v>
      </c>
      <c r="C224" s="617" t="s">
        <v>484</v>
      </c>
      <c r="D224" s="618" t="s">
        <v>2515</v>
      </c>
      <c r="E224" s="617" t="s">
        <v>489</v>
      </c>
      <c r="F224" s="618" t="s">
        <v>2516</v>
      </c>
      <c r="G224" s="617" t="s">
        <v>551</v>
      </c>
      <c r="H224" s="617" t="s">
        <v>1276</v>
      </c>
      <c r="I224" s="617" t="s">
        <v>1277</v>
      </c>
      <c r="J224" s="617" t="s">
        <v>1278</v>
      </c>
      <c r="K224" s="617" t="s">
        <v>1279</v>
      </c>
      <c r="L224" s="619">
        <v>536.24172412344183</v>
      </c>
      <c r="M224" s="619">
        <v>10</v>
      </c>
      <c r="N224" s="620">
        <v>5362.4172412344178</v>
      </c>
    </row>
    <row r="225" spans="1:14" ht="14.4" customHeight="1" x14ac:dyDescent="0.3">
      <c r="A225" s="615" t="s">
        <v>479</v>
      </c>
      <c r="B225" s="616" t="s">
        <v>2514</v>
      </c>
      <c r="C225" s="617" t="s">
        <v>484</v>
      </c>
      <c r="D225" s="618" t="s">
        <v>2515</v>
      </c>
      <c r="E225" s="617" t="s">
        <v>489</v>
      </c>
      <c r="F225" s="618" t="s">
        <v>2516</v>
      </c>
      <c r="G225" s="617" t="s">
        <v>551</v>
      </c>
      <c r="H225" s="617" t="s">
        <v>1280</v>
      </c>
      <c r="I225" s="617" t="s">
        <v>1281</v>
      </c>
      <c r="J225" s="617" t="s">
        <v>1282</v>
      </c>
      <c r="K225" s="617" t="s">
        <v>1283</v>
      </c>
      <c r="L225" s="619">
        <v>131.12157398505997</v>
      </c>
      <c r="M225" s="619">
        <v>30</v>
      </c>
      <c r="N225" s="620">
        <v>3933.647219551799</v>
      </c>
    </row>
    <row r="226" spans="1:14" ht="14.4" customHeight="1" x14ac:dyDescent="0.3">
      <c r="A226" s="615" t="s">
        <v>479</v>
      </c>
      <c r="B226" s="616" t="s">
        <v>2514</v>
      </c>
      <c r="C226" s="617" t="s">
        <v>484</v>
      </c>
      <c r="D226" s="618" t="s">
        <v>2515</v>
      </c>
      <c r="E226" s="617" t="s">
        <v>489</v>
      </c>
      <c r="F226" s="618" t="s">
        <v>2516</v>
      </c>
      <c r="G226" s="617" t="s">
        <v>551</v>
      </c>
      <c r="H226" s="617" t="s">
        <v>1284</v>
      </c>
      <c r="I226" s="617" t="s">
        <v>1285</v>
      </c>
      <c r="J226" s="617" t="s">
        <v>1286</v>
      </c>
      <c r="K226" s="617" t="s">
        <v>1287</v>
      </c>
      <c r="L226" s="619">
        <v>94.41</v>
      </c>
      <c r="M226" s="619">
        <v>1</v>
      </c>
      <c r="N226" s="620">
        <v>94.41</v>
      </c>
    </row>
    <row r="227" spans="1:14" ht="14.4" customHeight="1" x14ac:dyDescent="0.3">
      <c r="A227" s="615" t="s">
        <v>479</v>
      </c>
      <c r="B227" s="616" t="s">
        <v>2514</v>
      </c>
      <c r="C227" s="617" t="s">
        <v>484</v>
      </c>
      <c r="D227" s="618" t="s">
        <v>2515</v>
      </c>
      <c r="E227" s="617" t="s">
        <v>489</v>
      </c>
      <c r="F227" s="618" t="s">
        <v>2516</v>
      </c>
      <c r="G227" s="617" t="s">
        <v>551</v>
      </c>
      <c r="H227" s="617" t="s">
        <v>1288</v>
      </c>
      <c r="I227" s="617" t="s">
        <v>1289</v>
      </c>
      <c r="J227" s="617" t="s">
        <v>1032</v>
      </c>
      <c r="K227" s="617" t="s">
        <v>1290</v>
      </c>
      <c r="L227" s="619">
        <v>326.47999999999996</v>
      </c>
      <c r="M227" s="619">
        <v>20</v>
      </c>
      <c r="N227" s="620">
        <v>6529.5999999999995</v>
      </c>
    </row>
    <row r="228" spans="1:14" ht="14.4" customHeight="1" x14ac:dyDescent="0.3">
      <c r="A228" s="615" t="s">
        <v>479</v>
      </c>
      <c r="B228" s="616" t="s">
        <v>2514</v>
      </c>
      <c r="C228" s="617" t="s">
        <v>484</v>
      </c>
      <c r="D228" s="618" t="s">
        <v>2515</v>
      </c>
      <c r="E228" s="617" t="s">
        <v>489</v>
      </c>
      <c r="F228" s="618" t="s">
        <v>2516</v>
      </c>
      <c r="G228" s="617" t="s">
        <v>551</v>
      </c>
      <c r="H228" s="617" t="s">
        <v>1291</v>
      </c>
      <c r="I228" s="617" t="s">
        <v>1292</v>
      </c>
      <c r="J228" s="617" t="s">
        <v>1293</v>
      </c>
      <c r="K228" s="617" t="s">
        <v>1294</v>
      </c>
      <c r="L228" s="619">
        <v>1022.929036368167</v>
      </c>
      <c r="M228" s="619">
        <v>23</v>
      </c>
      <c r="N228" s="620">
        <v>23527.367836467842</v>
      </c>
    </row>
    <row r="229" spans="1:14" ht="14.4" customHeight="1" x14ac:dyDescent="0.3">
      <c r="A229" s="615" t="s">
        <v>479</v>
      </c>
      <c r="B229" s="616" t="s">
        <v>2514</v>
      </c>
      <c r="C229" s="617" t="s">
        <v>484</v>
      </c>
      <c r="D229" s="618" t="s">
        <v>2515</v>
      </c>
      <c r="E229" s="617" t="s">
        <v>489</v>
      </c>
      <c r="F229" s="618" t="s">
        <v>2516</v>
      </c>
      <c r="G229" s="617" t="s">
        <v>551</v>
      </c>
      <c r="H229" s="617" t="s">
        <v>1295</v>
      </c>
      <c r="I229" s="617" t="s">
        <v>1296</v>
      </c>
      <c r="J229" s="617" t="s">
        <v>1297</v>
      </c>
      <c r="K229" s="617" t="s">
        <v>1298</v>
      </c>
      <c r="L229" s="619">
        <v>52.46</v>
      </c>
      <c r="M229" s="619">
        <v>35</v>
      </c>
      <c r="N229" s="620">
        <v>1836.1</v>
      </c>
    </row>
    <row r="230" spans="1:14" ht="14.4" customHeight="1" x14ac:dyDescent="0.3">
      <c r="A230" s="615" t="s">
        <v>479</v>
      </c>
      <c r="B230" s="616" t="s">
        <v>2514</v>
      </c>
      <c r="C230" s="617" t="s">
        <v>484</v>
      </c>
      <c r="D230" s="618" t="s">
        <v>2515</v>
      </c>
      <c r="E230" s="617" t="s">
        <v>489</v>
      </c>
      <c r="F230" s="618" t="s">
        <v>2516</v>
      </c>
      <c r="G230" s="617" t="s">
        <v>551</v>
      </c>
      <c r="H230" s="617" t="s">
        <v>1299</v>
      </c>
      <c r="I230" s="617" t="s">
        <v>1300</v>
      </c>
      <c r="J230" s="617" t="s">
        <v>1301</v>
      </c>
      <c r="K230" s="617" t="s">
        <v>1302</v>
      </c>
      <c r="L230" s="619">
        <v>33.889999999999993</v>
      </c>
      <c r="M230" s="619">
        <v>1</v>
      </c>
      <c r="N230" s="620">
        <v>33.889999999999993</v>
      </c>
    </row>
    <row r="231" spans="1:14" ht="14.4" customHeight="1" x14ac:dyDescent="0.3">
      <c r="A231" s="615" t="s">
        <v>479</v>
      </c>
      <c r="B231" s="616" t="s">
        <v>2514</v>
      </c>
      <c r="C231" s="617" t="s">
        <v>484</v>
      </c>
      <c r="D231" s="618" t="s">
        <v>2515</v>
      </c>
      <c r="E231" s="617" t="s">
        <v>489</v>
      </c>
      <c r="F231" s="618" t="s">
        <v>2516</v>
      </c>
      <c r="G231" s="617" t="s">
        <v>551</v>
      </c>
      <c r="H231" s="617" t="s">
        <v>1303</v>
      </c>
      <c r="I231" s="617" t="s">
        <v>1303</v>
      </c>
      <c r="J231" s="617" t="s">
        <v>1304</v>
      </c>
      <c r="K231" s="617" t="s">
        <v>1305</v>
      </c>
      <c r="L231" s="619">
        <v>92</v>
      </c>
      <c r="M231" s="619">
        <v>3</v>
      </c>
      <c r="N231" s="620">
        <v>276</v>
      </c>
    </row>
    <row r="232" spans="1:14" ht="14.4" customHeight="1" x14ac:dyDescent="0.3">
      <c r="A232" s="615" t="s">
        <v>479</v>
      </c>
      <c r="B232" s="616" t="s">
        <v>2514</v>
      </c>
      <c r="C232" s="617" t="s">
        <v>484</v>
      </c>
      <c r="D232" s="618" t="s">
        <v>2515</v>
      </c>
      <c r="E232" s="617" t="s">
        <v>489</v>
      </c>
      <c r="F232" s="618" t="s">
        <v>2516</v>
      </c>
      <c r="G232" s="617" t="s">
        <v>551</v>
      </c>
      <c r="H232" s="617" t="s">
        <v>1306</v>
      </c>
      <c r="I232" s="617" t="s">
        <v>885</v>
      </c>
      <c r="J232" s="617" t="s">
        <v>1307</v>
      </c>
      <c r="K232" s="617" t="s">
        <v>1308</v>
      </c>
      <c r="L232" s="619">
        <v>196.58970588235292</v>
      </c>
      <c r="M232" s="619">
        <v>34</v>
      </c>
      <c r="N232" s="620">
        <v>6684.0499999999993</v>
      </c>
    </row>
    <row r="233" spans="1:14" ht="14.4" customHeight="1" x14ac:dyDescent="0.3">
      <c r="A233" s="615" t="s">
        <v>479</v>
      </c>
      <c r="B233" s="616" t="s">
        <v>2514</v>
      </c>
      <c r="C233" s="617" t="s">
        <v>484</v>
      </c>
      <c r="D233" s="618" t="s">
        <v>2515</v>
      </c>
      <c r="E233" s="617" t="s">
        <v>489</v>
      </c>
      <c r="F233" s="618" t="s">
        <v>2516</v>
      </c>
      <c r="G233" s="617" t="s">
        <v>551</v>
      </c>
      <c r="H233" s="617" t="s">
        <v>1309</v>
      </c>
      <c r="I233" s="617" t="s">
        <v>1310</v>
      </c>
      <c r="J233" s="617" t="s">
        <v>1311</v>
      </c>
      <c r="K233" s="617" t="s">
        <v>1312</v>
      </c>
      <c r="L233" s="619">
        <v>935</v>
      </c>
      <c r="M233" s="619">
        <v>74</v>
      </c>
      <c r="N233" s="620">
        <v>69190</v>
      </c>
    </row>
    <row r="234" spans="1:14" ht="14.4" customHeight="1" x14ac:dyDescent="0.3">
      <c r="A234" s="615" t="s">
        <v>479</v>
      </c>
      <c r="B234" s="616" t="s">
        <v>2514</v>
      </c>
      <c r="C234" s="617" t="s">
        <v>484</v>
      </c>
      <c r="D234" s="618" t="s">
        <v>2515</v>
      </c>
      <c r="E234" s="617" t="s">
        <v>489</v>
      </c>
      <c r="F234" s="618" t="s">
        <v>2516</v>
      </c>
      <c r="G234" s="617" t="s">
        <v>551</v>
      </c>
      <c r="H234" s="617" t="s">
        <v>1313</v>
      </c>
      <c r="I234" s="617" t="s">
        <v>1314</v>
      </c>
      <c r="J234" s="617" t="s">
        <v>1315</v>
      </c>
      <c r="K234" s="617" t="s">
        <v>1316</v>
      </c>
      <c r="L234" s="619">
        <v>4684.2228571428568</v>
      </c>
      <c r="M234" s="619">
        <v>7</v>
      </c>
      <c r="N234" s="620">
        <v>32789.56</v>
      </c>
    </row>
    <row r="235" spans="1:14" ht="14.4" customHeight="1" x14ac:dyDescent="0.3">
      <c r="A235" s="615" t="s">
        <v>479</v>
      </c>
      <c r="B235" s="616" t="s">
        <v>2514</v>
      </c>
      <c r="C235" s="617" t="s">
        <v>484</v>
      </c>
      <c r="D235" s="618" t="s">
        <v>2515</v>
      </c>
      <c r="E235" s="617" t="s">
        <v>489</v>
      </c>
      <c r="F235" s="618" t="s">
        <v>2516</v>
      </c>
      <c r="G235" s="617" t="s">
        <v>551</v>
      </c>
      <c r="H235" s="617" t="s">
        <v>1317</v>
      </c>
      <c r="I235" s="617" t="s">
        <v>1318</v>
      </c>
      <c r="J235" s="617" t="s">
        <v>1319</v>
      </c>
      <c r="K235" s="617" t="s">
        <v>1320</v>
      </c>
      <c r="L235" s="619">
        <v>382.11005643313024</v>
      </c>
      <c r="M235" s="619">
        <v>126</v>
      </c>
      <c r="N235" s="620">
        <v>48145.867110574407</v>
      </c>
    </row>
    <row r="236" spans="1:14" ht="14.4" customHeight="1" x14ac:dyDescent="0.3">
      <c r="A236" s="615" t="s">
        <v>479</v>
      </c>
      <c r="B236" s="616" t="s">
        <v>2514</v>
      </c>
      <c r="C236" s="617" t="s">
        <v>484</v>
      </c>
      <c r="D236" s="618" t="s">
        <v>2515</v>
      </c>
      <c r="E236" s="617" t="s">
        <v>489</v>
      </c>
      <c r="F236" s="618" t="s">
        <v>2516</v>
      </c>
      <c r="G236" s="617" t="s">
        <v>551</v>
      </c>
      <c r="H236" s="617" t="s">
        <v>1321</v>
      </c>
      <c r="I236" s="617" t="s">
        <v>1322</v>
      </c>
      <c r="J236" s="617" t="s">
        <v>1323</v>
      </c>
      <c r="K236" s="617"/>
      <c r="L236" s="619">
        <v>116.33999999999996</v>
      </c>
      <c r="M236" s="619">
        <v>1</v>
      </c>
      <c r="N236" s="620">
        <v>116.33999999999996</v>
      </c>
    </row>
    <row r="237" spans="1:14" ht="14.4" customHeight="1" x14ac:dyDescent="0.3">
      <c r="A237" s="615" t="s">
        <v>479</v>
      </c>
      <c r="B237" s="616" t="s">
        <v>2514</v>
      </c>
      <c r="C237" s="617" t="s">
        <v>484</v>
      </c>
      <c r="D237" s="618" t="s">
        <v>2515</v>
      </c>
      <c r="E237" s="617" t="s">
        <v>489</v>
      </c>
      <c r="F237" s="618" t="s">
        <v>2516</v>
      </c>
      <c r="G237" s="617" t="s">
        <v>551</v>
      </c>
      <c r="H237" s="617" t="s">
        <v>1324</v>
      </c>
      <c r="I237" s="617" t="s">
        <v>885</v>
      </c>
      <c r="J237" s="617" t="s">
        <v>1325</v>
      </c>
      <c r="K237" s="617"/>
      <c r="L237" s="619">
        <v>92.937754297743837</v>
      </c>
      <c r="M237" s="619">
        <v>8</v>
      </c>
      <c r="N237" s="620">
        <v>743.50203438195069</v>
      </c>
    </row>
    <row r="238" spans="1:14" ht="14.4" customHeight="1" x14ac:dyDescent="0.3">
      <c r="A238" s="615" t="s">
        <v>479</v>
      </c>
      <c r="B238" s="616" t="s">
        <v>2514</v>
      </c>
      <c r="C238" s="617" t="s">
        <v>484</v>
      </c>
      <c r="D238" s="618" t="s">
        <v>2515</v>
      </c>
      <c r="E238" s="617" t="s">
        <v>489</v>
      </c>
      <c r="F238" s="618" t="s">
        <v>2516</v>
      </c>
      <c r="G238" s="617" t="s">
        <v>551</v>
      </c>
      <c r="H238" s="617" t="s">
        <v>1326</v>
      </c>
      <c r="I238" s="617" t="s">
        <v>885</v>
      </c>
      <c r="J238" s="617" t="s">
        <v>1327</v>
      </c>
      <c r="K238" s="617"/>
      <c r="L238" s="619">
        <v>203.17949853957032</v>
      </c>
      <c r="M238" s="619">
        <v>13</v>
      </c>
      <c r="N238" s="620">
        <v>2641.3334810144142</v>
      </c>
    </row>
    <row r="239" spans="1:14" ht="14.4" customHeight="1" x14ac:dyDescent="0.3">
      <c r="A239" s="615" t="s">
        <v>479</v>
      </c>
      <c r="B239" s="616" t="s">
        <v>2514</v>
      </c>
      <c r="C239" s="617" t="s">
        <v>484</v>
      </c>
      <c r="D239" s="618" t="s">
        <v>2515</v>
      </c>
      <c r="E239" s="617" t="s">
        <v>489</v>
      </c>
      <c r="F239" s="618" t="s">
        <v>2516</v>
      </c>
      <c r="G239" s="617" t="s">
        <v>551</v>
      </c>
      <c r="H239" s="617" t="s">
        <v>1328</v>
      </c>
      <c r="I239" s="617" t="s">
        <v>1329</v>
      </c>
      <c r="J239" s="617" t="s">
        <v>1330</v>
      </c>
      <c r="K239" s="617" t="s">
        <v>1070</v>
      </c>
      <c r="L239" s="619">
        <v>112.38000000000002</v>
      </c>
      <c r="M239" s="619">
        <v>1</v>
      </c>
      <c r="N239" s="620">
        <v>112.38000000000002</v>
      </c>
    </row>
    <row r="240" spans="1:14" ht="14.4" customHeight="1" x14ac:dyDescent="0.3">
      <c r="A240" s="615" t="s">
        <v>479</v>
      </c>
      <c r="B240" s="616" t="s">
        <v>2514</v>
      </c>
      <c r="C240" s="617" t="s">
        <v>484</v>
      </c>
      <c r="D240" s="618" t="s">
        <v>2515</v>
      </c>
      <c r="E240" s="617" t="s">
        <v>489</v>
      </c>
      <c r="F240" s="618" t="s">
        <v>2516</v>
      </c>
      <c r="G240" s="617" t="s">
        <v>551</v>
      </c>
      <c r="H240" s="617" t="s">
        <v>1331</v>
      </c>
      <c r="I240" s="617" t="s">
        <v>1332</v>
      </c>
      <c r="J240" s="617" t="s">
        <v>1333</v>
      </c>
      <c r="K240" s="617" t="s">
        <v>1334</v>
      </c>
      <c r="L240" s="619">
        <v>54.790000000000035</v>
      </c>
      <c r="M240" s="619">
        <v>1</v>
      </c>
      <c r="N240" s="620">
        <v>54.790000000000035</v>
      </c>
    </row>
    <row r="241" spans="1:14" ht="14.4" customHeight="1" x14ac:dyDescent="0.3">
      <c r="A241" s="615" t="s">
        <v>479</v>
      </c>
      <c r="B241" s="616" t="s">
        <v>2514</v>
      </c>
      <c r="C241" s="617" t="s">
        <v>484</v>
      </c>
      <c r="D241" s="618" t="s">
        <v>2515</v>
      </c>
      <c r="E241" s="617" t="s">
        <v>489</v>
      </c>
      <c r="F241" s="618" t="s">
        <v>2516</v>
      </c>
      <c r="G241" s="617" t="s">
        <v>551</v>
      </c>
      <c r="H241" s="617" t="s">
        <v>1335</v>
      </c>
      <c r="I241" s="617" t="s">
        <v>1336</v>
      </c>
      <c r="J241" s="617" t="s">
        <v>1337</v>
      </c>
      <c r="K241" s="617" t="s">
        <v>1338</v>
      </c>
      <c r="L241" s="619">
        <v>50.20000000000001</v>
      </c>
      <c r="M241" s="619">
        <v>1</v>
      </c>
      <c r="N241" s="620">
        <v>50.20000000000001</v>
      </c>
    </row>
    <row r="242" spans="1:14" ht="14.4" customHeight="1" x14ac:dyDescent="0.3">
      <c r="A242" s="615" t="s">
        <v>479</v>
      </c>
      <c r="B242" s="616" t="s">
        <v>2514</v>
      </c>
      <c r="C242" s="617" t="s">
        <v>484</v>
      </c>
      <c r="D242" s="618" t="s">
        <v>2515</v>
      </c>
      <c r="E242" s="617" t="s">
        <v>489</v>
      </c>
      <c r="F242" s="618" t="s">
        <v>2516</v>
      </c>
      <c r="G242" s="617" t="s">
        <v>551</v>
      </c>
      <c r="H242" s="617" t="s">
        <v>1339</v>
      </c>
      <c r="I242" s="617" t="s">
        <v>885</v>
      </c>
      <c r="J242" s="617" t="s">
        <v>1340</v>
      </c>
      <c r="K242" s="617"/>
      <c r="L242" s="619">
        <v>23.689999999999998</v>
      </c>
      <c r="M242" s="619">
        <v>1</v>
      </c>
      <c r="N242" s="620">
        <v>23.689999999999998</v>
      </c>
    </row>
    <row r="243" spans="1:14" ht="14.4" customHeight="1" x14ac:dyDescent="0.3">
      <c r="A243" s="615" t="s">
        <v>479</v>
      </c>
      <c r="B243" s="616" t="s">
        <v>2514</v>
      </c>
      <c r="C243" s="617" t="s">
        <v>484</v>
      </c>
      <c r="D243" s="618" t="s">
        <v>2515</v>
      </c>
      <c r="E243" s="617" t="s">
        <v>489</v>
      </c>
      <c r="F243" s="618" t="s">
        <v>2516</v>
      </c>
      <c r="G243" s="617" t="s">
        <v>551</v>
      </c>
      <c r="H243" s="617" t="s">
        <v>1341</v>
      </c>
      <c r="I243" s="617" t="s">
        <v>885</v>
      </c>
      <c r="J243" s="617" t="s">
        <v>1342</v>
      </c>
      <c r="K243" s="617"/>
      <c r="L243" s="619">
        <v>455.74555555555554</v>
      </c>
      <c r="M243" s="619">
        <v>18</v>
      </c>
      <c r="N243" s="620">
        <v>8203.42</v>
      </c>
    </row>
    <row r="244" spans="1:14" ht="14.4" customHeight="1" x14ac:dyDescent="0.3">
      <c r="A244" s="615" t="s">
        <v>479</v>
      </c>
      <c r="B244" s="616" t="s">
        <v>2514</v>
      </c>
      <c r="C244" s="617" t="s">
        <v>484</v>
      </c>
      <c r="D244" s="618" t="s">
        <v>2515</v>
      </c>
      <c r="E244" s="617" t="s">
        <v>489</v>
      </c>
      <c r="F244" s="618" t="s">
        <v>2516</v>
      </c>
      <c r="G244" s="617" t="s">
        <v>551</v>
      </c>
      <c r="H244" s="617" t="s">
        <v>1343</v>
      </c>
      <c r="I244" s="617" t="s">
        <v>885</v>
      </c>
      <c r="J244" s="617" t="s">
        <v>1344</v>
      </c>
      <c r="K244" s="617"/>
      <c r="L244" s="619">
        <v>128.99813308462552</v>
      </c>
      <c r="M244" s="619">
        <v>2</v>
      </c>
      <c r="N244" s="620">
        <v>257.99626616925104</v>
      </c>
    </row>
    <row r="245" spans="1:14" ht="14.4" customHeight="1" x14ac:dyDescent="0.3">
      <c r="A245" s="615" t="s">
        <v>479</v>
      </c>
      <c r="B245" s="616" t="s">
        <v>2514</v>
      </c>
      <c r="C245" s="617" t="s">
        <v>484</v>
      </c>
      <c r="D245" s="618" t="s">
        <v>2515</v>
      </c>
      <c r="E245" s="617" t="s">
        <v>489</v>
      </c>
      <c r="F245" s="618" t="s">
        <v>2516</v>
      </c>
      <c r="G245" s="617" t="s">
        <v>551</v>
      </c>
      <c r="H245" s="617" t="s">
        <v>1345</v>
      </c>
      <c r="I245" s="617" t="s">
        <v>885</v>
      </c>
      <c r="J245" s="617" t="s">
        <v>1346</v>
      </c>
      <c r="K245" s="617"/>
      <c r="L245" s="619">
        <v>591.21382600688526</v>
      </c>
      <c r="M245" s="619">
        <v>1</v>
      </c>
      <c r="N245" s="620">
        <v>591.21382600688526</v>
      </c>
    </row>
    <row r="246" spans="1:14" ht="14.4" customHeight="1" x14ac:dyDescent="0.3">
      <c r="A246" s="615" t="s">
        <v>479</v>
      </c>
      <c r="B246" s="616" t="s">
        <v>2514</v>
      </c>
      <c r="C246" s="617" t="s">
        <v>484</v>
      </c>
      <c r="D246" s="618" t="s">
        <v>2515</v>
      </c>
      <c r="E246" s="617" t="s">
        <v>489</v>
      </c>
      <c r="F246" s="618" t="s">
        <v>2516</v>
      </c>
      <c r="G246" s="617" t="s">
        <v>551</v>
      </c>
      <c r="H246" s="617" t="s">
        <v>1347</v>
      </c>
      <c r="I246" s="617" t="s">
        <v>1348</v>
      </c>
      <c r="J246" s="617" t="s">
        <v>1349</v>
      </c>
      <c r="K246" s="617" t="s">
        <v>1350</v>
      </c>
      <c r="L246" s="619">
        <v>90.379787494872772</v>
      </c>
      <c r="M246" s="619">
        <v>9</v>
      </c>
      <c r="N246" s="620">
        <v>813.41808745385492</v>
      </c>
    </row>
    <row r="247" spans="1:14" ht="14.4" customHeight="1" x14ac:dyDescent="0.3">
      <c r="A247" s="615" t="s">
        <v>479</v>
      </c>
      <c r="B247" s="616" t="s">
        <v>2514</v>
      </c>
      <c r="C247" s="617" t="s">
        <v>484</v>
      </c>
      <c r="D247" s="618" t="s">
        <v>2515</v>
      </c>
      <c r="E247" s="617" t="s">
        <v>489</v>
      </c>
      <c r="F247" s="618" t="s">
        <v>2516</v>
      </c>
      <c r="G247" s="617" t="s">
        <v>551</v>
      </c>
      <c r="H247" s="617" t="s">
        <v>1351</v>
      </c>
      <c r="I247" s="617" t="s">
        <v>1352</v>
      </c>
      <c r="J247" s="617" t="s">
        <v>1353</v>
      </c>
      <c r="K247" s="617" t="s">
        <v>1354</v>
      </c>
      <c r="L247" s="619">
        <v>282.43</v>
      </c>
      <c r="M247" s="619">
        <v>1</v>
      </c>
      <c r="N247" s="620">
        <v>282.43</v>
      </c>
    </row>
    <row r="248" spans="1:14" ht="14.4" customHeight="1" x14ac:dyDescent="0.3">
      <c r="A248" s="615" t="s">
        <v>479</v>
      </c>
      <c r="B248" s="616" t="s">
        <v>2514</v>
      </c>
      <c r="C248" s="617" t="s">
        <v>484</v>
      </c>
      <c r="D248" s="618" t="s">
        <v>2515</v>
      </c>
      <c r="E248" s="617" t="s">
        <v>489</v>
      </c>
      <c r="F248" s="618" t="s">
        <v>2516</v>
      </c>
      <c r="G248" s="617" t="s">
        <v>551</v>
      </c>
      <c r="H248" s="617" t="s">
        <v>1355</v>
      </c>
      <c r="I248" s="617" t="s">
        <v>1356</v>
      </c>
      <c r="J248" s="617" t="s">
        <v>1357</v>
      </c>
      <c r="K248" s="617" t="s">
        <v>1358</v>
      </c>
      <c r="L248" s="619">
        <v>74.559999999999988</v>
      </c>
      <c r="M248" s="619">
        <v>1</v>
      </c>
      <c r="N248" s="620">
        <v>74.559999999999988</v>
      </c>
    </row>
    <row r="249" spans="1:14" ht="14.4" customHeight="1" x14ac:dyDescent="0.3">
      <c r="A249" s="615" t="s">
        <v>479</v>
      </c>
      <c r="B249" s="616" t="s">
        <v>2514</v>
      </c>
      <c r="C249" s="617" t="s">
        <v>484</v>
      </c>
      <c r="D249" s="618" t="s">
        <v>2515</v>
      </c>
      <c r="E249" s="617" t="s">
        <v>489</v>
      </c>
      <c r="F249" s="618" t="s">
        <v>2516</v>
      </c>
      <c r="G249" s="617" t="s">
        <v>551</v>
      </c>
      <c r="H249" s="617" t="s">
        <v>1359</v>
      </c>
      <c r="I249" s="617" t="s">
        <v>1359</v>
      </c>
      <c r="J249" s="617" t="s">
        <v>1360</v>
      </c>
      <c r="K249" s="617" t="s">
        <v>530</v>
      </c>
      <c r="L249" s="619">
        <v>198.9100000000002</v>
      </c>
      <c r="M249" s="619">
        <v>1</v>
      </c>
      <c r="N249" s="620">
        <v>198.9100000000002</v>
      </c>
    </row>
    <row r="250" spans="1:14" ht="14.4" customHeight="1" x14ac:dyDescent="0.3">
      <c r="A250" s="615" t="s">
        <v>479</v>
      </c>
      <c r="B250" s="616" t="s">
        <v>2514</v>
      </c>
      <c r="C250" s="617" t="s">
        <v>484</v>
      </c>
      <c r="D250" s="618" t="s">
        <v>2515</v>
      </c>
      <c r="E250" s="617" t="s">
        <v>489</v>
      </c>
      <c r="F250" s="618" t="s">
        <v>2516</v>
      </c>
      <c r="G250" s="617" t="s">
        <v>551</v>
      </c>
      <c r="H250" s="617" t="s">
        <v>1361</v>
      </c>
      <c r="I250" s="617" t="s">
        <v>1362</v>
      </c>
      <c r="J250" s="617" t="s">
        <v>1363</v>
      </c>
      <c r="K250" s="617" t="s">
        <v>1364</v>
      </c>
      <c r="L250" s="619">
        <v>36.740000000000023</v>
      </c>
      <c r="M250" s="619">
        <v>1</v>
      </c>
      <c r="N250" s="620">
        <v>36.740000000000023</v>
      </c>
    </row>
    <row r="251" spans="1:14" ht="14.4" customHeight="1" x14ac:dyDescent="0.3">
      <c r="A251" s="615" t="s">
        <v>479</v>
      </c>
      <c r="B251" s="616" t="s">
        <v>2514</v>
      </c>
      <c r="C251" s="617" t="s">
        <v>484</v>
      </c>
      <c r="D251" s="618" t="s">
        <v>2515</v>
      </c>
      <c r="E251" s="617" t="s">
        <v>489</v>
      </c>
      <c r="F251" s="618" t="s">
        <v>2516</v>
      </c>
      <c r="G251" s="617" t="s">
        <v>551</v>
      </c>
      <c r="H251" s="617" t="s">
        <v>1365</v>
      </c>
      <c r="I251" s="617" t="s">
        <v>885</v>
      </c>
      <c r="J251" s="617" t="s">
        <v>1366</v>
      </c>
      <c r="K251" s="617"/>
      <c r="L251" s="619">
        <v>132.11866589067219</v>
      </c>
      <c r="M251" s="619">
        <v>46</v>
      </c>
      <c r="N251" s="620">
        <v>6077.4586309709202</v>
      </c>
    </row>
    <row r="252" spans="1:14" ht="14.4" customHeight="1" x14ac:dyDescent="0.3">
      <c r="A252" s="615" t="s">
        <v>479</v>
      </c>
      <c r="B252" s="616" t="s">
        <v>2514</v>
      </c>
      <c r="C252" s="617" t="s">
        <v>484</v>
      </c>
      <c r="D252" s="618" t="s">
        <v>2515</v>
      </c>
      <c r="E252" s="617" t="s">
        <v>489</v>
      </c>
      <c r="F252" s="618" t="s">
        <v>2516</v>
      </c>
      <c r="G252" s="617" t="s">
        <v>551</v>
      </c>
      <c r="H252" s="617" t="s">
        <v>1367</v>
      </c>
      <c r="I252" s="617" t="s">
        <v>885</v>
      </c>
      <c r="J252" s="617" t="s">
        <v>1368</v>
      </c>
      <c r="K252" s="617"/>
      <c r="L252" s="619">
        <v>114.39</v>
      </c>
      <c r="M252" s="619">
        <v>2</v>
      </c>
      <c r="N252" s="620">
        <v>228.78</v>
      </c>
    </row>
    <row r="253" spans="1:14" ht="14.4" customHeight="1" x14ac:dyDescent="0.3">
      <c r="A253" s="615" t="s">
        <v>479</v>
      </c>
      <c r="B253" s="616" t="s">
        <v>2514</v>
      </c>
      <c r="C253" s="617" t="s">
        <v>484</v>
      </c>
      <c r="D253" s="618" t="s">
        <v>2515</v>
      </c>
      <c r="E253" s="617" t="s">
        <v>489</v>
      </c>
      <c r="F253" s="618" t="s">
        <v>2516</v>
      </c>
      <c r="G253" s="617" t="s">
        <v>551</v>
      </c>
      <c r="H253" s="617" t="s">
        <v>1369</v>
      </c>
      <c r="I253" s="617" t="s">
        <v>885</v>
      </c>
      <c r="J253" s="617" t="s">
        <v>1370</v>
      </c>
      <c r="K253" s="617" t="s">
        <v>889</v>
      </c>
      <c r="L253" s="619">
        <v>96.840000000000032</v>
      </c>
      <c r="M253" s="619">
        <v>2</v>
      </c>
      <c r="N253" s="620">
        <v>193.68000000000006</v>
      </c>
    </row>
    <row r="254" spans="1:14" ht="14.4" customHeight="1" x14ac:dyDescent="0.3">
      <c r="A254" s="615" t="s">
        <v>479</v>
      </c>
      <c r="B254" s="616" t="s">
        <v>2514</v>
      </c>
      <c r="C254" s="617" t="s">
        <v>484</v>
      </c>
      <c r="D254" s="618" t="s">
        <v>2515</v>
      </c>
      <c r="E254" s="617" t="s">
        <v>489</v>
      </c>
      <c r="F254" s="618" t="s">
        <v>2516</v>
      </c>
      <c r="G254" s="617" t="s">
        <v>551</v>
      </c>
      <c r="H254" s="617" t="s">
        <v>1371</v>
      </c>
      <c r="I254" s="617" t="s">
        <v>1372</v>
      </c>
      <c r="J254" s="617" t="s">
        <v>1373</v>
      </c>
      <c r="K254" s="617" t="s">
        <v>1374</v>
      </c>
      <c r="L254" s="619">
        <v>393.8</v>
      </c>
      <c r="M254" s="619">
        <v>5</v>
      </c>
      <c r="N254" s="620">
        <v>1969</v>
      </c>
    </row>
    <row r="255" spans="1:14" ht="14.4" customHeight="1" x14ac:dyDescent="0.3">
      <c r="A255" s="615" t="s">
        <v>479</v>
      </c>
      <c r="B255" s="616" t="s">
        <v>2514</v>
      </c>
      <c r="C255" s="617" t="s">
        <v>484</v>
      </c>
      <c r="D255" s="618" t="s">
        <v>2515</v>
      </c>
      <c r="E255" s="617" t="s">
        <v>489</v>
      </c>
      <c r="F255" s="618" t="s">
        <v>2516</v>
      </c>
      <c r="G255" s="617" t="s">
        <v>551</v>
      </c>
      <c r="H255" s="617" t="s">
        <v>1375</v>
      </c>
      <c r="I255" s="617" t="s">
        <v>1376</v>
      </c>
      <c r="J255" s="617" t="s">
        <v>1377</v>
      </c>
      <c r="K255" s="617" t="s">
        <v>1298</v>
      </c>
      <c r="L255" s="619">
        <v>103.56951541089072</v>
      </c>
      <c r="M255" s="619">
        <v>414</v>
      </c>
      <c r="N255" s="620">
        <v>42877.779380108754</v>
      </c>
    </row>
    <row r="256" spans="1:14" ht="14.4" customHeight="1" x14ac:dyDescent="0.3">
      <c r="A256" s="615" t="s">
        <v>479</v>
      </c>
      <c r="B256" s="616" t="s">
        <v>2514</v>
      </c>
      <c r="C256" s="617" t="s">
        <v>484</v>
      </c>
      <c r="D256" s="618" t="s">
        <v>2515</v>
      </c>
      <c r="E256" s="617" t="s">
        <v>489</v>
      </c>
      <c r="F256" s="618" t="s">
        <v>2516</v>
      </c>
      <c r="G256" s="617" t="s">
        <v>551</v>
      </c>
      <c r="H256" s="617" t="s">
        <v>1378</v>
      </c>
      <c r="I256" s="617" t="s">
        <v>1379</v>
      </c>
      <c r="J256" s="617" t="s">
        <v>1380</v>
      </c>
      <c r="K256" s="617" t="s">
        <v>1381</v>
      </c>
      <c r="L256" s="619">
        <v>170.59</v>
      </c>
      <c r="M256" s="619">
        <v>1</v>
      </c>
      <c r="N256" s="620">
        <v>170.59</v>
      </c>
    </row>
    <row r="257" spans="1:14" ht="14.4" customHeight="1" x14ac:dyDescent="0.3">
      <c r="A257" s="615" t="s">
        <v>479</v>
      </c>
      <c r="B257" s="616" t="s">
        <v>2514</v>
      </c>
      <c r="C257" s="617" t="s">
        <v>484</v>
      </c>
      <c r="D257" s="618" t="s">
        <v>2515</v>
      </c>
      <c r="E257" s="617" t="s">
        <v>489</v>
      </c>
      <c r="F257" s="618" t="s">
        <v>2516</v>
      </c>
      <c r="G257" s="617" t="s">
        <v>551</v>
      </c>
      <c r="H257" s="617" t="s">
        <v>1382</v>
      </c>
      <c r="I257" s="617" t="s">
        <v>885</v>
      </c>
      <c r="J257" s="617" t="s">
        <v>1383</v>
      </c>
      <c r="K257" s="617" t="s">
        <v>1384</v>
      </c>
      <c r="L257" s="619">
        <v>248.96510004759114</v>
      </c>
      <c r="M257" s="619">
        <v>2</v>
      </c>
      <c r="N257" s="620">
        <v>497.93020009518227</v>
      </c>
    </row>
    <row r="258" spans="1:14" ht="14.4" customHeight="1" x14ac:dyDescent="0.3">
      <c r="A258" s="615" t="s">
        <v>479</v>
      </c>
      <c r="B258" s="616" t="s">
        <v>2514</v>
      </c>
      <c r="C258" s="617" t="s">
        <v>484</v>
      </c>
      <c r="D258" s="618" t="s">
        <v>2515</v>
      </c>
      <c r="E258" s="617" t="s">
        <v>489</v>
      </c>
      <c r="F258" s="618" t="s">
        <v>2516</v>
      </c>
      <c r="G258" s="617" t="s">
        <v>551</v>
      </c>
      <c r="H258" s="617" t="s">
        <v>1385</v>
      </c>
      <c r="I258" s="617" t="s">
        <v>1386</v>
      </c>
      <c r="J258" s="617" t="s">
        <v>1387</v>
      </c>
      <c r="K258" s="617" t="s">
        <v>1388</v>
      </c>
      <c r="L258" s="619">
        <v>615.85000000000014</v>
      </c>
      <c r="M258" s="619">
        <v>2</v>
      </c>
      <c r="N258" s="620">
        <v>1231.7000000000003</v>
      </c>
    </row>
    <row r="259" spans="1:14" ht="14.4" customHeight="1" x14ac:dyDescent="0.3">
      <c r="A259" s="615" t="s">
        <v>479</v>
      </c>
      <c r="B259" s="616" t="s">
        <v>2514</v>
      </c>
      <c r="C259" s="617" t="s">
        <v>484</v>
      </c>
      <c r="D259" s="618" t="s">
        <v>2515</v>
      </c>
      <c r="E259" s="617" t="s">
        <v>489</v>
      </c>
      <c r="F259" s="618" t="s">
        <v>2516</v>
      </c>
      <c r="G259" s="617" t="s">
        <v>551</v>
      </c>
      <c r="H259" s="617" t="s">
        <v>1389</v>
      </c>
      <c r="I259" s="617" t="s">
        <v>1390</v>
      </c>
      <c r="J259" s="617" t="s">
        <v>1391</v>
      </c>
      <c r="K259" s="617" t="s">
        <v>1392</v>
      </c>
      <c r="L259" s="619">
        <v>157.86928530657022</v>
      </c>
      <c r="M259" s="619">
        <v>4</v>
      </c>
      <c r="N259" s="620">
        <v>631.47714122628088</v>
      </c>
    </row>
    <row r="260" spans="1:14" ht="14.4" customHeight="1" x14ac:dyDescent="0.3">
      <c r="A260" s="615" t="s">
        <v>479</v>
      </c>
      <c r="B260" s="616" t="s">
        <v>2514</v>
      </c>
      <c r="C260" s="617" t="s">
        <v>484</v>
      </c>
      <c r="D260" s="618" t="s">
        <v>2515</v>
      </c>
      <c r="E260" s="617" t="s">
        <v>489</v>
      </c>
      <c r="F260" s="618" t="s">
        <v>2516</v>
      </c>
      <c r="G260" s="617" t="s">
        <v>551</v>
      </c>
      <c r="H260" s="617" t="s">
        <v>1393</v>
      </c>
      <c r="I260" s="617" t="s">
        <v>1394</v>
      </c>
      <c r="J260" s="617" t="s">
        <v>698</v>
      </c>
      <c r="K260" s="617" t="s">
        <v>1395</v>
      </c>
      <c r="L260" s="619">
        <v>15.82</v>
      </c>
      <c r="M260" s="619">
        <v>4</v>
      </c>
      <c r="N260" s="620">
        <v>63.28</v>
      </c>
    </row>
    <row r="261" spans="1:14" ht="14.4" customHeight="1" x14ac:dyDescent="0.3">
      <c r="A261" s="615" t="s">
        <v>479</v>
      </c>
      <c r="B261" s="616" t="s">
        <v>2514</v>
      </c>
      <c r="C261" s="617" t="s">
        <v>484</v>
      </c>
      <c r="D261" s="618" t="s">
        <v>2515</v>
      </c>
      <c r="E261" s="617" t="s">
        <v>489</v>
      </c>
      <c r="F261" s="618" t="s">
        <v>2516</v>
      </c>
      <c r="G261" s="617" t="s">
        <v>551</v>
      </c>
      <c r="H261" s="617" t="s">
        <v>1396</v>
      </c>
      <c r="I261" s="617" t="s">
        <v>1397</v>
      </c>
      <c r="J261" s="617" t="s">
        <v>1398</v>
      </c>
      <c r="K261" s="617" t="s">
        <v>1399</v>
      </c>
      <c r="L261" s="619">
        <v>325.15978185572334</v>
      </c>
      <c r="M261" s="619">
        <v>57</v>
      </c>
      <c r="N261" s="620">
        <v>18534.10756577623</v>
      </c>
    </row>
    <row r="262" spans="1:14" ht="14.4" customHeight="1" x14ac:dyDescent="0.3">
      <c r="A262" s="615" t="s">
        <v>479</v>
      </c>
      <c r="B262" s="616" t="s">
        <v>2514</v>
      </c>
      <c r="C262" s="617" t="s">
        <v>484</v>
      </c>
      <c r="D262" s="618" t="s">
        <v>2515</v>
      </c>
      <c r="E262" s="617" t="s">
        <v>489</v>
      </c>
      <c r="F262" s="618" t="s">
        <v>2516</v>
      </c>
      <c r="G262" s="617" t="s">
        <v>551</v>
      </c>
      <c r="H262" s="617" t="s">
        <v>1400</v>
      </c>
      <c r="I262" s="617" t="s">
        <v>885</v>
      </c>
      <c r="J262" s="617" t="s">
        <v>1401</v>
      </c>
      <c r="K262" s="617"/>
      <c r="L262" s="619">
        <v>51.934605284882721</v>
      </c>
      <c r="M262" s="619">
        <v>1</v>
      </c>
      <c r="N262" s="620">
        <v>51.934605284882721</v>
      </c>
    </row>
    <row r="263" spans="1:14" ht="14.4" customHeight="1" x14ac:dyDescent="0.3">
      <c r="A263" s="615" t="s">
        <v>479</v>
      </c>
      <c r="B263" s="616" t="s">
        <v>2514</v>
      </c>
      <c r="C263" s="617" t="s">
        <v>484</v>
      </c>
      <c r="D263" s="618" t="s">
        <v>2515</v>
      </c>
      <c r="E263" s="617" t="s">
        <v>489</v>
      </c>
      <c r="F263" s="618" t="s">
        <v>2516</v>
      </c>
      <c r="G263" s="617" t="s">
        <v>551</v>
      </c>
      <c r="H263" s="617" t="s">
        <v>1402</v>
      </c>
      <c r="I263" s="617" t="s">
        <v>1403</v>
      </c>
      <c r="J263" s="617" t="s">
        <v>1404</v>
      </c>
      <c r="K263" s="617" t="s">
        <v>1405</v>
      </c>
      <c r="L263" s="619">
        <v>275.30989036993719</v>
      </c>
      <c r="M263" s="619">
        <v>49</v>
      </c>
      <c r="N263" s="620">
        <v>13490.184628126923</v>
      </c>
    </row>
    <row r="264" spans="1:14" ht="14.4" customHeight="1" x14ac:dyDescent="0.3">
      <c r="A264" s="615" t="s">
        <v>479</v>
      </c>
      <c r="B264" s="616" t="s">
        <v>2514</v>
      </c>
      <c r="C264" s="617" t="s">
        <v>484</v>
      </c>
      <c r="D264" s="618" t="s">
        <v>2515</v>
      </c>
      <c r="E264" s="617" t="s">
        <v>489</v>
      </c>
      <c r="F264" s="618" t="s">
        <v>2516</v>
      </c>
      <c r="G264" s="617" t="s">
        <v>551</v>
      </c>
      <c r="H264" s="617" t="s">
        <v>1406</v>
      </c>
      <c r="I264" s="617" t="s">
        <v>1407</v>
      </c>
      <c r="J264" s="617" t="s">
        <v>1408</v>
      </c>
      <c r="K264" s="617" t="s">
        <v>1409</v>
      </c>
      <c r="L264" s="619">
        <v>34.219553225194673</v>
      </c>
      <c r="M264" s="619">
        <v>47</v>
      </c>
      <c r="N264" s="620">
        <v>1608.3190015841496</v>
      </c>
    </row>
    <row r="265" spans="1:14" ht="14.4" customHeight="1" x14ac:dyDescent="0.3">
      <c r="A265" s="615" t="s">
        <v>479</v>
      </c>
      <c r="B265" s="616" t="s">
        <v>2514</v>
      </c>
      <c r="C265" s="617" t="s">
        <v>484</v>
      </c>
      <c r="D265" s="618" t="s">
        <v>2515</v>
      </c>
      <c r="E265" s="617" t="s">
        <v>489</v>
      </c>
      <c r="F265" s="618" t="s">
        <v>2516</v>
      </c>
      <c r="G265" s="617" t="s">
        <v>551</v>
      </c>
      <c r="H265" s="617" t="s">
        <v>1410</v>
      </c>
      <c r="I265" s="617" t="s">
        <v>885</v>
      </c>
      <c r="J265" s="617" t="s">
        <v>1411</v>
      </c>
      <c r="K265" s="617"/>
      <c r="L265" s="619">
        <v>67.018834382304306</v>
      </c>
      <c r="M265" s="619">
        <v>13</v>
      </c>
      <c r="N265" s="620">
        <v>871.24484696995592</v>
      </c>
    </row>
    <row r="266" spans="1:14" ht="14.4" customHeight="1" x14ac:dyDescent="0.3">
      <c r="A266" s="615" t="s">
        <v>479</v>
      </c>
      <c r="B266" s="616" t="s">
        <v>2514</v>
      </c>
      <c r="C266" s="617" t="s">
        <v>484</v>
      </c>
      <c r="D266" s="618" t="s">
        <v>2515</v>
      </c>
      <c r="E266" s="617" t="s">
        <v>489</v>
      </c>
      <c r="F266" s="618" t="s">
        <v>2516</v>
      </c>
      <c r="G266" s="617" t="s">
        <v>551</v>
      </c>
      <c r="H266" s="617" t="s">
        <v>1412</v>
      </c>
      <c r="I266" s="617" t="s">
        <v>885</v>
      </c>
      <c r="J266" s="617" t="s">
        <v>1413</v>
      </c>
      <c r="K266" s="617"/>
      <c r="L266" s="619">
        <v>306.48082517019861</v>
      </c>
      <c r="M266" s="619">
        <v>2</v>
      </c>
      <c r="N266" s="620">
        <v>612.96165034039723</v>
      </c>
    </row>
    <row r="267" spans="1:14" ht="14.4" customHeight="1" x14ac:dyDescent="0.3">
      <c r="A267" s="615" t="s">
        <v>479</v>
      </c>
      <c r="B267" s="616" t="s">
        <v>2514</v>
      </c>
      <c r="C267" s="617" t="s">
        <v>484</v>
      </c>
      <c r="D267" s="618" t="s">
        <v>2515</v>
      </c>
      <c r="E267" s="617" t="s">
        <v>489</v>
      </c>
      <c r="F267" s="618" t="s">
        <v>2516</v>
      </c>
      <c r="G267" s="617" t="s">
        <v>551</v>
      </c>
      <c r="H267" s="617" t="s">
        <v>1414</v>
      </c>
      <c r="I267" s="617" t="s">
        <v>885</v>
      </c>
      <c r="J267" s="617" t="s">
        <v>1415</v>
      </c>
      <c r="K267" s="617"/>
      <c r="L267" s="619">
        <v>126.21859139267985</v>
      </c>
      <c r="M267" s="619">
        <v>3</v>
      </c>
      <c r="N267" s="620">
        <v>378.65577417803956</v>
      </c>
    </row>
    <row r="268" spans="1:14" ht="14.4" customHeight="1" x14ac:dyDescent="0.3">
      <c r="A268" s="615" t="s">
        <v>479</v>
      </c>
      <c r="B268" s="616" t="s">
        <v>2514</v>
      </c>
      <c r="C268" s="617" t="s">
        <v>484</v>
      </c>
      <c r="D268" s="618" t="s">
        <v>2515</v>
      </c>
      <c r="E268" s="617" t="s">
        <v>489</v>
      </c>
      <c r="F268" s="618" t="s">
        <v>2516</v>
      </c>
      <c r="G268" s="617" t="s">
        <v>551</v>
      </c>
      <c r="H268" s="617" t="s">
        <v>1416</v>
      </c>
      <c r="I268" s="617" t="s">
        <v>1417</v>
      </c>
      <c r="J268" s="617" t="s">
        <v>1418</v>
      </c>
      <c r="K268" s="617" t="s">
        <v>1419</v>
      </c>
      <c r="L268" s="619">
        <v>2071.4513401221993</v>
      </c>
      <c r="M268" s="619">
        <v>35</v>
      </c>
      <c r="N268" s="620">
        <v>72500.796904276969</v>
      </c>
    </row>
    <row r="269" spans="1:14" ht="14.4" customHeight="1" x14ac:dyDescent="0.3">
      <c r="A269" s="615" t="s">
        <v>479</v>
      </c>
      <c r="B269" s="616" t="s">
        <v>2514</v>
      </c>
      <c r="C269" s="617" t="s">
        <v>484</v>
      </c>
      <c r="D269" s="618" t="s">
        <v>2515</v>
      </c>
      <c r="E269" s="617" t="s">
        <v>489</v>
      </c>
      <c r="F269" s="618" t="s">
        <v>2516</v>
      </c>
      <c r="G269" s="617" t="s">
        <v>551</v>
      </c>
      <c r="H269" s="617" t="s">
        <v>1420</v>
      </c>
      <c r="I269" s="617" t="s">
        <v>1421</v>
      </c>
      <c r="J269" s="617" t="s">
        <v>1422</v>
      </c>
      <c r="K269" s="617" t="s">
        <v>1423</v>
      </c>
      <c r="L269" s="619">
        <v>6050.0074999999997</v>
      </c>
      <c r="M269" s="619">
        <v>4</v>
      </c>
      <c r="N269" s="620">
        <v>24200.03</v>
      </c>
    </row>
    <row r="270" spans="1:14" ht="14.4" customHeight="1" x14ac:dyDescent="0.3">
      <c r="A270" s="615" t="s">
        <v>479</v>
      </c>
      <c r="B270" s="616" t="s">
        <v>2514</v>
      </c>
      <c r="C270" s="617" t="s">
        <v>484</v>
      </c>
      <c r="D270" s="618" t="s">
        <v>2515</v>
      </c>
      <c r="E270" s="617" t="s">
        <v>489</v>
      </c>
      <c r="F270" s="618" t="s">
        <v>2516</v>
      </c>
      <c r="G270" s="617" t="s">
        <v>551</v>
      </c>
      <c r="H270" s="617" t="s">
        <v>1424</v>
      </c>
      <c r="I270" s="617" t="s">
        <v>1425</v>
      </c>
      <c r="J270" s="617" t="s">
        <v>1426</v>
      </c>
      <c r="K270" s="617" t="s">
        <v>1427</v>
      </c>
      <c r="L270" s="619">
        <v>1772.2117288937013</v>
      </c>
      <c r="M270" s="619">
        <v>1</v>
      </c>
      <c r="N270" s="620">
        <v>1772.2117288937013</v>
      </c>
    </row>
    <row r="271" spans="1:14" ht="14.4" customHeight="1" x14ac:dyDescent="0.3">
      <c r="A271" s="615" t="s">
        <v>479</v>
      </c>
      <c r="B271" s="616" t="s">
        <v>2514</v>
      </c>
      <c r="C271" s="617" t="s">
        <v>484</v>
      </c>
      <c r="D271" s="618" t="s">
        <v>2515</v>
      </c>
      <c r="E271" s="617" t="s">
        <v>489</v>
      </c>
      <c r="F271" s="618" t="s">
        <v>2516</v>
      </c>
      <c r="G271" s="617" t="s">
        <v>551</v>
      </c>
      <c r="H271" s="617" t="s">
        <v>1428</v>
      </c>
      <c r="I271" s="617" t="s">
        <v>1428</v>
      </c>
      <c r="J271" s="617" t="s">
        <v>1429</v>
      </c>
      <c r="K271" s="617" t="s">
        <v>1430</v>
      </c>
      <c r="L271" s="619">
        <v>86.61</v>
      </c>
      <c r="M271" s="619">
        <v>1</v>
      </c>
      <c r="N271" s="620">
        <v>86.61</v>
      </c>
    </row>
    <row r="272" spans="1:14" ht="14.4" customHeight="1" x14ac:dyDescent="0.3">
      <c r="A272" s="615" t="s">
        <v>479</v>
      </c>
      <c r="B272" s="616" t="s">
        <v>2514</v>
      </c>
      <c r="C272" s="617" t="s">
        <v>484</v>
      </c>
      <c r="D272" s="618" t="s">
        <v>2515</v>
      </c>
      <c r="E272" s="617" t="s">
        <v>489</v>
      </c>
      <c r="F272" s="618" t="s">
        <v>2516</v>
      </c>
      <c r="G272" s="617" t="s">
        <v>551</v>
      </c>
      <c r="H272" s="617" t="s">
        <v>1431</v>
      </c>
      <c r="I272" s="617" t="s">
        <v>1431</v>
      </c>
      <c r="J272" s="617" t="s">
        <v>1432</v>
      </c>
      <c r="K272" s="617" t="s">
        <v>557</v>
      </c>
      <c r="L272" s="619">
        <v>365.9704673869407</v>
      </c>
      <c r="M272" s="619">
        <v>9</v>
      </c>
      <c r="N272" s="620">
        <v>3293.7342064824661</v>
      </c>
    </row>
    <row r="273" spans="1:14" ht="14.4" customHeight="1" x14ac:dyDescent="0.3">
      <c r="A273" s="615" t="s">
        <v>479</v>
      </c>
      <c r="B273" s="616" t="s">
        <v>2514</v>
      </c>
      <c r="C273" s="617" t="s">
        <v>484</v>
      </c>
      <c r="D273" s="618" t="s">
        <v>2515</v>
      </c>
      <c r="E273" s="617" t="s">
        <v>489</v>
      </c>
      <c r="F273" s="618" t="s">
        <v>2516</v>
      </c>
      <c r="G273" s="617" t="s">
        <v>551</v>
      </c>
      <c r="H273" s="617" t="s">
        <v>1433</v>
      </c>
      <c r="I273" s="617" t="s">
        <v>1434</v>
      </c>
      <c r="J273" s="617" t="s">
        <v>1435</v>
      </c>
      <c r="K273" s="617" t="s">
        <v>1316</v>
      </c>
      <c r="L273" s="619">
        <v>2800</v>
      </c>
      <c r="M273" s="619">
        <v>15</v>
      </c>
      <c r="N273" s="620">
        <v>42000</v>
      </c>
    </row>
    <row r="274" spans="1:14" ht="14.4" customHeight="1" x14ac:dyDescent="0.3">
      <c r="A274" s="615" t="s">
        <v>479</v>
      </c>
      <c r="B274" s="616" t="s">
        <v>2514</v>
      </c>
      <c r="C274" s="617" t="s">
        <v>484</v>
      </c>
      <c r="D274" s="618" t="s">
        <v>2515</v>
      </c>
      <c r="E274" s="617" t="s">
        <v>489</v>
      </c>
      <c r="F274" s="618" t="s">
        <v>2516</v>
      </c>
      <c r="G274" s="617" t="s">
        <v>551</v>
      </c>
      <c r="H274" s="617" t="s">
        <v>1436</v>
      </c>
      <c r="I274" s="617" t="s">
        <v>1437</v>
      </c>
      <c r="J274" s="617" t="s">
        <v>1438</v>
      </c>
      <c r="K274" s="617" t="s">
        <v>1439</v>
      </c>
      <c r="L274" s="619">
        <v>74.22</v>
      </c>
      <c r="M274" s="619">
        <v>4</v>
      </c>
      <c r="N274" s="620">
        <v>296.88</v>
      </c>
    </row>
    <row r="275" spans="1:14" ht="14.4" customHeight="1" x14ac:dyDescent="0.3">
      <c r="A275" s="615" t="s">
        <v>479</v>
      </c>
      <c r="B275" s="616" t="s">
        <v>2514</v>
      </c>
      <c r="C275" s="617" t="s">
        <v>484</v>
      </c>
      <c r="D275" s="618" t="s">
        <v>2515</v>
      </c>
      <c r="E275" s="617" t="s">
        <v>489</v>
      </c>
      <c r="F275" s="618" t="s">
        <v>2516</v>
      </c>
      <c r="G275" s="617" t="s">
        <v>551</v>
      </c>
      <c r="H275" s="617" t="s">
        <v>1440</v>
      </c>
      <c r="I275" s="617" t="s">
        <v>1441</v>
      </c>
      <c r="J275" s="617" t="s">
        <v>1442</v>
      </c>
      <c r="K275" s="617" t="s">
        <v>1443</v>
      </c>
      <c r="L275" s="619">
        <v>3960</v>
      </c>
      <c r="M275" s="619">
        <v>1</v>
      </c>
      <c r="N275" s="620">
        <v>3960</v>
      </c>
    </row>
    <row r="276" spans="1:14" ht="14.4" customHeight="1" x14ac:dyDescent="0.3">
      <c r="A276" s="615" t="s">
        <v>479</v>
      </c>
      <c r="B276" s="616" t="s">
        <v>2514</v>
      </c>
      <c r="C276" s="617" t="s">
        <v>484</v>
      </c>
      <c r="D276" s="618" t="s">
        <v>2515</v>
      </c>
      <c r="E276" s="617" t="s">
        <v>489</v>
      </c>
      <c r="F276" s="618" t="s">
        <v>2516</v>
      </c>
      <c r="G276" s="617" t="s">
        <v>551</v>
      </c>
      <c r="H276" s="617" t="s">
        <v>1444</v>
      </c>
      <c r="I276" s="617" t="s">
        <v>1445</v>
      </c>
      <c r="J276" s="617" t="s">
        <v>1446</v>
      </c>
      <c r="K276" s="617" t="s">
        <v>1447</v>
      </c>
      <c r="L276" s="619">
        <v>142.35000000000005</v>
      </c>
      <c r="M276" s="619">
        <v>6</v>
      </c>
      <c r="N276" s="620">
        <v>854.10000000000025</v>
      </c>
    </row>
    <row r="277" spans="1:14" ht="14.4" customHeight="1" x14ac:dyDescent="0.3">
      <c r="A277" s="615" t="s">
        <v>479</v>
      </c>
      <c r="B277" s="616" t="s">
        <v>2514</v>
      </c>
      <c r="C277" s="617" t="s">
        <v>484</v>
      </c>
      <c r="D277" s="618" t="s">
        <v>2515</v>
      </c>
      <c r="E277" s="617" t="s">
        <v>489</v>
      </c>
      <c r="F277" s="618" t="s">
        <v>2516</v>
      </c>
      <c r="G277" s="617" t="s">
        <v>551</v>
      </c>
      <c r="H277" s="617" t="s">
        <v>1448</v>
      </c>
      <c r="I277" s="617" t="s">
        <v>1449</v>
      </c>
      <c r="J277" s="617" t="s">
        <v>1450</v>
      </c>
      <c r="K277" s="617" t="s">
        <v>1451</v>
      </c>
      <c r="L277" s="619">
        <v>3651.9999749179447</v>
      </c>
      <c r="M277" s="619">
        <v>11</v>
      </c>
      <c r="N277" s="620">
        <v>40171.99972409739</v>
      </c>
    </row>
    <row r="278" spans="1:14" ht="14.4" customHeight="1" x14ac:dyDescent="0.3">
      <c r="A278" s="615" t="s">
        <v>479</v>
      </c>
      <c r="B278" s="616" t="s">
        <v>2514</v>
      </c>
      <c r="C278" s="617" t="s">
        <v>484</v>
      </c>
      <c r="D278" s="618" t="s">
        <v>2515</v>
      </c>
      <c r="E278" s="617" t="s">
        <v>489</v>
      </c>
      <c r="F278" s="618" t="s">
        <v>2516</v>
      </c>
      <c r="G278" s="617" t="s">
        <v>551</v>
      </c>
      <c r="H278" s="617" t="s">
        <v>1452</v>
      </c>
      <c r="I278" s="617" t="s">
        <v>1453</v>
      </c>
      <c r="J278" s="617" t="s">
        <v>1454</v>
      </c>
      <c r="K278" s="617" t="s">
        <v>940</v>
      </c>
      <c r="L278" s="619">
        <v>53.379777989550789</v>
      </c>
      <c r="M278" s="619">
        <v>1</v>
      </c>
      <c r="N278" s="620">
        <v>53.379777989550789</v>
      </c>
    </row>
    <row r="279" spans="1:14" ht="14.4" customHeight="1" x14ac:dyDescent="0.3">
      <c r="A279" s="615" t="s">
        <v>479</v>
      </c>
      <c r="B279" s="616" t="s">
        <v>2514</v>
      </c>
      <c r="C279" s="617" t="s">
        <v>484</v>
      </c>
      <c r="D279" s="618" t="s">
        <v>2515</v>
      </c>
      <c r="E279" s="617" t="s">
        <v>489</v>
      </c>
      <c r="F279" s="618" t="s">
        <v>2516</v>
      </c>
      <c r="G279" s="617" t="s">
        <v>551</v>
      </c>
      <c r="H279" s="617" t="s">
        <v>1455</v>
      </c>
      <c r="I279" s="617" t="s">
        <v>885</v>
      </c>
      <c r="J279" s="617" t="s">
        <v>1456</v>
      </c>
      <c r="K279" s="617"/>
      <c r="L279" s="619">
        <v>70.326585650134518</v>
      </c>
      <c r="M279" s="619">
        <v>3</v>
      </c>
      <c r="N279" s="620">
        <v>210.97975695040356</v>
      </c>
    </row>
    <row r="280" spans="1:14" ht="14.4" customHeight="1" x14ac:dyDescent="0.3">
      <c r="A280" s="615" t="s">
        <v>479</v>
      </c>
      <c r="B280" s="616" t="s">
        <v>2514</v>
      </c>
      <c r="C280" s="617" t="s">
        <v>484</v>
      </c>
      <c r="D280" s="618" t="s">
        <v>2515</v>
      </c>
      <c r="E280" s="617" t="s">
        <v>489</v>
      </c>
      <c r="F280" s="618" t="s">
        <v>2516</v>
      </c>
      <c r="G280" s="617" t="s">
        <v>551</v>
      </c>
      <c r="H280" s="617" t="s">
        <v>1457</v>
      </c>
      <c r="I280" s="617" t="s">
        <v>1458</v>
      </c>
      <c r="J280" s="617" t="s">
        <v>1459</v>
      </c>
      <c r="K280" s="617" t="s">
        <v>1298</v>
      </c>
      <c r="L280" s="619">
        <v>36.564999999999991</v>
      </c>
      <c r="M280" s="619">
        <v>40</v>
      </c>
      <c r="N280" s="620">
        <v>1462.5999999999997</v>
      </c>
    </row>
    <row r="281" spans="1:14" ht="14.4" customHeight="1" x14ac:dyDescent="0.3">
      <c r="A281" s="615" t="s">
        <v>479</v>
      </c>
      <c r="B281" s="616" t="s">
        <v>2514</v>
      </c>
      <c r="C281" s="617" t="s">
        <v>484</v>
      </c>
      <c r="D281" s="618" t="s">
        <v>2515</v>
      </c>
      <c r="E281" s="617" t="s">
        <v>489</v>
      </c>
      <c r="F281" s="618" t="s">
        <v>2516</v>
      </c>
      <c r="G281" s="617" t="s">
        <v>551</v>
      </c>
      <c r="H281" s="617" t="s">
        <v>1460</v>
      </c>
      <c r="I281" s="617" t="s">
        <v>885</v>
      </c>
      <c r="J281" s="617" t="s">
        <v>1461</v>
      </c>
      <c r="K281" s="617"/>
      <c r="L281" s="619">
        <v>82.689999999999955</v>
      </c>
      <c r="M281" s="619">
        <v>1</v>
      </c>
      <c r="N281" s="620">
        <v>82.689999999999955</v>
      </c>
    </row>
    <row r="282" spans="1:14" ht="14.4" customHeight="1" x14ac:dyDescent="0.3">
      <c r="A282" s="615" t="s">
        <v>479</v>
      </c>
      <c r="B282" s="616" t="s">
        <v>2514</v>
      </c>
      <c r="C282" s="617" t="s">
        <v>484</v>
      </c>
      <c r="D282" s="618" t="s">
        <v>2515</v>
      </c>
      <c r="E282" s="617" t="s">
        <v>489</v>
      </c>
      <c r="F282" s="618" t="s">
        <v>2516</v>
      </c>
      <c r="G282" s="617" t="s">
        <v>551</v>
      </c>
      <c r="H282" s="617" t="s">
        <v>1462</v>
      </c>
      <c r="I282" s="617" t="s">
        <v>1463</v>
      </c>
      <c r="J282" s="617" t="s">
        <v>1464</v>
      </c>
      <c r="K282" s="617" t="s">
        <v>1465</v>
      </c>
      <c r="L282" s="619">
        <v>55.19</v>
      </c>
      <c r="M282" s="619">
        <v>1</v>
      </c>
      <c r="N282" s="620">
        <v>55.19</v>
      </c>
    </row>
    <row r="283" spans="1:14" ht="14.4" customHeight="1" x14ac:dyDescent="0.3">
      <c r="A283" s="615" t="s">
        <v>479</v>
      </c>
      <c r="B283" s="616" t="s">
        <v>2514</v>
      </c>
      <c r="C283" s="617" t="s">
        <v>484</v>
      </c>
      <c r="D283" s="618" t="s">
        <v>2515</v>
      </c>
      <c r="E283" s="617" t="s">
        <v>489</v>
      </c>
      <c r="F283" s="618" t="s">
        <v>2516</v>
      </c>
      <c r="G283" s="617" t="s">
        <v>551</v>
      </c>
      <c r="H283" s="617" t="s">
        <v>1466</v>
      </c>
      <c r="I283" s="617" t="s">
        <v>1467</v>
      </c>
      <c r="J283" s="617" t="s">
        <v>1468</v>
      </c>
      <c r="K283" s="617" t="s">
        <v>1469</v>
      </c>
      <c r="L283" s="619">
        <v>83.13</v>
      </c>
      <c r="M283" s="619">
        <v>1</v>
      </c>
      <c r="N283" s="620">
        <v>83.13</v>
      </c>
    </row>
    <row r="284" spans="1:14" ht="14.4" customHeight="1" x14ac:dyDescent="0.3">
      <c r="A284" s="615" t="s">
        <v>479</v>
      </c>
      <c r="B284" s="616" t="s">
        <v>2514</v>
      </c>
      <c r="C284" s="617" t="s">
        <v>484</v>
      </c>
      <c r="D284" s="618" t="s">
        <v>2515</v>
      </c>
      <c r="E284" s="617" t="s">
        <v>489</v>
      </c>
      <c r="F284" s="618" t="s">
        <v>2516</v>
      </c>
      <c r="G284" s="617" t="s">
        <v>551</v>
      </c>
      <c r="H284" s="617" t="s">
        <v>1470</v>
      </c>
      <c r="I284" s="617" t="s">
        <v>1471</v>
      </c>
      <c r="J284" s="617" t="s">
        <v>1472</v>
      </c>
      <c r="K284" s="617" t="s">
        <v>1473</v>
      </c>
      <c r="L284" s="619">
        <v>155.13000000000005</v>
      </c>
      <c r="M284" s="619">
        <v>5</v>
      </c>
      <c r="N284" s="620">
        <v>775.65000000000032</v>
      </c>
    </row>
    <row r="285" spans="1:14" ht="14.4" customHeight="1" x14ac:dyDescent="0.3">
      <c r="A285" s="615" t="s">
        <v>479</v>
      </c>
      <c r="B285" s="616" t="s">
        <v>2514</v>
      </c>
      <c r="C285" s="617" t="s">
        <v>484</v>
      </c>
      <c r="D285" s="618" t="s">
        <v>2515</v>
      </c>
      <c r="E285" s="617" t="s">
        <v>489</v>
      </c>
      <c r="F285" s="618" t="s">
        <v>2516</v>
      </c>
      <c r="G285" s="617" t="s">
        <v>551</v>
      </c>
      <c r="H285" s="617" t="s">
        <v>1474</v>
      </c>
      <c r="I285" s="617" t="s">
        <v>1475</v>
      </c>
      <c r="J285" s="617" t="s">
        <v>1476</v>
      </c>
      <c r="K285" s="617" t="s">
        <v>1477</v>
      </c>
      <c r="L285" s="619">
        <v>46.540035568224937</v>
      </c>
      <c r="M285" s="619">
        <v>9</v>
      </c>
      <c r="N285" s="620">
        <v>418.86032011402443</v>
      </c>
    </row>
    <row r="286" spans="1:14" ht="14.4" customHeight="1" x14ac:dyDescent="0.3">
      <c r="A286" s="615" t="s">
        <v>479</v>
      </c>
      <c r="B286" s="616" t="s">
        <v>2514</v>
      </c>
      <c r="C286" s="617" t="s">
        <v>484</v>
      </c>
      <c r="D286" s="618" t="s">
        <v>2515</v>
      </c>
      <c r="E286" s="617" t="s">
        <v>489</v>
      </c>
      <c r="F286" s="618" t="s">
        <v>2516</v>
      </c>
      <c r="G286" s="617" t="s">
        <v>551</v>
      </c>
      <c r="H286" s="617" t="s">
        <v>1478</v>
      </c>
      <c r="I286" s="617" t="s">
        <v>1479</v>
      </c>
      <c r="J286" s="617" t="s">
        <v>1480</v>
      </c>
      <c r="K286" s="617" t="s">
        <v>1481</v>
      </c>
      <c r="L286" s="619">
        <v>839.42</v>
      </c>
      <c r="M286" s="619">
        <v>1</v>
      </c>
      <c r="N286" s="620">
        <v>839.42</v>
      </c>
    </row>
    <row r="287" spans="1:14" ht="14.4" customHeight="1" x14ac:dyDescent="0.3">
      <c r="A287" s="615" t="s">
        <v>479</v>
      </c>
      <c r="B287" s="616" t="s">
        <v>2514</v>
      </c>
      <c r="C287" s="617" t="s">
        <v>484</v>
      </c>
      <c r="D287" s="618" t="s">
        <v>2515</v>
      </c>
      <c r="E287" s="617" t="s">
        <v>489</v>
      </c>
      <c r="F287" s="618" t="s">
        <v>2516</v>
      </c>
      <c r="G287" s="617" t="s">
        <v>551</v>
      </c>
      <c r="H287" s="617" t="s">
        <v>1482</v>
      </c>
      <c r="I287" s="617" t="s">
        <v>1483</v>
      </c>
      <c r="J287" s="617" t="s">
        <v>1484</v>
      </c>
      <c r="K287" s="617" t="s">
        <v>1485</v>
      </c>
      <c r="L287" s="619">
        <v>59.899999999999984</v>
      </c>
      <c r="M287" s="619">
        <v>2</v>
      </c>
      <c r="N287" s="620">
        <v>119.79999999999997</v>
      </c>
    </row>
    <row r="288" spans="1:14" ht="14.4" customHeight="1" x14ac:dyDescent="0.3">
      <c r="A288" s="615" t="s">
        <v>479</v>
      </c>
      <c r="B288" s="616" t="s">
        <v>2514</v>
      </c>
      <c r="C288" s="617" t="s">
        <v>484</v>
      </c>
      <c r="D288" s="618" t="s">
        <v>2515</v>
      </c>
      <c r="E288" s="617" t="s">
        <v>489</v>
      </c>
      <c r="F288" s="618" t="s">
        <v>2516</v>
      </c>
      <c r="G288" s="617" t="s">
        <v>551</v>
      </c>
      <c r="H288" s="617" t="s">
        <v>1486</v>
      </c>
      <c r="I288" s="617" t="s">
        <v>1487</v>
      </c>
      <c r="J288" s="617" t="s">
        <v>1488</v>
      </c>
      <c r="K288" s="617" t="s">
        <v>1489</v>
      </c>
      <c r="L288" s="619">
        <v>59.900000000000006</v>
      </c>
      <c r="M288" s="619">
        <v>2</v>
      </c>
      <c r="N288" s="620">
        <v>119.80000000000001</v>
      </c>
    </row>
    <row r="289" spans="1:14" ht="14.4" customHeight="1" x14ac:dyDescent="0.3">
      <c r="A289" s="615" t="s">
        <v>479</v>
      </c>
      <c r="B289" s="616" t="s">
        <v>2514</v>
      </c>
      <c r="C289" s="617" t="s">
        <v>484</v>
      </c>
      <c r="D289" s="618" t="s">
        <v>2515</v>
      </c>
      <c r="E289" s="617" t="s">
        <v>489</v>
      </c>
      <c r="F289" s="618" t="s">
        <v>2516</v>
      </c>
      <c r="G289" s="617" t="s">
        <v>551</v>
      </c>
      <c r="H289" s="617" t="s">
        <v>1490</v>
      </c>
      <c r="I289" s="617" t="s">
        <v>1491</v>
      </c>
      <c r="J289" s="617" t="s">
        <v>1492</v>
      </c>
      <c r="K289" s="617" t="s">
        <v>1493</v>
      </c>
      <c r="L289" s="619">
        <v>74.609999999999957</v>
      </c>
      <c r="M289" s="619">
        <v>2</v>
      </c>
      <c r="N289" s="620">
        <v>149.21999999999991</v>
      </c>
    </row>
    <row r="290" spans="1:14" ht="14.4" customHeight="1" x14ac:dyDescent="0.3">
      <c r="A290" s="615" t="s">
        <v>479</v>
      </c>
      <c r="B290" s="616" t="s">
        <v>2514</v>
      </c>
      <c r="C290" s="617" t="s">
        <v>484</v>
      </c>
      <c r="D290" s="618" t="s">
        <v>2515</v>
      </c>
      <c r="E290" s="617" t="s">
        <v>489</v>
      </c>
      <c r="F290" s="618" t="s">
        <v>2516</v>
      </c>
      <c r="G290" s="617" t="s">
        <v>551</v>
      </c>
      <c r="H290" s="617" t="s">
        <v>1494</v>
      </c>
      <c r="I290" s="617" t="s">
        <v>1495</v>
      </c>
      <c r="J290" s="617" t="s">
        <v>1496</v>
      </c>
      <c r="K290" s="617" t="s">
        <v>1497</v>
      </c>
      <c r="L290" s="619">
        <v>63.64999999999997</v>
      </c>
      <c r="M290" s="619">
        <v>2</v>
      </c>
      <c r="N290" s="620">
        <v>127.29999999999994</v>
      </c>
    </row>
    <row r="291" spans="1:14" ht="14.4" customHeight="1" x14ac:dyDescent="0.3">
      <c r="A291" s="615" t="s">
        <v>479</v>
      </c>
      <c r="B291" s="616" t="s">
        <v>2514</v>
      </c>
      <c r="C291" s="617" t="s">
        <v>484</v>
      </c>
      <c r="D291" s="618" t="s">
        <v>2515</v>
      </c>
      <c r="E291" s="617" t="s">
        <v>489</v>
      </c>
      <c r="F291" s="618" t="s">
        <v>2516</v>
      </c>
      <c r="G291" s="617" t="s">
        <v>551</v>
      </c>
      <c r="H291" s="617" t="s">
        <v>1498</v>
      </c>
      <c r="I291" s="617" t="s">
        <v>885</v>
      </c>
      <c r="J291" s="617" t="s">
        <v>1499</v>
      </c>
      <c r="K291" s="617"/>
      <c r="L291" s="619">
        <v>134.08937909353122</v>
      </c>
      <c r="M291" s="619">
        <v>3</v>
      </c>
      <c r="N291" s="620">
        <v>402.26813728059369</v>
      </c>
    </row>
    <row r="292" spans="1:14" ht="14.4" customHeight="1" x14ac:dyDescent="0.3">
      <c r="A292" s="615" t="s">
        <v>479</v>
      </c>
      <c r="B292" s="616" t="s">
        <v>2514</v>
      </c>
      <c r="C292" s="617" t="s">
        <v>484</v>
      </c>
      <c r="D292" s="618" t="s">
        <v>2515</v>
      </c>
      <c r="E292" s="617" t="s">
        <v>489</v>
      </c>
      <c r="F292" s="618" t="s">
        <v>2516</v>
      </c>
      <c r="G292" s="617" t="s">
        <v>551</v>
      </c>
      <c r="H292" s="617" t="s">
        <v>1500</v>
      </c>
      <c r="I292" s="617" t="s">
        <v>1501</v>
      </c>
      <c r="J292" s="617" t="s">
        <v>1502</v>
      </c>
      <c r="K292" s="617" t="s">
        <v>1503</v>
      </c>
      <c r="L292" s="619">
        <v>68.149999999999991</v>
      </c>
      <c r="M292" s="619">
        <v>11</v>
      </c>
      <c r="N292" s="620">
        <v>749.64999999999986</v>
      </c>
    </row>
    <row r="293" spans="1:14" ht="14.4" customHeight="1" x14ac:dyDescent="0.3">
      <c r="A293" s="615" t="s">
        <v>479</v>
      </c>
      <c r="B293" s="616" t="s">
        <v>2514</v>
      </c>
      <c r="C293" s="617" t="s">
        <v>484</v>
      </c>
      <c r="D293" s="618" t="s">
        <v>2515</v>
      </c>
      <c r="E293" s="617" t="s">
        <v>489</v>
      </c>
      <c r="F293" s="618" t="s">
        <v>2516</v>
      </c>
      <c r="G293" s="617" t="s">
        <v>551</v>
      </c>
      <c r="H293" s="617" t="s">
        <v>1504</v>
      </c>
      <c r="I293" s="617" t="s">
        <v>1505</v>
      </c>
      <c r="J293" s="617" t="s">
        <v>1506</v>
      </c>
      <c r="K293" s="617" t="s">
        <v>1507</v>
      </c>
      <c r="L293" s="619">
        <v>617.98</v>
      </c>
      <c r="M293" s="619">
        <v>4</v>
      </c>
      <c r="N293" s="620">
        <v>2471.92</v>
      </c>
    </row>
    <row r="294" spans="1:14" ht="14.4" customHeight="1" x14ac:dyDescent="0.3">
      <c r="A294" s="615" t="s">
        <v>479</v>
      </c>
      <c r="B294" s="616" t="s">
        <v>2514</v>
      </c>
      <c r="C294" s="617" t="s">
        <v>484</v>
      </c>
      <c r="D294" s="618" t="s">
        <v>2515</v>
      </c>
      <c r="E294" s="617" t="s">
        <v>489</v>
      </c>
      <c r="F294" s="618" t="s">
        <v>2516</v>
      </c>
      <c r="G294" s="617" t="s">
        <v>551</v>
      </c>
      <c r="H294" s="617" t="s">
        <v>1508</v>
      </c>
      <c r="I294" s="617" t="s">
        <v>1509</v>
      </c>
      <c r="J294" s="617" t="s">
        <v>1510</v>
      </c>
      <c r="K294" s="617" t="s">
        <v>1511</v>
      </c>
      <c r="L294" s="619">
        <v>539.39</v>
      </c>
      <c r="M294" s="619">
        <v>1</v>
      </c>
      <c r="N294" s="620">
        <v>539.39</v>
      </c>
    </row>
    <row r="295" spans="1:14" ht="14.4" customHeight="1" x14ac:dyDescent="0.3">
      <c r="A295" s="615" t="s">
        <v>479</v>
      </c>
      <c r="B295" s="616" t="s">
        <v>2514</v>
      </c>
      <c r="C295" s="617" t="s">
        <v>484</v>
      </c>
      <c r="D295" s="618" t="s">
        <v>2515</v>
      </c>
      <c r="E295" s="617" t="s">
        <v>489</v>
      </c>
      <c r="F295" s="618" t="s">
        <v>2516</v>
      </c>
      <c r="G295" s="617" t="s">
        <v>551</v>
      </c>
      <c r="H295" s="617" t="s">
        <v>1512</v>
      </c>
      <c r="I295" s="617" t="s">
        <v>1513</v>
      </c>
      <c r="J295" s="617" t="s">
        <v>982</v>
      </c>
      <c r="K295" s="617" t="s">
        <v>1514</v>
      </c>
      <c r="L295" s="619">
        <v>75.668000000000006</v>
      </c>
      <c r="M295" s="619">
        <v>5</v>
      </c>
      <c r="N295" s="620">
        <v>378.34000000000003</v>
      </c>
    </row>
    <row r="296" spans="1:14" ht="14.4" customHeight="1" x14ac:dyDescent="0.3">
      <c r="A296" s="615" t="s">
        <v>479</v>
      </c>
      <c r="B296" s="616" t="s">
        <v>2514</v>
      </c>
      <c r="C296" s="617" t="s">
        <v>484</v>
      </c>
      <c r="D296" s="618" t="s">
        <v>2515</v>
      </c>
      <c r="E296" s="617" t="s">
        <v>489</v>
      </c>
      <c r="F296" s="618" t="s">
        <v>2516</v>
      </c>
      <c r="G296" s="617" t="s">
        <v>551</v>
      </c>
      <c r="H296" s="617" t="s">
        <v>1515</v>
      </c>
      <c r="I296" s="617" t="s">
        <v>1516</v>
      </c>
      <c r="J296" s="617" t="s">
        <v>1517</v>
      </c>
      <c r="K296" s="617" t="s">
        <v>1518</v>
      </c>
      <c r="L296" s="619">
        <v>770.43000000000018</v>
      </c>
      <c r="M296" s="619">
        <v>1</v>
      </c>
      <c r="N296" s="620">
        <v>770.43000000000018</v>
      </c>
    </row>
    <row r="297" spans="1:14" ht="14.4" customHeight="1" x14ac:dyDescent="0.3">
      <c r="A297" s="615" t="s">
        <v>479</v>
      </c>
      <c r="B297" s="616" t="s">
        <v>2514</v>
      </c>
      <c r="C297" s="617" t="s">
        <v>484</v>
      </c>
      <c r="D297" s="618" t="s">
        <v>2515</v>
      </c>
      <c r="E297" s="617" t="s">
        <v>489</v>
      </c>
      <c r="F297" s="618" t="s">
        <v>2516</v>
      </c>
      <c r="G297" s="617" t="s">
        <v>551</v>
      </c>
      <c r="H297" s="617" t="s">
        <v>1519</v>
      </c>
      <c r="I297" s="617" t="s">
        <v>1520</v>
      </c>
      <c r="J297" s="617" t="s">
        <v>1521</v>
      </c>
      <c r="K297" s="617" t="s">
        <v>1522</v>
      </c>
      <c r="L297" s="619">
        <v>105.41000000000003</v>
      </c>
      <c r="M297" s="619">
        <v>60</v>
      </c>
      <c r="N297" s="620">
        <v>6324.6000000000013</v>
      </c>
    </row>
    <row r="298" spans="1:14" ht="14.4" customHeight="1" x14ac:dyDescent="0.3">
      <c r="A298" s="615" t="s">
        <v>479</v>
      </c>
      <c r="B298" s="616" t="s">
        <v>2514</v>
      </c>
      <c r="C298" s="617" t="s">
        <v>484</v>
      </c>
      <c r="D298" s="618" t="s">
        <v>2515</v>
      </c>
      <c r="E298" s="617" t="s">
        <v>489</v>
      </c>
      <c r="F298" s="618" t="s">
        <v>2516</v>
      </c>
      <c r="G298" s="617" t="s">
        <v>551</v>
      </c>
      <c r="H298" s="617" t="s">
        <v>1523</v>
      </c>
      <c r="I298" s="617" t="s">
        <v>1523</v>
      </c>
      <c r="J298" s="617" t="s">
        <v>1524</v>
      </c>
      <c r="K298" s="617" t="s">
        <v>1525</v>
      </c>
      <c r="L298" s="619">
        <v>606.50971005303427</v>
      </c>
      <c r="M298" s="619">
        <v>2</v>
      </c>
      <c r="N298" s="620">
        <v>1213.0194201060685</v>
      </c>
    </row>
    <row r="299" spans="1:14" ht="14.4" customHeight="1" x14ac:dyDescent="0.3">
      <c r="A299" s="615" t="s">
        <v>479</v>
      </c>
      <c r="B299" s="616" t="s">
        <v>2514</v>
      </c>
      <c r="C299" s="617" t="s">
        <v>484</v>
      </c>
      <c r="D299" s="618" t="s">
        <v>2515</v>
      </c>
      <c r="E299" s="617" t="s">
        <v>489</v>
      </c>
      <c r="F299" s="618" t="s">
        <v>2516</v>
      </c>
      <c r="G299" s="617" t="s">
        <v>551</v>
      </c>
      <c r="H299" s="617" t="s">
        <v>1526</v>
      </c>
      <c r="I299" s="617" t="s">
        <v>1527</v>
      </c>
      <c r="J299" s="617" t="s">
        <v>878</v>
      </c>
      <c r="K299" s="617" t="s">
        <v>1528</v>
      </c>
      <c r="L299" s="619">
        <v>133.75999999999996</v>
      </c>
      <c r="M299" s="619">
        <v>1</v>
      </c>
      <c r="N299" s="620">
        <v>133.75999999999996</v>
      </c>
    </row>
    <row r="300" spans="1:14" ht="14.4" customHeight="1" x14ac:dyDescent="0.3">
      <c r="A300" s="615" t="s">
        <v>479</v>
      </c>
      <c r="B300" s="616" t="s">
        <v>2514</v>
      </c>
      <c r="C300" s="617" t="s">
        <v>484</v>
      </c>
      <c r="D300" s="618" t="s">
        <v>2515</v>
      </c>
      <c r="E300" s="617" t="s">
        <v>489</v>
      </c>
      <c r="F300" s="618" t="s">
        <v>2516</v>
      </c>
      <c r="G300" s="617" t="s">
        <v>551</v>
      </c>
      <c r="H300" s="617" t="s">
        <v>1529</v>
      </c>
      <c r="I300" s="617" t="s">
        <v>1530</v>
      </c>
      <c r="J300" s="617" t="s">
        <v>1531</v>
      </c>
      <c r="K300" s="617" t="s">
        <v>1298</v>
      </c>
      <c r="L300" s="619">
        <v>80.424615384615393</v>
      </c>
      <c r="M300" s="619">
        <v>130</v>
      </c>
      <c r="N300" s="620">
        <v>10455.200000000001</v>
      </c>
    </row>
    <row r="301" spans="1:14" ht="14.4" customHeight="1" x14ac:dyDescent="0.3">
      <c r="A301" s="615" t="s">
        <v>479</v>
      </c>
      <c r="B301" s="616" t="s">
        <v>2514</v>
      </c>
      <c r="C301" s="617" t="s">
        <v>484</v>
      </c>
      <c r="D301" s="618" t="s">
        <v>2515</v>
      </c>
      <c r="E301" s="617" t="s">
        <v>489</v>
      </c>
      <c r="F301" s="618" t="s">
        <v>2516</v>
      </c>
      <c r="G301" s="617" t="s">
        <v>551</v>
      </c>
      <c r="H301" s="617" t="s">
        <v>1532</v>
      </c>
      <c r="I301" s="617" t="s">
        <v>885</v>
      </c>
      <c r="J301" s="617" t="s">
        <v>1533</v>
      </c>
      <c r="K301" s="617" t="s">
        <v>1534</v>
      </c>
      <c r="L301" s="619">
        <v>1708.1166666666661</v>
      </c>
      <c r="M301" s="619">
        <v>3</v>
      </c>
      <c r="N301" s="620">
        <v>5124.3499999999985</v>
      </c>
    </row>
    <row r="302" spans="1:14" ht="14.4" customHeight="1" x14ac:dyDescent="0.3">
      <c r="A302" s="615" t="s">
        <v>479</v>
      </c>
      <c r="B302" s="616" t="s">
        <v>2514</v>
      </c>
      <c r="C302" s="617" t="s">
        <v>484</v>
      </c>
      <c r="D302" s="618" t="s">
        <v>2515</v>
      </c>
      <c r="E302" s="617" t="s">
        <v>489</v>
      </c>
      <c r="F302" s="618" t="s">
        <v>2516</v>
      </c>
      <c r="G302" s="617" t="s">
        <v>551</v>
      </c>
      <c r="H302" s="617" t="s">
        <v>1535</v>
      </c>
      <c r="I302" s="617" t="s">
        <v>885</v>
      </c>
      <c r="J302" s="617" t="s">
        <v>1536</v>
      </c>
      <c r="K302" s="617" t="s">
        <v>1537</v>
      </c>
      <c r="L302" s="619">
        <v>64.63333333333334</v>
      </c>
      <c r="M302" s="619">
        <v>7</v>
      </c>
      <c r="N302" s="620">
        <v>452.43333333333334</v>
      </c>
    </row>
    <row r="303" spans="1:14" ht="14.4" customHeight="1" x14ac:dyDescent="0.3">
      <c r="A303" s="615" t="s">
        <v>479</v>
      </c>
      <c r="B303" s="616" t="s">
        <v>2514</v>
      </c>
      <c r="C303" s="617" t="s">
        <v>484</v>
      </c>
      <c r="D303" s="618" t="s">
        <v>2515</v>
      </c>
      <c r="E303" s="617" t="s">
        <v>489</v>
      </c>
      <c r="F303" s="618" t="s">
        <v>2516</v>
      </c>
      <c r="G303" s="617" t="s">
        <v>551</v>
      </c>
      <c r="H303" s="617" t="s">
        <v>1538</v>
      </c>
      <c r="I303" s="617" t="s">
        <v>885</v>
      </c>
      <c r="J303" s="617" t="s">
        <v>1539</v>
      </c>
      <c r="K303" s="617"/>
      <c r="L303" s="619">
        <v>179.95000000000002</v>
      </c>
      <c r="M303" s="619">
        <v>1</v>
      </c>
      <c r="N303" s="620">
        <v>179.95000000000002</v>
      </c>
    </row>
    <row r="304" spans="1:14" ht="14.4" customHeight="1" x14ac:dyDescent="0.3">
      <c r="A304" s="615" t="s">
        <v>479</v>
      </c>
      <c r="B304" s="616" t="s">
        <v>2514</v>
      </c>
      <c r="C304" s="617" t="s">
        <v>484</v>
      </c>
      <c r="D304" s="618" t="s">
        <v>2515</v>
      </c>
      <c r="E304" s="617" t="s">
        <v>489</v>
      </c>
      <c r="F304" s="618" t="s">
        <v>2516</v>
      </c>
      <c r="G304" s="617" t="s">
        <v>551</v>
      </c>
      <c r="H304" s="617" t="s">
        <v>1540</v>
      </c>
      <c r="I304" s="617" t="s">
        <v>885</v>
      </c>
      <c r="J304" s="617" t="s">
        <v>1541</v>
      </c>
      <c r="K304" s="617" t="s">
        <v>1542</v>
      </c>
      <c r="L304" s="619">
        <v>396.73874999999998</v>
      </c>
      <c r="M304" s="619">
        <v>96</v>
      </c>
      <c r="N304" s="620">
        <v>38086.92</v>
      </c>
    </row>
    <row r="305" spans="1:14" ht="14.4" customHeight="1" x14ac:dyDescent="0.3">
      <c r="A305" s="615" t="s">
        <v>479</v>
      </c>
      <c r="B305" s="616" t="s">
        <v>2514</v>
      </c>
      <c r="C305" s="617" t="s">
        <v>484</v>
      </c>
      <c r="D305" s="618" t="s">
        <v>2515</v>
      </c>
      <c r="E305" s="617" t="s">
        <v>489</v>
      </c>
      <c r="F305" s="618" t="s">
        <v>2516</v>
      </c>
      <c r="G305" s="617" t="s">
        <v>551</v>
      </c>
      <c r="H305" s="617" t="s">
        <v>1543</v>
      </c>
      <c r="I305" s="617" t="s">
        <v>1543</v>
      </c>
      <c r="J305" s="617" t="s">
        <v>1544</v>
      </c>
      <c r="K305" s="617" t="s">
        <v>1545</v>
      </c>
      <c r="L305" s="619">
        <v>926.25378410811948</v>
      </c>
      <c r="M305" s="619">
        <v>103</v>
      </c>
      <c r="N305" s="620">
        <v>95404.139763136307</v>
      </c>
    </row>
    <row r="306" spans="1:14" ht="14.4" customHeight="1" x14ac:dyDescent="0.3">
      <c r="A306" s="615" t="s">
        <v>479</v>
      </c>
      <c r="B306" s="616" t="s">
        <v>2514</v>
      </c>
      <c r="C306" s="617" t="s">
        <v>484</v>
      </c>
      <c r="D306" s="618" t="s">
        <v>2515</v>
      </c>
      <c r="E306" s="617" t="s">
        <v>489</v>
      </c>
      <c r="F306" s="618" t="s">
        <v>2516</v>
      </c>
      <c r="G306" s="617" t="s">
        <v>551</v>
      </c>
      <c r="H306" s="617" t="s">
        <v>1546</v>
      </c>
      <c r="I306" s="617" t="s">
        <v>885</v>
      </c>
      <c r="J306" s="617" t="s">
        <v>1547</v>
      </c>
      <c r="K306" s="617"/>
      <c r="L306" s="619">
        <v>143.32558336257412</v>
      </c>
      <c r="M306" s="619">
        <v>9</v>
      </c>
      <c r="N306" s="620">
        <v>1289.9302502631672</v>
      </c>
    </row>
    <row r="307" spans="1:14" ht="14.4" customHeight="1" x14ac:dyDescent="0.3">
      <c r="A307" s="615" t="s">
        <v>479</v>
      </c>
      <c r="B307" s="616" t="s">
        <v>2514</v>
      </c>
      <c r="C307" s="617" t="s">
        <v>484</v>
      </c>
      <c r="D307" s="618" t="s">
        <v>2515</v>
      </c>
      <c r="E307" s="617" t="s">
        <v>489</v>
      </c>
      <c r="F307" s="618" t="s">
        <v>2516</v>
      </c>
      <c r="G307" s="617" t="s">
        <v>551</v>
      </c>
      <c r="H307" s="617" t="s">
        <v>1548</v>
      </c>
      <c r="I307" s="617" t="s">
        <v>885</v>
      </c>
      <c r="J307" s="617" t="s">
        <v>1549</v>
      </c>
      <c r="K307" s="617"/>
      <c r="L307" s="619">
        <v>59.341796707511044</v>
      </c>
      <c r="M307" s="619">
        <v>2</v>
      </c>
      <c r="N307" s="620">
        <v>118.68359341502209</v>
      </c>
    </row>
    <row r="308" spans="1:14" ht="14.4" customHeight="1" x14ac:dyDescent="0.3">
      <c r="A308" s="615" t="s">
        <v>479</v>
      </c>
      <c r="B308" s="616" t="s">
        <v>2514</v>
      </c>
      <c r="C308" s="617" t="s">
        <v>484</v>
      </c>
      <c r="D308" s="618" t="s">
        <v>2515</v>
      </c>
      <c r="E308" s="617" t="s">
        <v>489</v>
      </c>
      <c r="F308" s="618" t="s">
        <v>2516</v>
      </c>
      <c r="G308" s="617" t="s">
        <v>551</v>
      </c>
      <c r="H308" s="617" t="s">
        <v>1550</v>
      </c>
      <c r="I308" s="617" t="s">
        <v>1551</v>
      </c>
      <c r="J308" s="617" t="s">
        <v>1552</v>
      </c>
      <c r="K308" s="617" t="s">
        <v>1553</v>
      </c>
      <c r="L308" s="619">
        <v>16.170185185185183</v>
      </c>
      <c r="M308" s="619">
        <v>54</v>
      </c>
      <c r="N308" s="620">
        <v>873.18999999999994</v>
      </c>
    </row>
    <row r="309" spans="1:14" ht="14.4" customHeight="1" x14ac:dyDescent="0.3">
      <c r="A309" s="615" t="s">
        <v>479</v>
      </c>
      <c r="B309" s="616" t="s">
        <v>2514</v>
      </c>
      <c r="C309" s="617" t="s">
        <v>484</v>
      </c>
      <c r="D309" s="618" t="s">
        <v>2515</v>
      </c>
      <c r="E309" s="617" t="s">
        <v>489</v>
      </c>
      <c r="F309" s="618" t="s">
        <v>2516</v>
      </c>
      <c r="G309" s="617" t="s">
        <v>551</v>
      </c>
      <c r="H309" s="617" t="s">
        <v>1554</v>
      </c>
      <c r="I309" s="617" t="s">
        <v>885</v>
      </c>
      <c r="J309" s="617" t="s">
        <v>1555</v>
      </c>
      <c r="K309" s="617"/>
      <c r="L309" s="619">
        <v>77.735262625778944</v>
      </c>
      <c r="M309" s="619">
        <v>15</v>
      </c>
      <c r="N309" s="620">
        <v>1166.0289393866842</v>
      </c>
    </row>
    <row r="310" spans="1:14" ht="14.4" customHeight="1" x14ac:dyDescent="0.3">
      <c r="A310" s="615" t="s">
        <v>479</v>
      </c>
      <c r="B310" s="616" t="s">
        <v>2514</v>
      </c>
      <c r="C310" s="617" t="s">
        <v>484</v>
      </c>
      <c r="D310" s="618" t="s">
        <v>2515</v>
      </c>
      <c r="E310" s="617" t="s">
        <v>489</v>
      </c>
      <c r="F310" s="618" t="s">
        <v>2516</v>
      </c>
      <c r="G310" s="617" t="s">
        <v>551</v>
      </c>
      <c r="H310" s="617" t="s">
        <v>1556</v>
      </c>
      <c r="I310" s="617" t="s">
        <v>1557</v>
      </c>
      <c r="J310" s="617" t="s">
        <v>1558</v>
      </c>
      <c r="K310" s="617" t="s">
        <v>1559</v>
      </c>
      <c r="L310" s="619">
        <v>368.91</v>
      </c>
      <c r="M310" s="619">
        <v>2</v>
      </c>
      <c r="N310" s="620">
        <v>737.82</v>
      </c>
    </row>
    <row r="311" spans="1:14" ht="14.4" customHeight="1" x14ac:dyDescent="0.3">
      <c r="A311" s="615" t="s">
        <v>479</v>
      </c>
      <c r="B311" s="616" t="s">
        <v>2514</v>
      </c>
      <c r="C311" s="617" t="s">
        <v>484</v>
      </c>
      <c r="D311" s="618" t="s">
        <v>2515</v>
      </c>
      <c r="E311" s="617" t="s">
        <v>489</v>
      </c>
      <c r="F311" s="618" t="s">
        <v>2516</v>
      </c>
      <c r="G311" s="617" t="s">
        <v>551</v>
      </c>
      <c r="H311" s="617" t="s">
        <v>1560</v>
      </c>
      <c r="I311" s="617" t="s">
        <v>885</v>
      </c>
      <c r="J311" s="617" t="s">
        <v>1561</v>
      </c>
      <c r="K311" s="617" t="s">
        <v>1562</v>
      </c>
      <c r="L311" s="619">
        <v>221.0212664240772</v>
      </c>
      <c r="M311" s="619">
        <v>6</v>
      </c>
      <c r="N311" s="620">
        <v>1326.1275985444631</v>
      </c>
    </row>
    <row r="312" spans="1:14" ht="14.4" customHeight="1" x14ac:dyDescent="0.3">
      <c r="A312" s="615" t="s">
        <v>479</v>
      </c>
      <c r="B312" s="616" t="s">
        <v>2514</v>
      </c>
      <c r="C312" s="617" t="s">
        <v>484</v>
      </c>
      <c r="D312" s="618" t="s">
        <v>2515</v>
      </c>
      <c r="E312" s="617" t="s">
        <v>489</v>
      </c>
      <c r="F312" s="618" t="s">
        <v>2516</v>
      </c>
      <c r="G312" s="617" t="s">
        <v>551</v>
      </c>
      <c r="H312" s="617" t="s">
        <v>1563</v>
      </c>
      <c r="I312" s="617" t="s">
        <v>1564</v>
      </c>
      <c r="J312" s="617" t="s">
        <v>1565</v>
      </c>
      <c r="K312" s="617" t="s">
        <v>1566</v>
      </c>
      <c r="L312" s="619">
        <v>91.580000000000013</v>
      </c>
      <c r="M312" s="619">
        <v>2</v>
      </c>
      <c r="N312" s="620">
        <v>183.16000000000003</v>
      </c>
    </row>
    <row r="313" spans="1:14" ht="14.4" customHeight="1" x14ac:dyDescent="0.3">
      <c r="A313" s="615" t="s">
        <v>479</v>
      </c>
      <c r="B313" s="616" t="s">
        <v>2514</v>
      </c>
      <c r="C313" s="617" t="s">
        <v>484</v>
      </c>
      <c r="D313" s="618" t="s">
        <v>2515</v>
      </c>
      <c r="E313" s="617" t="s">
        <v>489</v>
      </c>
      <c r="F313" s="618" t="s">
        <v>2516</v>
      </c>
      <c r="G313" s="617" t="s">
        <v>551</v>
      </c>
      <c r="H313" s="617" t="s">
        <v>1567</v>
      </c>
      <c r="I313" s="617" t="s">
        <v>1568</v>
      </c>
      <c r="J313" s="617" t="s">
        <v>1569</v>
      </c>
      <c r="K313" s="617" t="s">
        <v>1570</v>
      </c>
      <c r="L313" s="619">
        <v>111</v>
      </c>
      <c r="M313" s="619">
        <v>1</v>
      </c>
      <c r="N313" s="620">
        <v>111</v>
      </c>
    </row>
    <row r="314" spans="1:14" ht="14.4" customHeight="1" x14ac:dyDescent="0.3">
      <c r="A314" s="615" t="s">
        <v>479</v>
      </c>
      <c r="B314" s="616" t="s">
        <v>2514</v>
      </c>
      <c r="C314" s="617" t="s">
        <v>484</v>
      </c>
      <c r="D314" s="618" t="s">
        <v>2515</v>
      </c>
      <c r="E314" s="617" t="s">
        <v>489</v>
      </c>
      <c r="F314" s="618" t="s">
        <v>2516</v>
      </c>
      <c r="G314" s="617" t="s">
        <v>551</v>
      </c>
      <c r="H314" s="617" t="s">
        <v>1571</v>
      </c>
      <c r="I314" s="617" t="s">
        <v>1572</v>
      </c>
      <c r="J314" s="617" t="s">
        <v>1573</v>
      </c>
      <c r="K314" s="617" t="s">
        <v>1574</v>
      </c>
      <c r="L314" s="619">
        <v>61.819999999999979</v>
      </c>
      <c r="M314" s="619">
        <v>1</v>
      </c>
      <c r="N314" s="620">
        <v>61.819999999999979</v>
      </c>
    </row>
    <row r="315" spans="1:14" ht="14.4" customHeight="1" x14ac:dyDescent="0.3">
      <c r="A315" s="615" t="s">
        <v>479</v>
      </c>
      <c r="B315" s="616" t="s">
        <v>2514</v>
      </c>
      <c r="C315" s="617" t="s">
        <v>484</v>
      </c>
      <c r="D315" s="618" t="s">
        <v>2515</v>
      </c>
      <c r="E315" s="617" t="s">
        <v>489</v>
      </c>
      <c r="F315" s="618" t="s">
        <v>2516</v>
      </c>
      <c r="G315" s="617" t="s">
        <v>551</v>
      </c>
      <c r="H315" s="617" t="s">
        <v>1575</v>
      </c>
      <c r="I315" s="617" t="s">
        <v>1576</v>
      </c>
      <c r="J315" s="617" t="s">
        <v>1577</v>
      </c>
      <c r="K315" s="617" t="s">
        <v>1578</v>
      </c>
      <c r="L315" s="619">
        <v>26.77000000000001</v>
      </c>
      <c r="M315" s="619">
        <v>1</v>
      </c>
      <c r="N315" s="620">
        <v>26.77000000000001</v>
      </c>
    </row>
    <row r="316" spans="1:14" ht="14.4" customHeight="1" x14ac:dyDescent="0.3">
      <c r="A316" s="615" t="s">
        <v>479</v>
      </c>
      <c r="B316" s="616" t="s">
        <v>2514</v>
      </c>
      <c r="C316" s="617" t="s">
        <v>484</v>
      </c>
      <c r="D316" s="618" t="s">
        <v>2515</v>
      </c>
      <c r="E316" s="617" t="s">
        <v>489</v>
      </c>
      <c r="F316" s="618" t="s">
        <v>2516</v>
      </c>
      <c r="G316" s="617" t="s">
        <v>551</v>
      </c>
      <c r="H316" s="617" t="s">
        <v>1579</v>
      </c>
      <c r="I316" s="617" t="s">
        <v>885</v>
      </c>
      <c r="J316" s="617" t="s">
        <v>1580</v>
      </c>
      <c r="K316" s="617"/>
      <c r="L316" s="619">
        <v>88.44591226939086</v>
      </c>
      <c r="M316" s="619">
        <v>1</v>
      </c>
      <c r="N316" s="620">
        <v>88.44591226939086</v>
      </c>
    </row>
    <row r="317" spans="1:14" ht="14.4" customHeight="1" x14ac:dyDescent="0.3">
      <c r="A317" s="615" t="s">
        <v>479</v>
      </c>
      <c r="B317" s="616" t="s">
        <v>2514</v>
      </c>
      <c r="C317" s="617" t="s">
        <v>484</v>
      </c>
      <c r="D317" s="618" t="s">
        <v>2515</v>
      </c>
      <c r="E317" s="617" t="s">
        <v>489</v>
      </c>
      <c r="F317" s="618" t="s">
        <v>2516</v>
      </c>
      <c r="G317" s="617" t="s">
        <v>551</v>
      </c>
      <c r="H317" s="617" t="s">
        <v>1581</v>
      </c>
      <c r="I317" s="617" t="s">
        <v>885</v>
      </c>
      <c r="J317" s="617" t="s">
        <v>1582</v>
      </c>
      <c r="K317" s="617"/>
      <c r="L317" s="619">
        <v>63.627789054297963</v>
      </c>
      <c r="M317" s="619">
        <v>2</v>
      </c>
      <c r="N317" s="620">
        <v>127.25557810859593</v>
      </c>
    </row>
    <row r="318" spans="1:14" ht="14.4" customHeight="1" x14ac:dyDescent="0.3">
      <c r="A318" s="615" t="s">
        <v>479</v>
      </c>
      <c r="B318" s="616" t="s">
        <v>2514</v>
      </c>
      <c r="C318" s="617" t="s">
        <v>484</v>
      </c>
      <c r="D318" s="618" t="s">
        <v>2515</v>
      </c>
      <c r="E318" s="617" t="s">
        <v>489</v>
      </c>
      <c r="F318" s="618" t="s">
        <v>2516</v>
      </c>
      <c r="G318" s="617" t="s">
        <v>551</v>
      </c>
      <c r="H318" s="617" t="s">
        <v>1583</v>
      </c>
      <c r="I318" s="617" t="s">
        <v>1584</v>
      </c>
      <c r="J318" s="617" t="s">
        <v>1585</v>
      </c>
      <c r="K318" s="617" t="s">
        <v>1586</v>
      </c>
      <c r="L318" s="619">
        <v>152.26500000000004</v>
      </c>
      <c r="M318" s="619">
        <v>2</v>
      </c>
      <c r="N318" s="620">
        <v>304.53000000000009</v>
      </c>
    </row>
    <row r="319" spans="1:14" ht="14.4" customHeight="1" x14ac:dyDescent="0.3">
      <c r="A319" s="615" t="s">
        <v>479</v>
      </c>
      <c r="B319" s="616" t="s">
        <v>2514</v>
      </c>
      <c r="C319" s="617" t="s">
        <v>484</v>
      </c>
      <c r="D319" s="618" t="s">
        <v>2515</v>
      </c>
      <c r="E319" s="617" t="s">
        <v>489</v>
      </c>
      <c r="F319" s="618" t="s">
        <v>2516</v>
      </c>
      <c r="G319" s="617" t="s">
        <v>551</v>
      </c>
      <c r="H319" s="617" t="s">
        <v>1587</v>
      </c>
      <c r="I319" s="617" t="s">
        <v>1587</v>
      </c>
      <c r="J319" s="617" t="s">
        <v>1017</v>
      </c>
      <c r="K319" s="617" t="s">
        <v>1588</v>
      </c>
      <c r="L319" s="619">
        <v>587.43999999999983</v>
      </c>
      <c r="M319" s="619">
        <v>1</v>
      </c>
      <c r="N319" s="620">
        <v>587.43999999999983</v>
      </c>
    </row>
    <row r="320" spans="1:14" ht="14.4" customHeight="1" x14ac:dyDescent="0.3">
      <c r="A320" s="615" t="s">
        <v>479</v>
      </c>
      <c r="B320" s="616" t="s">
        <v>2514</v>
      </c>
      <c r="C320" s="617" t="s">
        <v>484</v>
      </c>
      <c r="D320" s="618" t="s">
        <v>2515</v>
      </c>
      <c r="E320" s="617" t="s">
        <v>489</v>
      </c>
      <c r="F320" s="618" t="s">
        <v>2516</v>
      </c>
      <c r="G320" s="617" t="s">
        <v>551</v>
      </c>
      <c r="H320" s="617" t="s">
        <v>1589</v>
      </c>
      <c r="I320" s="617" t="s">
        <v>1590</v>
      </c>
      <c r="J320" s="617" t="s">
        <v>1591</v>
      </c>
      <c r="K320" s="617" t="s">
        <v>1592</v>
      </c>
      <c r="L320" s="619">
        <v>338.90999999999997</v>
      </c>
      <c r="M320" s="619">
        <v>1</v>
      </c>
      <c r="N320" s="620">
        <v>338.90999999999997</v>
      </c>
    </row>
    <row r="321" spans="1:14" ht="14.4" customHeight="1" x14ac:dyDescent="0.3">
      <c r="A321" s="615" t="s">
        <v>479</v>
      </c>
      <c r="B321" s="616" t="s">
        <v>2514</v>
      </c>
      <c r="C321" s="617" t="s">
        <v>484</v>
      </c>
      <c r="D321" s="618" t="s">
        <v>2515</v>
      </c>
      <c r="E321" s="617" t="s">
        <v>489</v>
      </c>
      <c r="F321" s="618" t="s">
        <v>2516</v>
      </c>
      <c r="G321" s="617" t="s">
        <v>551</v>
      </c>
      <c r="H321" s="617" t="s">
        <v>1593</v>
      </c>
      <c r="I321" s="617" t="s">
        <v>1594</v>
      </c>
      <c r="J321" s="617" t="s">
        <v>1595</v>
      </c>
      <c r="K321" s="617" t="s">
        <v>1588</v>
      </c>
      <c r="L321" s="619">
        <v>134.93</v>
      </c>
      <c r="M321" s="619">
        <v>1</v>
      </c>
      <c r="N321" s="620">
        <v>134.93</v>
      </c>
    </row>
    <row r="322" spans="1:14" ht="14.4" customHeight="1" x14ac:dyDescent="0.3">
      <c r="A322" s="615" t="s">
        <v>479</v>
      </c>
      <c r="B322" s="616" t="s">
        <v>2514</v>
      </c>
      <c r="C322" s="617" t="s">
        <v>484</v>
      </c>
      <c r="D322" s="618" t="s">
        <v>2515</v>
      </c>
      <c r="E322" s="617" t="s">
        <v>489</v>
      </c>
      <c r="F322" s="618" t="s">
        <v>2516</v>
      </c>
      <c r="G322" s="617" t="s">
        <v>551</v>
      </c>
      <c r="H322" s="617" t="s">
        <v>1596</v>
      </c>
      <c r="I322" s="617" t="s">
        <v>1597</v>
      </c>
      <c r="J322" s="617" t="s">
        <v>1598</v>
      </c>
      <c r="K322" s="617" t="s">
        <v>1599</v>
      </c>
      <c r="L322" s="619">
        <v>44.19</v>
      </c>
      <c r="M322" s="619">
        <v>7</v>
      </c>
      <c r="N322" s="620">
        <v>309.33</v>
      </c>
    </row>
    <row r="323" spans="1:14" ht="14.4" customHeight="1" x14ac:dyDescent="0.3">
      <c r="A323" s="615" t="s">
        <v>479</v>
      </c>
      <c r="B323" s="616" t="s">
        <v>2514</v>
      </c>
      <c r="C323" s="617" t="s">
        <v>484</v>
      </c>
      <c r="D323" s="618" t="s">
        <v>2515</v>
      </c>
      <c r="E323" s="617" t="s">
        <v>489</v>
      </c>
      <c r="F323" s="618" t="s">
        <v>2516</v>
      </c>
      <c r="G323" s="617" t="s">
        <v>551</v>
      </c>
      <c r="H323" s="617" t="s">
        <v>1600</v>
      </c>
      <c r="I323" s="617" t="s">
        <v>1601</v>
      </c>
      <c r="J323" s="617" t="s">
        <v>1602</v>
      </c>
      <c r="K323" s="617" t="s">
        <v>1603</v>
      </c>
      <c r="L323" s="619">
        <v>195.79000000000005</v>
      </c>
      <c r="M323" s="619">
        <v>1</v>
      </c>
      <c r="N323" s="620">
        <v>195.79000000000005</v>
      </c>
    </row>
    <row r="324" spans="1:14" ht="14.4" customHeight="1" x14ac:dyDescent="0.3">
      <c r="A324" s="615" t="s">
        <v>479</v>
      </c>
      <c r="B324" s="616" t="s">
        <v>2514</v>
      </c>
      <c r="C324" s="617" t="s">
        <v>484</v>
      </c>
      <c r="D324" s="618" t="s">
        <v>2515</v>
      </c>
      <c r="E324" s="617" t="s">
        <v>489</v>
      </c>
      <c r="F324" s="618" t="s">
        <v>2516</v>
      </c>
      <c r="G324" s="617" t="s">
        <v>551</v>
      </c>
      <c r="H324" s="617" t="s">
        <v>1604</v>
      </c>
      <c r="I324" s="617" t="s">
        <v>1605</v>
      </c>
      <c r="J324" s="617" t="s">
        <v>1606</v>
      </c>
      <c r="K324" s="617" t="s">
        <v>1607</v>
      </c>
      <c r="L324" s="619">
        <v>2244.67</v>
      </c>
      <c r="M324" s="619">
        <v>1</v>
      </c>
      <c r="N324" s="620">
        <v>2244.67</v>
      </c>
    </row>
    <row r="325" spans="1:14" ht="14.4" customHeight="1" x14ac:dyDescent="0.3">
      <c r="A325" s="615" t="s">
        <v>479</v>
      </c>
      <c r="B325" s="616" t="s">
        <v>2514</v>
      </c>
      <c r="C325" s="617" t="s">
        <v>484</v>
      </c>
      <c r="D325" s="618" t="s">
        <v>2515</v>
      </c>
      <c r="E325" s="617" t="s">
        <v>489</v>
      </c>
      <c r="F325" s="618" t="s">
        <v>2516</v>
      </c>
      <c r="G325" s="617" t="s">
        <v>551</v>
      </c>
      <c r="H325" s="617" t="s">
        <v>1608</v>
      </c>
      <c r="I325" s="617" t="s">
        <v>885</v>
      </c>
      <c r="J325" s="617" t="s">
        <v>1609</v>
      </c>
      <c r="K325" s="617" t="s">
        <v>1610</v>
      </c>
      <c r="L325" s="619">
        <v>128.64160000000001</v>
      </c>
      <c r="M325" s="619">
        <v>1</v>
      </c>
      <c r="N325" s="620">
        <v>128.64160000000001</v>
      </c>
    </row>
    <row r="326" spans="1:14" ht="14.4" customHeight="1" x14ac:dyDescent="0.3">
      <c r="A326" s="615" t="s">
        <v>479</v>
      </c>
      <c r="B326" s="616" t="s">
        <v>2514</v>
      </c>
      <c r="C326" s="617" t="s">
        <v>484</v>
      </c>
      <c r="D326" s="618" t="s">
        <v>2515</v>
      </c>
      <c r="E326" s="617" t="s">
        <v>489</v>
      </c>
      <c r="F326" s="618" t="s">
        <v>2516</v>
      </c>
      <c r="G326" s="617" t="s">
        <v>551</v>
      </c>
      <c r="H326" s="617" t="s">
        <v>1611</v>
      </c>
      <c r="I326" s="617" t="s">
        <v>1612</v>
      </c>
      <c r="J326" s="617" t="s">
        <v>1613</v>
      </c>
      <c r="K326" s="617" t="s">
        <v>1614</v>
      </c>
      <c r="L326" s="619">
        <v>175.73</v>
      </c>
      <c r="M326" s="619">
        <v>3</v>
      </c>
      <c r="N326" s="620">
        <v>527.18999999999994</v>
      </c>
    </row>
    <row r="327" spans="1:14" ht="14.4" customHeight="1" x14ac:dyDescent="0.3">
      <c r="A327" s="615" t="s">
        <v>479</v>
      </c>
      <c r="B327" s="616" t="s">
        <v>2514</v>
      </c>
      <c r="C327" s="617" t="s">
        <v>484</v>
      </c>
      <c r="D327" s="618" t="s">
        <v>2515</v>
      </c>
      <c r="E327" s="617" t="s">
        <v>489</v>
      </c>
      <c r="F327" s="618" t="s">
        <v>2516</v>
      </c>
      <c r="G327" s="617" t="s">
        <v>551</v>
      </c>
      <c r="H327" s="617" t="s">
        <v>1615</v>
      </c>
      <c r="I327" s="617" t="s">
        <v>1616</v>
      </c>
      <c r="J327" s="617" t="s">
        <v>1617</v>
      </c>
      <c r="K327" s="617" t="s">
        <v>1618</v>
      </c>
      <c r="L327" s="619">
        <v>2277.5299999999997</v>
      </c>
      <c r="M327" s="619">
        <v>1</v>
      </c>
      <c r="N327" s="620">
        <v>2277.5299999999997</v>
      </c>
    </row>
    <row r="328" spans="1:14" ht="14.4" customHeight="1" x14ac:dyDescent="0.3">
      <c r="A328" s="615" t="s">
        <v>479</v>
      </c>
      <c r="B328" s="616" t="s">
        <v>2514</v>
      </c>
      <c r="C328" s="617" t="s">
        <v>484</v>
      </c>
      <c r="D328" s="618" t="s">
        <v>2515</v>
      </c>
      <c r="E328" s="617" t="s">
        <v>489</v>
      </c>
      <c r="F328" s="618" t="s">
        <v>2516</v>
      </c>
      <c r="G328" s="617" t="s">
        <v>551</v>
      </c>
      <c r="H328" s="617" t="s">
        <v>1619</v>
      </c>
      <c r="I328" s="617" t="s">
        <v>1619</v>
      </c>
      <c r="J328" s="617" t="s">
        <v>1620</v>
      </c>
      <c r="K328" s="617" t="s">
        <v>930</v>
      </c>
      <c r="L328" s="619">
        <v>110.89500000000001</v>
      </c>
      <c r="M328" s="619">
        <v>4</v>
      </c>
      <c r="N328" s="620">
        <v>443.58000000000004</v>
      </c>
    </row>
    <row r="329" spans="1:14" ht="14.4" customHeight="1" x14ac:dyDescent="0.3">
      <c r="A329" s="615" t="s">
        <v>479</v>
      </c>
      <c r="B329" s="616" t="s">
        <v>2514</v>
      </c>
      <c r="C329" s="617" t="s">
        <v>484</v>
      </c>
      <c r="D329" s="618" t="s">
        <v>2515</v>
      </c>
      <c r="E329" s="617" t="s">
        <v>489</v>
      </c>
      <c r="F329" s="618" t="s">
        <v>2516</v>
      </c>
      <c r="G329" s="617" t="s">
        <v>551</v>
      </c>
      <c r="H329" s="617" t="s">
        <v>1621</v>
      </c>
      <c r="I329" s="617" t="s">
        <v>885</v>
      </c>
      <c r="J329" s="617" t="s">
        <v>1622</v>
      </c>
      <c r="K329" s="617"/>
      <c r="L329" s="619">
        <v>108.62999999999994</v>
      </c>
      <c r="M329" s="619">
        <v>2</v>
      </c>
      <c r="N329" s="620">
        <v>217.25999999999988</v>
      </c>
    </row>
    <row r="330" spans="1:14" ht="14.4" customHeight="1" x14ac:dyDescent="0.3">
      <c r="A330" s="615" t="s">
        <v>479</v>
      </c>
      <c r="B330" s="616" t="s">
        <v>2514</v>
      </c>
      <c r="C330" s="617" t="s">
        <v>484</v>
      </c>
      <c r="D330" s="618" t="s">
        <v>2515</v>
      </c>
      <c r="E330" s="617" t="s">
        <v>489</v>
      </c>
      <c r="F330" s="618" t="s">
        <v>2516</v>
      </c>
      <c r="G330" s="617" t="s">
        <v>551</v>
      </c>
      <c r="H330" s="617" t="s">
        <v>1623</v>
      </c>
      <c r="I330" s="617" t="s">
        <v>1623</v>
      </c>
      <c r="J330" s="617" t="s">
        <v>1624</v>
      </c>
      <c r="K330" s="617" t="s">
        <v>1338</v>
      </c>
      <c r="L330" s="619">
        <v>262.59000000000009</v>
      </c>
      <c r="M330" s="619">
        <v>1</v>
      </c>
      <c r="N330" s="620">
        <v>262.59000000000009</v>
      </c>
    </row>
    <row r="331" spans="1:14" ht="14.4" customHeight="1" x14ac:dyDescent="0.3">
      <c r="A331" s="615" t="s">
        <v>479</v>
      </c>
      <c r="B331" s="616" t="s">
        <v>2514</v>
      </c>
      <c r="C331" s="617" t="s">
        <v>484</v>
      </c>
      <c r="D331" s="618" t="s">
        <v>2515</v>
      </c>
      <c r="E331" s="617" t="s">
        <v>489</v>
      </c>
      <c r="F331" s="618" t="s">
        <v>2516</v>
      </c>
      <c r="G331" s="617" t="s">
        <v>551</v>
      </c>
      <c r="H331" s="617" t="s">
        <v>1625</v>
      </c>
      <c r="I331" s="617" t="s">
        <v>1625</v>
      </c>
      <c r="J331" s="617" t="s">
        <v>1626</v>
      </c>
      <c r="K331" s="617" t="s">
        <v>1627</v>
      </c>
      <c r="L331" s="619">
        <v>247.5</v>
      </c>
      <c r="M331" s="619">
        <v>2</v>
      </c>
      <c r="N331" s="620">
        <v>495</v>
      </c>
    </row>
    <row r="332" spans="1:14" ht="14.4" customHeight="1" x14ac:dyDescent="0.3">
      <c r="A332" s="615" t="s">
        <v>479</v>
      </c>
      <c r="B332" s="616" t="s">
        <v>2514</v>
      </c>
      <c r="C332" s="617" t="s">
        <v>484</v>
      </c>
      <c r="D332" s="618" t="s">
        <v>2515</v>
      </c>
      <c r="E332" s="617" t="s">
        <v>489</v>
      </c>
      <c r="F332" s="618" t="s">
        <v>2516</v>
      </c>
      <c r="G332" s="617" t="s">
        <v>551</v>
      </c>
      <c r="H332" s="617" t="s">
        <v>1628</v>
      </c>
      <c r="I332" s="617" t="s">
        <v>1628</v>
      </c>
      <c r="J332" s="617" t="s">
        <v>1629</v>
      </c>
      <c r="K332" s="617" t="s">
        <v>1630</v>
      </c>
      <c r="L332" s="619">
        <v>686.86000000000013</v>
      </c>
      <c r="M332" s="619">
        <v>1</v>
      </c>
      <c r="N332" s="620">
        <v>686.86000000000013</v>
      </c>
    </row>
    <row r="333" spans="1:14" ht="14.4" customHeight="1" x14ac:dyDescent="0.3">
      <c r="A333" s="615" t="s">
        <v>479</v>
      </c>
      <c r="B333" s="616" t="s">
        <v>2514</v>
      </c>
      <c r="C333" s="617" t="s">
        <v>484</v>
      </c>
      <c r="D333" s="618" t="s">
        <v>2515</v>
      </c>
      <c r="E333" s="617" t="s">
        <v>489</v>
      </c>
      <c r="F333" s="618" t="s">
        <v>2516</v>
      </c>
      <c r="G333" s="617" t="s">
        <v>551</v>
      </c>
      <c r="H333" s="617" t="s">
        <v>1631</v>
      </c>
      <c r="I333" s="617" t="s">
        <v>1632</v>
      </c>
      <c r="J333" s="617" t="s">
        <v>1633</v>
      </c>
      <c r="K333" s="617" t="s">
        <v>1634</v>
      </c>
      <c r="L333" s="619">
        <v>502.62284157145194</v>
      </c>
      <c r="M333" s="619">
        <v>1</v>
      </c>
      <c r="N333" s="620">
        <v>502.62284157145194</v>
      </c>
    </row>
    <row r="334" spans="1:14" ht="14.4" customHeight="1" x14ac:dyDescent="0.3">
      <c r="A334" s="615" t="s">
        <v>479</v>
      </c>
      <c r="B334" s="616" t="s">
        <v>2514</v>
      </c>
      <c r="C334" s="617" t="s">
        <v>484</v>
      </c>
      <c r="D334" s="618" t="s">
        <v>2515</v>
      </c>
      <c r="E334" s="617" t="s">
        <v>489</v>
      </c>
      <c r="F334" s="618" t="s">
        <v>2516</v>
      </c>
      <c r="G334" s="617" t="s">
        <v>551</v>
      </c>
      <c r="H334" s="617" t="s">
        <v>1635</v>
      </c>
      <c r="I334" s="617" t="s">
        <v>1635</v>
      </c>
      <c r="J334" s="617" t="s">
        <v>1636</v>
      </c>
      <c r="K334" s="617" t="s">
        <v>1637</v>
      </c>
      <c r="L334" s="619">
        <v>132.58000397997591</v>
      </c>
      <c r="M334" s="619">
        <v>2</v>
      </c>
      <c r="N334" s="620">
        <v>265.16000795995183</v>
      </c>
    </row>
    <row r="335" spans="1:14" ht="14.4" customHeight="1" x14ac:dyDescent="0.3">
      <c r="A335" s="615" t="s">
        <v>479</v>
      </c>
      <c r="B335" s="616" t="s">
        <v>2514</v>
      </c>
      <c r="C335" s="617" t="s">
        <v>484</v>
      </c>
      <c r="D335" s="618" t="s">
        <v>2515</v>
      </c>
      <c r="E335" s="617" t="s">
        <v>489</v>
      </c>
      <c r="F335" s="618" t="s">
        <v>2516</v>
      </c>
      <c r="G335" s="617" t="s">
        <v>551</v>
      </c>
      <c r="H335" s="617" t="s">
        <v>1638</v>
      </c>
      <c r="I335" s="617" t="s">
        <v>885</v>
      </c>
      <c r="J335" s="617" t="s">
        <v>1639</v>
      </c>
      <c r="K335" s="617"/>
      <c r="L335" s="619">
        <v>322.12110339806298</v>
      </c>
      <c r="M335" s="619">
        <v>1</v>
      </c>
      <c r="N335" s="620">
        <v>322.12110339806298</v>
      </c>
    </row>
    <row r="336" spans="1:14" ht="14.4" customHeight="1" x14ac:dyDescent="0.3">
      <c r="A336" s="615" t="s">
        <v>479</v>
      </c>
      <c r="B336" s="616" t="s">
        <v>2514</v>
      </c>
      <c r="C336" s="617" t="s">
        <v>484</v>
      </c>
      <c r="D336" s="618" t="s">
        <v>2515</v>
      </c>
      <c r="E336" s="617" t="s">
        <v>489</v>
      </c>
      <c r="F336" s="618" t="s">
        <v>2516</v>
      </c>
      <c r="G336" s="617" t="s">
        <v>551</v>
      </c>
      <c r="H336" s="617" t="s">
        <v>1640</v>
      </c>
      <c r="I336" s="617" t="s">
        <v>885</v>
      </c>
      <c r="J336" s="617" t="s">
        <v>1641</v>
      </c>
      <c r="K336" s="617"/>
      <c r="L336" s="619">
        <v>81.948574569314104</v>
      </c>
      <c r="M336" s="619">
        <v>1</v>
      </c>
      <c r="N336" s="620">
        <v>81.948574569314104</v>
      </c>
    </row>
    <row r="337" spans="1:14" ht="14.4" customHeight="1" x14ac:dyDescent="0.3">
      <c r="A337" s="615" t="s">
        <v>479</v>
      </c>
      <c r="B337" s="616" t="s">
        <v>2514</v>
      </c>
      <c r="C337" s="617" t="s">
        <v>484</v>
      </c>
      <c r="D337" s="618" t="s">
        <v>2515</v>
      </c>
      <c r="E337" s="617" t="s">
        <v>489</v>
      </c>
      <c r="F337" s="618" t="s">
        <v>2516</v>
      </c>
      <c r="G337" s="617" t="s">
        <v>551</v>
      </c>
      <c r="H337" s="617" t="s">
        <v>1642</v>
      </c>
      <c r="I337" s="617" t="s">
        <v>885</v>
      </c>
      <c r="J337" s="617" t="s">
        <v>1643</v>
      </c>
      <c r="K337" s="617"/>
      <c r="L337" s="619">
        <v>57.803426570834901</v>
      </c>
      <c r="M337" s="619">
        <v>133</v>
      </c>
      <c r="N337" s="620">
        <v>7687.855733921042</v>
      </c>
    </row>
    <row r="338" spans="1:14" ht="14.4" customHeight="1" x14ac:dyDescent="0.3">
      <c r="A338" s="615" t="s">
        <v>479</v>
      </c>
      <c r="B338" s="616" t="s">
        <v>2514</v>
      </c>
      <c r="C338" s="617" t="s">
        <v>484</v>
      </c>
      <c r="D338" s="618" t="s">
        <v>2515</v>
      </c>
      <c r="E338" s="617" t="s">
        <v>489</v>
      </c>
      <c r="F338" s="618" t="s">
        <v>2516</v>
      </c>
      <c r="G338" s="617" t="s">
        <v>551</v>
      </c>
      <c r="H338" s="617" t="s">
        <v>1644</v>
      </c>
      <c r="I338" s="617" t="s">
        <v>1645</v>
      </c>
      <c r="J338" s="617" t="s">
        <v>1646</v>
      </c>
      <c r="K338" s="617" t="s">
        <v>1647</v>
      </c>
      <c r="L338" s="619">
        <v>10700.8</v>
      </c>
      <c r="M338" s="619">
        <v>1</v>
      </c>
      <c r="N338" s="620">
        <v>10700.8</v>
      </c>
    </row>
    <row r="339" spans="1:14" ht="14.4" customHeight="1" x14ac:dyDescent="0.3">
      <c r="A339" s="615" t="s">
        <v>479</v>
      </c>
      <c r="B339" s="616" t="s">
        <v>2514</v>
      </c>
      <c r="C339" s="617" t="s">
        <v>484</v>
      </c>
      <c r="D339" s="618" t="s">
        <v>2515</v>
      </c>
      <c r="E339" s="617" t="s">
        <v>489</v>
      </c>
      <c r="F339" s="618" t="s">
        <v>2516</v>
      </c>
      <c r="G339" s="617" t="s">
        <v>551</v>
      </c>
      <c r="H339" s="617" t="s">
        <v>1648</v>
      </c>
      <c r="I339" s="617" t="s">
        <v>1648</v>
      </c>
      <c r="J339" s="617" t="s">
        <v>1649</v>
      </c>
      <c r="K339" s="617" t="s">
        <v>1650</v>
      </c>
      <c r="L339" s="619">
        <v>95.79294377310373</v>
      </c>
      <c r="M339" s="619">
        <v>17</v>
      </c>
      <c r="N339" s="620">
        <v>1628.4800441427633</v>
      </c>
    </row>
    <row r="340" spans="1:14" ht="14.4" customHeight="1" x14ac:dyDescent="0.3">
      <c r="A340" s="615" t="s">
        <v>479</v>
      </c>
      <c r="B340" s="616" t="s">
        <v>2514</v>
      </c>
      <c r="C340" s="617" t="s">
        <v>484</v>
      </c>
      <c r="D340" s="618" t="s">
        <v>2515</v>
      </c>
      <c r="E340" s="617" t="s">
        <v>489</v>
      </c>
      <c r="F340" s="618" t="s">
        <v>2516</v>
      </c>
      <c r="G340" s="617" t="s">
        <v>551</v>
      </c>
      <c r="H340" s="617" t="s">
        <v>1651</v>
      </c>
      <c r="I340" s="617" t="s">
        <v>1652</v>
      </c>
      <c r="J340" s="617" t="s">
        <v>1653</v>
      </c>
      <c r="K340" s="617" t="s">
        <v>1654</v>
      </c>
      <c r="L340" s="619">
        <v>356.96000000000004</v>
      </c>
      <c r="M340" s="619">
        <v>1</v>
      </c>
      <c r="N340" s="620">
        <v>356.96000000000004</v>
      </c>
    </row>
    <row r="341" spans="1:14" ht="14.4" customHeight="1" x14ac:dyDescent="0.3">
      <c r="A341" s="615" t="s">
        <v>479</v>
      </c>
      <c r="B341" s="616" t="s">
        <v>2514</v>
      </c>
      <c r="C341" s="617" t="s">
        <v>484</v>
      </c>
      <c r="D341" s="618" t="s">
        <v>2515</v>
      </c>
      <c r="E341" s="617" t="s">
        <v>489</v>
      </c>
      <c r="F341" s="618" t="s">
        <v>2516</v>
      </c>
      <c r="G341" s="617" t="s">
        <v>551</v>
      </c>
      <c r="H341" s="617" t="s">
        <v>1655</v>
      </c>
      <c r="I341" s="617" t="s">
        <v>1655</v>
      </c>
      <c r="J341" s="617" t="s">
        <v>603</v>
      </c>
      <c r="K341" s="617" t="s">
        <v>1656</v>
      </c>
      <c r="L341" s="619">
        <v>63.77</v>
      </c>
      <c r="M341" s="619">
        <v>10</v>
      </c>
      <c r="N341" s="620">
        <v>637.70000000000005</v>
      </c>
    </row>
    <row r="342" spans="1:14" ht="14.4" customHeight="1" x14ac:dyDescent="0.3">
      <c r="A342" s="615" t="s">
        <v>479</v>
      </c>
      <c r="B342" s="616" t="s">
        <v>2514</v>
      </c>
      <c r="C342" s="617" t="s">
        <v>484</v>
      </c>
      <c r="D342" s="618" t="s">
        <v>2515</v>
      </c>
      <c r="E342" s="617" t="s">
        <v>489</v>
      </c>
      <c r="F342" s="618" t="s">
        <v>2516</v>
      </c>
      <c r="G342" s="617" t="s">
        <v>551</v>
      </c>
      <c r="H342" s="617" t="s">
        <v>1657</v>
      </c>
      <c r="I342" s="617" t="s">
        <v>1657</v>
      </c>
      <c r="J342" s="617" t="s">
        <v>1658</v>
      </c>
      <c r="K342" s="617" t="s">
        <v>1659</v>
      </c>
      <c r="L342" s="619">
        <v>179.91</v>
      </c>
      <c r="M342" s="619">
        <v>1</v>
      </c>
      <c r="N342" s="620">
        <v>179.91</v>
      </c>
    </row>
    <row r="343" spans="1:14" ht="14.4" customHeight="1" x14ac:dyDescent="0.3">
      <c r="A343" s="615" t="s">
        <v>479</v>
      </c>
      <c r="B343" s="616" t="s">
        <v>2514</v>
      </c>
      <c r="C343" s="617" t="s">
        <v>484</v>
      </c>
      <c r="D343" s="618" t="s">
        <v>2515</v>
      </c>
      <c r="E343" s="617" t="s">
        <v>489</v>
      </c>
      <c r="F343" s="618" t="s">
        <v>2516</v>
      </c>
      <c r="G343" s="617" t="s">
        <v>551</v>
      </c>
      <c r="H343" s="617" t="s">
        <v>1660</v>
      </c>
      <c r="I343" s="617" t="s">
        <v>885</v>
      </c>
      <c r="J343" s="617" t="s">
        <v>1661</v>
      </c>
      <c r="K343" s="617"/>
      <c r="L343" s="619">
        <v>30.305106242129664</v>
      </c>
      <c r="M343" s="619">
        <v>94</v>
      </c>
      <c r="N343" s="620">
        <v>2848.6799867601885</v>
      </c>
    </row>
    <row r="344" spans="1:14" ht="14.4" customHeight="1" x14ac:dyDescent="0.3">
      <c r="A344" s="615" t="s">
        <v>479</v>
      </c>
      <c r="B344" s="616" t="s">
        <v>2514</v>
      </c>
      <c r="C344" s="617" t="s">
        <v>484</v>
      </c>
      <c r="D344" s="618" t="s">
        <v>2515</v>
      </c>
      <c r="E344" s="617" t="s">
        <v>489</v>
      </c>
      <c r="F344" s="618" t="s">
        <v>2516</v>
      </c>
      <c r="G344" s="617" t="s">
        <v>551</v>
      </c>
      <c r="H344" s="617" t="s">
        <v>1662</v>
      </c>
      <c r="I344" s="617" t="s">
        <v>885</v>
      </c>
      <c r="J344" s="617" t="s">
        <v>1663</v>
      </c>
      <c r="K344" s="617"/>
      <c r="L344" s="619">
        <v>37.700079833325539</v>
      </c>
      <c r="M344" s="619">
        <v>20</v>
      </c>
      <c r="N344" s="620">
        <v>754.00159666651075</v>
      </c>
    </row>
    <row r="345" spans="1:14" ht="14.4" customHeight="1" x14ac:dyDescent="0.3">
      <c r="A345" s="615" t="s">
        <v>479</v>
      </c>
      <c r="B345" s="616" t="s">
        <v>2514</v>
      </c>
      <c r="C345" s="617" t="s">
        <v>484</v>
      </c>
      <c r="D345" s="618" t="s">
        <v>2515</v>
      </c>
      <c r="E345" s="617" t="s">
        <v>489</v>
      </c>
      <c r="F345" s="618" t="s">
        <v>2516</v>
      </c>
      <c r="G345" s="617" t="s">
        <v>551</v>
      </c>
      <c r="H345" s="617" t="s">
        <v>1664</v>
      </c>
      <c r="I345" s="617" t="s">
        <v>1664</v>
      </c>
      <c r="J345" s="617" t="s">
        <v>871</v>
      </c>
      <c r="K345" s="617" t="s">
        <v>1665</v>
      </c>
      <c r="L345" s="619">
        <v>534.92432068085805</v>
      </c>
      <c r="M345" s="619">
        <v>2</v>
      </c>
      <c r="N345" s="620">
        <v>1069.8486413617161</v>
      </c>
    </row>
    <row r="346" spans="1:14" ht="14.4" customHeight="1" x14ac:dyDescent="0.3">
      <c r="A346" s="615" t="s">
        <v>479</v>
      </c>
      <c r="B346" s="616" t="s">
        <v>2514</v>
      </c>
      <c r="C346" s="617" t="s">
        <v>484</v>
      </c>
      <c r="D346" s="618" t="s">
        <v>2515</v>
      </c>
      <c r="E346" s="617" t="s">
        <v>489</v>
      </c>
      <c r="F346" s="618" t="s">
        <v>2516</v>
      </c>
      <c r="G346" s="617" t="s">
        <v>551</v>
      </c>
      <c r="H346" s="617" t="s">
        <v>1666</v>
      </c>
      <c r="I346" s="617" t="s">
        <v>885</v>
      </c>
      <c r="J346" s="617" t="s">
        <v>1667</v>
      </c>
      <c r="K346" s="617" t="s">
        <v>1668</v>
      </c>
      <c r="L346" s="619">
        <v>563.50395283561056</v>
      </c>
      <c r="M346" s="619">
        <v>1</v>
      </c>
      <c r="N346" s="620">
        <v>563.50395283561056</v>
      </c>
    </row>
    <row r="347" spans="1:14" ht="14.4" customHeight="1" x14ac:dyDescent="0.3">
      <c r="A347" s="615" t="s">
        <v>479</v>
      </c>
      <c r="B347" s="616" t="s">
        <v>2514</v>
      </c>
      <c r="C347" s="617" t="s">
        <v>484</v>
      </c>
      <c r="D347" s="618" t="s">
        <v>2515</v>
      </c>
      <c r="E347" s="617" t="s">
        <v>489</v>
      </c>
      <c r="F347" s="618" t="s">
        <v>2516</v>
      </c>
      <c r="G347" s="617" t="s">
        <v>551</v>
      </c>
      <c r="H347" s="617" t="s">
        <v>1669</v>
      </c>
      <c r="I347" s="617" t="s">
        <v>1670</v>
      </c>
      <c r="J347" s="617" t="s">
        <v>1671</v>
      </c>
      <c r="K347" s="617" t="s">
        <v>1672</v>
      </c>
      <c r="L347" s="619">
        <v>55.29</v>
      </c>
      <c r="M347" s="619">
        <v>1</v>
      </c>
      <c r="N347" s="620">
        <v>55.29</v>
      </c>
    </row>
    <row r="348" spans="1:14" ht="14.4" customHeight="1" x14ac:dyDescent="0.3">
      <c r="A348" s="615" t="s">
        <v>479</v>
      </c>
      <c r="B348" s="616" t="s">
        <v>2514</v>
      </c>
      <c r="C348" s="617" t="s">
        <v>484</v>
      </c>
      <c r="D348" s="618" t="s">
        <v>2515</v>
      </c>
      <c r="E348" s="617" t="s">
        <v>489</v>
      </c>
      <c r="F348" s="618" t="s">
        <v>2516</v>
      </c>
      <c r="G348" s="617" t="s">
        <v>551</v>
      </c>
      <c r="H348" s="617" t="s">
        <v>1673</v>
      </c>
      <c r="I348" s="617" t="s">
        <v>885</v>
      </c>
      <c r="J348" s="617" t="s">
        <v>1674</v>
      </c>
      <c r="K348" s="617" t="s">
        <v>1675</v>
      </c>
      <c r="L348" s="619">
        <v>90.362838407501812</v>
      </c>
      <c r="M348" s="619">
        <v>1</v>
      </c>
      <c r="N348" s="620">
        <v>90.362838407501812</v>
      </c>
    </row>
    <row r="349" spans="1:14" ht="14.4" customHeight="1" x14ac:dyDescent="0.3">
      <c r="A349" s="615" t="s">
        <v>479</v>
      </c>
      <c r="B349" s="616" t="s">
        <v>2514</v>
      </c>
      <c r="C349" s="617" t="s">
        <v>484</v>
      </c>
      <c r="D349" s="618" t="s">
        <v>2515</v>
      </c>
      <c r="E349" s="617" t="s">
        <v>489</v>
      </c>
      <c r="F349" s="618" t="s">
        <v>2516</v>
      </c>
      <c r="G349" s="617" t="s">
        <v>551</v>
      </c>
      <c r="H349" s="617" t="s">
        <v>1676</v>
      </c>
      <c r="I349" s="617" t="s">
        <v>1676</v>
      </c>
      <c r="J349" s="617" t="s">
        <v>907</v>
      </c>
      <c r="K349" s="617" t="s">
        <v>1677</v>
      </c>
      <c r="L349" s="619">
        <v>130.91999999999996</v>
      </c>
      <c r="M349" s="619">
        <v>4</v>
      </c>
      <c r="N349" s="620">
        <v>523.67999999999984</v>
      </c>
    </row>
    <row r="350" spans="1:14" ht="14.4" customHeight="1" x14ac:dyDescent="0.3">
      <c r="A350" s="615" t="s">
        <v>479</v>
      </c>
      <c r="B350" s="616" t="s">
        <v>2514</v>
      </c>
      <c r="C350" s="617" t="s">
        <v>484</v>
      </c>
      <c r="D350" s="618" t="s">
        <v>2515</v>
      </c>
      <c r="E350" s="617" t="s">
        <v>489</v>
      </c>
      <c r="F350" s="618" t="s">
        <v>2516</v>
      </c>
      <c r="G350" s="617" t="s">
        <v>551</v>
      </c>
      <c r="H350" s="617" t="s">
        <v>1678</v>
      </c>
      <c r="I350" s="617" t="s">
        <v>1678</v>
      </c>
      <c r="J350" s="617" t="s">
        <v>1679</v>
      </c>
      <c r="K350" s="617" t="s">
        <v>1680</v>
      </c>
      <c r="L350" s="619">
        <v>44.00001143136457</v>
      </c>
      <c r="M350" s="619">
        <v>21</v>
      </c>
      <c r="N350" s="620">
        <v>924.000240058656</v>
      </c>
    </row>
    <row r="351" spans="1:14" ht="14.4" customHeight="1" x14ac:dyDescent="0.3">
      <c r="A351" s="615" t="s">
        <v>479</v>
      </c>
      <c r="B351" s="616" t="s">
        <v>2514</v>
      </c>
      <c r="C351" s="617" t="s">
        <v>484</v>
      </c>
      <c r="D351" s="618" t="s">
        <v>2515</v>
      </c>
      <c r="E351" s="617" t="s">
        <v>489</v>
      </c>
      <c r="F351" s="618" t="s">
        <v>2516</v>
      </c>
      <c r="G351" s="617" t="s">
        <v>551</v>
      </c>
      <c r="H351" s="617" t="s">
        <v>1681</v>
      </c>
      <c r="I351" s="617" t="s">
        <v>1681</v>
      </c>
      <c r="J351" s="617" t="s">
        <v>1682</v>
      </c>
      <c r="K351" s="617" t="s">
        <v>1683</v>
      </c>
      <c r="L351" s="619">
        <v>77.72</v>
      </c>
      <c r="M351" s="619">
        <v>1</v>
      </c>
      <c r="N351" s="620">
        <v>77.72</v>
      </c>
    </row>
    <row r="352" spans="1:14" ht="14.4" customHeight="1" x14ac:dyDescent="0.3">
      <c r="A352" s="615" t="s">
        <v>479</v>
      </c>
      <c r="B352" s="616" t="s">
        <v>2514</v>
      </c>
      <c r="C352" s="617" t="s">
        <v>484</v>
      </c>
      <c r="D352" s="618" t="s">
        <v>2515</v>
      </c>
      <c r="E352" s="617" t="s">
        <v>489</v>
      </c>
      <c r="F352" s="618" t="s">
        <v>2516</v>
      </c>
      <c r="G352" s="617" t="s">
        <v>551</v>
      </c>
      <c r="H352" s="617" t="s">
        <v>1684</v>
      </c>
      <c r="I352" s="617" t="s">
        <v>1684</v>
      </c>
      <c r="J352" s="617" t="s">
        <v>1685</v>
      </c>
      <c r="K352" s="617" t="s">
        <v>1686</v>
      </c>
      <c r="L352" s="619">
        <v>431.53255614544508</v>
      </c>
      <c r="M352" s="619">
        <v>16</v>
      </c>
      <c r="N352" s="620">
        <v>6904.5208983271214</v>
      </c>
    </row>
    <row r="353" spans="1:14" ht="14.4" customHeight="1" x14ac:dyDescent="0.3">
      <c r="A353" s="615" t="s">
        <v>479</v>
      </c>
      <c r="B353" s="616" t="s">
        <v>2514</v>
      </c>
      <c r="C353" s="617" t="s">
        <v>484</v>
      </c>
      <c r="D353" s="618" t="s">
        <v>2515</v>
      </c>
      <c r="E353" s="617" t="s">
        <v>489</v>
      </c>
      <c r="F353" s="618" t="s">
        <v>2516</v>
      </c>
      <c r="G353" s="617" t="s">
        <v>551</v>
      </c>
      <c r="H353" s="617" t="s">
        <v>1687</v>
      </c>
      <c r="I353" s="617" t="s">
        <v>1687</v>
      </c>
      <c r="J353" s="617" t="s">
        <v>1688</v>
      </c>
      <c r="K353" s="617" t="s">
        <v>1689</v>
      </c>
      <c r="L353" s="619">
        <v>431.81906674760108</v>
      </c>
      <c r="M353" s="619">
        <v>13</v>
      </c>
      <c r="N353" s="620">
        <v>5613.6478677188143</v>
      </c>
    </row>
    <row r="354" spans="1:14" ht="14.4" customHeight="1" x14ac:dyDescent="0.3">
      <c r="A354" s="615" t="s">
        <v>479</v>
      </c>
      <c r="B354" s="616" t="s">
        <v>2514</v>
      </c>
      <c r="C354" s="617" t="s">
        <v>484</v>
      </c>
      <c r="D354" s="618" t="s">
        <v>2515</v>
      </c>
      <c r="E354" s="617" t="s">
        <v>489</v>
      </c>
      <c r="F354" s="618" t="s">
        <v>2516</v>
      </c>
      <c r="G354" s="617" t="s">
        <v>551</v>
      </c>
      <c r="H354" s="617" t="s">
        <v>1690</v>
      </c>
      <c r="I354" s="617" t="s">
        <v>1690</v>
      </c>
      <c r="J354" s="617" t="s">
        <v>1691</v>
      </c>
      <c r="K354" s="617" t="s">
        <v>1692</v>
      </c>
      <c r="L354" s="619">
        <v>178.36504082348225</v>
      </c>
      <c r="M354" s="619">
        <v>9</v>
      </c>
      <c r="N354" s="620">
        <v>1605.2853674113403</v>
      </c>
    </row>
    <row r="355" spans="1:14" ht="14.4" customHeight="1" x14ac:dyDescent="0.3">
      <c r="A355" s="615" t="s">
        <v>479</v>
      </c>
      <c r="B355" s="616" t="s">
        <v>2514</v>
      </c>
      <c r="C355" s="617" t="s">
        <v>484</v>
      </c>
      <c r="D355" s="618" t="s">
        <v>2515</v>
      </c>
      <c r="E355" s="617" t="s">
        <v>489</v>
      </c>
      <c r="F355" s="618" t="s">
        <v>2516</v>
      </c>
      <c r="G355" s="617" t="s">
        <v>551</v>
      </c>
      <c r="H355" s="617" t="s">
        <v>1693</v>
      </c>
      <c r="I355" s="617" t="s">
        <v>1694</v>
      </c>
      <c r="J355" s="617" t="s">
        <v>1695</v>
      </c>
      <c r="K355" s="617"/>
      <c r="L355" s="619">
        <v>163.570003666189</v>
      </c>
      <c r="M355" s="619">
        <v>8</v>
      </c>
      <c r="N355" s="620">
        <v>1308.560029329512</v>
      </c>
    </row>
    <row r="356" spans="1:14" ht="14.4" customHeight="1" x14ac:dyDescent="0.3">
      <c r="A356" s="615" t="s">
        <v>479</v>
      </c>
      <c r="B356" s="616" t="s">
        <v>2514</v>
      </c>
      <c r="C356" s="617" t="s">
        <v>484</v>
      </c>
      <c r="D356" s="618" t="s">
        <v>2515</v>
      </c>
      <c r="E356" s="617" t="s">
        <v>489</v>
      </c>
      <c r="F356" s="618" t="s">
        <v>2516</v>
      </c>
      <c r="G356" s="617" t="s">
        <v>551</v>
      </c>
      <c r="H356" s="617" t="s">
        <v>1696</v>
      </c>
      <c r="I356" s="617" t="s">
        <v>1696</v>
      </c>
      <c r="J356" s="617" t="s">
        <v>1697</v>
      </c>
      <c r="K356" s="617" t="s">
        <v>1698</v>
      </c>
      <c r="L356" s="619">
        <v>169.57</v>
      </c>
      <c r="M356" s="619">
        <v>1</v>
      </c>
      <c r="N356" s="620">
        <v>169.57</v>
      </c>
    </row>
    <row r="357" spans="1:14" ht="14.4" customHeight="1" x14ac:dyDescent="0.3">
      <c r="A357" s="615" t="s">
        <v>479</v>
      </c>
      <c r="B357" s="616" t="s">
        <v>2514</v>
      </c>
      <c r="C357" s="617" t="s">
        <v>484</v>
      </c>
      <c r="D357" s="618" t="s">
        <v>2515</v>
      </c>
      <c r="E357" s="617" t="s">
        <v>489</v>
      </c>
      <c r="F357" s="618" t="s">
        <v>2516</v>
      </c>
      <c r="G357" s="617" t="s">
        <v>551</v>
      </c>
      <c r="H357" s="617" t="s">
        <v>1699</v>
      </c>
      <c r="I357" s="617" t="s">
        <v>1699</v>
      </c>
      <c r="J357" s="617" t="s">
        <v>1700</v>
      </c>
      <c r="K357" s="617" t="s">
        <v>1701</v>
      </c>
      <c r="L357" s="619">
        <v>264.99</v>
      </c>
      <c r="M357" s="619">
        <v>1</v>
      </c>
      <c r="N357" s="620">
        <v>264.99</v>
      </c>
    </row>
    <row r="358" spans="1:14" ht="14.4" customHeight="1" x14ac:dyDescent="0.3">
      <c r="A358" s="615" t="s">
        <v>479</v>
      </c>
      <c r="B358" s="616" t="s">
        <v>2514</v>
      </c>
      <c r="C358" s="617" t="s">
        <v>484</v>
      </c>
      <c r="D358" s="618" t="s">
        <v>2515</v>
      </c>
      <c r="E358" s="617" t="s">
        <v>489</v>
      </c>
      <c r="F358" s="618" t="s">
        <v>2516</v>
      </c>
      <c r="G358" s="617" t="s">
        <v>551</v>
      </c>
      <c r="H358" s="617" t="s">
        <v>1702</v>
      </c>
      <c r="I358" s="617" t="s">
        <v>885</v>
      </c>
      <c r="J358" s="617" t="s">
        <v>1703</v>
      </c>
      <c r="K358" s="617"/>
      <c r="L358" s="619">
        <v>71.830000142714596</v>
      </c>
      <c r="M358" s="619">
        <v>21</v>
      </c>
      <c r="N358" s="620">
        <v>1508.4300029970066</v>
      </c>
    </row>
    <row r="359" spans="1:14" ht="14.4" customHeight="1" x14ac:dyDescent="0.3">
      <c r="A359" s="615" t="s">
        <v>479</v>
      </c>
      <c r="B359" s="616" t="s">
        <v>2514</v>
      </c>
      <c r="C359" s="617" t="s">
        <v>484</v>
      </c>
      <c r="D359" s="618" t="s">
        <v>2515</v>
      </c>
      <c r="E359" s="617" t="s">
        <v>489</v>
      </c>
      <c r="F359" s="618" t="s">
        <v>2516</v>
      </c>
      <c r="G359" s="617" t="s">
        <v>551</v>
      </c>
      <c r="H359" s="617" t="s">
        <v>1704</v>
      </c>
      <c r="I359" s="617" t="s">
        <v>1704</v>
      </c>
      <c r="J359" s="617" t="s">
        <v>1705</v>
      </c>
      <c r="K359" s="617" t="s">
        <v>1706</v>
      </c>
      <c r="L359" s="619">
        <v>1063.2399999999998</v>
      </c>
      <c r="M359" s="619">
        <v>2</v>
      </c>
      <c r="N359" s="620">
        <v>2126.4799999999996</v>
      </c>
    </row>
    <row r="360" spans="1:14" ht="14.4" customHeight="1" x14ac:dyDescent="0.3">
      <c r="A360" s="615" t="s">
        <v>479</v>
      </c>
      <c r="B360" s="616" t="s">
        <v>2514</v>
      </c>
      <c r="C360" s="617" t="s">
        <v>484</v>
      </c>
      <c r="D360" s="618" t="s">
        <v>2515</v>
      </c>
      <c r="E360" s="617" t="s">
        <v>489</v>
      </c>
      <c r="F360" s="618" t="s">
        <v>2516</v>
      </c>
      <c r="G360" s="617" t="s">
        <v>551</v>
      </c>
      <c r="H360" s="617" t="s">
        <v>1707</v>
      </c>
      <c r="I360" s="617" t="s">
        <v>885</v>
      </c>
      <c r="J360" s="617" t="s">
        <v>1708</v>
      </c>
      <c r="K360" s="617"/>
      <c r="L360" s="619">
        <v>31.991995583697193</v>
      </c>
      <c r="M360" s="619">
        <v>25</v>
      </c>
      <c r="N360" s="620">
        <v>799.79988959242985</v>
      </c>
    </row>
    <row r="361" spans="1:14" ht="14.4" customHeight="1" x14ac:dyDescent="0.3">
      <c r="A361" s="615" t="s">
        <v>479</v>
      </c>
      <c r="B361" s="616" t="s">
        <v>2514</v>
      </c>
      <c r="C361" s="617" t="s">
        <v>484</v>
      </c>
      <c r="D361" s="618" t="s">
        <v>2515</v>
      </c>
      <c r="E361" s="617" t="s">
        <v>489</v>
      </c>
      <c r="F361" s="618" t="s">
        <v>2516</v>
      </c>
      <c r="G361" s="617" t="s">
        <v>551</v>
      </c>
      <c r="H361" s="617" t="s">
        <v>1709</v>
      </c>
      <c r="I361" s="617" t="s">
        <v>885</v>
      </c>
      <c r="J361" s="617" t="s">
        <v>1710</v>
      </c>
      <c r="K361" s="617"/>
      <c r="L361" s="619">
        <v>229.91006793934889</v>
      </c>
      <c r="M361" s="619">
        <v>4</v>
      </c>
      <c r="N361" s="620">
        <v>919.64027175739557</v>
      </c>
    </row>
    <row r="362" spans="1:14" ht="14.4" customHeight="1" x14ac:dyDescent="0.3">
      <c r="A362" s="615" t="s">
        <v>479</v>
      </c>
      <c r="B362" s="616" t="s">
        <v>2514</v>
      </c>
      <c r="C362" s="617" t="s">
        <v>484</v>
      </c>
      <c r="D362" s="618" t="s">
        <v>2515</v>
      </c>
      <c r="E362" s="617" t="s">
        <v>489</v>
      </c>
      <c r="F362" s="618" t="s">
        <v>2516</v>
      </c>
      <c r="G362" s="617" t="s">
        <v>551</v>
      </c>
      <c r="H362" s="617" t="s">
        <v>1711</v>
      </c>
      <c r="I362" s="617" t="s">
        <v>1711</v>
      </c>
      <c r="J362" s="617" t="s">
        <v>1712</v>
      </c>
      <c r="K362" s="617" t="s">
        <v>1713</v>
      </c>
      <c r="L362" s="619">
        <v>151.55999999999995</v>
      </c>
      <c r="M362" s="619">
        <v>4</v>
      </c>
      <c r="N362" s="620">
        <v>606.23999999999978</v>
      </c>
    </row>
    <row r="363" spans="1:14" ht="14.4" customHeight="1" x14ac:dyDescent="0.3">
      <c r="A363" s="615" t="s">
        <v>479</v>
      </c>
      <c r="B363" s="616" t="s">
        <v>2514</v>
      </c>
      <c r="C363" s="617" t="s">
        <v>484</v>
      </c>
      <c r="D363" s="618" t="s">
        <v>2515</v>
      </c>
      <c r="E363" s="617" t="s">
        <v>489</v>
      </c>
      <c r="F363" s="618" t="s">
        <v>2516</v>
      </c>
      <c r="G363" s="617" t="s">
        <v>551</v>
      </c>
      <c r="H363" s="617" t="s">
        <v>1714</v>
      </c>
      <c r="I363" s="617" t="s">
        <v>885</v>
      </c>
      <c r="J363" s="617" t="s">
        <v>1715</v>
      </c>
      <c r="K363" s="617"/>
      <c r="L363" s="619">
        <v>58.676666666666669</v>
      </c>
      <c r="M363" s="619">
        <v>3</v>
      </c>
      <c r="N363" s="620">
        <v>176.03</v>
      </c>
    </row>
    <row r="364" spans="1:14" ht="14.4" customHeight="1" x14ac:dyDescent="0.3">
      <c r="A364" s="615" t="s">
        <v>479</v>
      </c>
      <c r="B364" s="616" t="s">
        <v>2514</v>
      </c>
      <c r="C364" s="617" t="s">
        <v>484</v>
      </c>
      <c r="D364" s="618" t="s">
        <v>2515</v>
      </c>
      <c r="E364" s="617" t="s">
        <v>489</v>
      </c>
      <c r="F364" s="618" t="s">
        <v>2516</v>
      </c>
      <c r="G364" s="617" t="s">
        <v>551</v>
      </c>
      <c r="H364" s="617" t="s">
        <v>1716</v>
      </c>
      <c r="I364" s="617" t="s">
        <v>1716</v>
      </c>
      <c r="J364" s="617" t="s">
        <v>752</v>
      </c>
      <c r="K364" s="617" t="s">
        <v>1717</v>
      </c>
      <c r="L364" s="619">
        <v>248.24999999999997</v>
      </c>
      <c r="M364" s="619">
        <v>3</v>
      </c>
      <c r="N364" s="620">
        <v>744.74999999999989</v>
      </c>
    </row>
    <row r="365" spans="1:14" ht="14.4" customHeight="1" x14ac:dyDescent="0.3">
      <c r="A365" s="615" t="s">
        <v>479</v>
      </c>
      <c r="B365" s="616" t="s">
        <v>2514</v>
      </c>
      <c r="C365" s="617" t="s">
        <v>484</v>
      </c>
      <c r="D365" s="618" t="s">
        <v>2515</v>
      </c>
      <c r="E365" s="617" t="s">
        <v>489</v>
      </c>
      <c r="F365" s="618" t="s">
        <v>2516</v>
      </c>
      <c r="G365" s="617" t="s">
        <v>551</v>
      </c>
      <c r="H365" s="617" t="s">
        <v>1718</v>
      </c>
      <c r="I365" s="617" t="s">
        <v>885</v>
      </c>
      <c r="J365" s="617" t="s">
        <v>1719</v>
      </c>
      <c r="K365" s="617" t="s">
        <v>1720</v>
      </c>
      <c r="L365" s="619">
        <v>331.2</v>
      </c>
      <c r="M365" s="619">
        <v>70</v>
      </c>
      <c r="N365" s="620">
        <v>23184</v>
      </c>
    </row>
    <row r="366" spans="1:14" ht="14.4" customHeight="1" x14ac:dyDescent="0.3">
      <c r="A366" s="615" t="s">
        <v>479</v>
      </c>
      <c r="B366" s="616" t="s">
        <v>2514</v>
      </c>
      <c r="C366" s="617" t="s">
        <v>484</v>
      </c>
      <c r="D366" s="618" t="s">
        <v>2515</v>
      </c>
      <c r="E366" s="617" t="s">
        <v>489</v>
      </c>
      <c r="F366" s="618" t="s">
        <v>2516</v>
      </c>
      <c r="G366" s="617" t="s">
        <v>551</v>
      </c>
      <c r="H366" s="617" t="s">
        <v>1721</v>
      </c>
      <c r="I366" s="617" t="s">
        <v>1721</v>
      </c>
      <c r="J366" s="617" t="s">
        <v>1722</v>
      </c>
      <c r="K366" s="617" t="s">
        <v>707</v>
      </c>
      <c r="L366" s="619">
        <v>879.39999999999952</v>
      </c>
      <c r="M366" s="619">
        <v>1</v>
      </c>
      <c r="N366" s="620">
        <v>879.39999999999952</v>
      </c>
    </row>
    <row r="367" spans="1:14" ht="14.4" customHeight="1" x14ac:dyDescent="0.3">
      <c r="A367" s="615" t="s">
        <v>479</v>
      </c>
      <c r="B367" s="616" t="s">
        <v>2514</v>
      </c>
      <c r="C367" s="617" t="s">
        <v>484</v>
      </c>
      <c r="D367" s="618" t="s">
        <v>2515</v>
      </c>
      <c r="E367" s="617" t="s">
        <v>489</v>
      </c>
      <c r="F367" s="618" t="s">
        <v>2516</v>
      </c>
      <c r="G367" s="617" t="s">
        <v>551</v>
      </c>
      <c r="H367" s="617" t="s">
        <v>1723</v>
      </c>
      <c r="I367" s="617" t="s">
        <v>1723</v>
      </c>
      <c r="J367" s="617" t="s">
        <v>1724</v>
      </c>
      <c r="K367" s="617" t="s">
        <v>1725</v>
      </c>
      <c r="L367" s="619">
        <v>56.489999999999988</v>
      </c>
      <c r="M367" s="619">
        <v>2</v>
      </c>
      <c r="N367" s="620">
        <v>112.97999999999998</v>
      </c>
    </row>
    <row r="368" spans="1:14" ht="14.4" customHeight="1" x14ac:dyDescent="0.3">
      <c r="A368" s="615" t="s">
        <v>479</v>
      </c>
      <c r="B368" s="616" t="s">
        <v>2514</v>
      </c>
      <c r="C368" s="617" t="s">
        <v>484</v>
      </c>
      <c r="D368" s="618" t="s">
        <v>2515</v>
      </c>
      <c r="E368" s="617" t="s">
        <v>489</v>
      </c>
      <c r="F368" s="618" t="s">
        <v>2516</v>
      </c>
      <c r="G368" s="617" t="s">
        <v>551</v>
      </c>
      <c r="H368" s="617" t="s">
        <v>1726</v>
      </c>
      <c r="I368" s="617" t="s">
        <v>1726</v>
      </c>
      <c r="J368" s="617" t="s">
        <v>1727</v>
      </c>
      <c r="K368" s="617" t="s">
        <v>695</v>
      </c>
      <c r="L368" s="619">
        <v>62.209885078916443</v>
      </c>
      <c r="M368" s="619">
        <v>25</v>
      </c>
      <c r="N368" s="620">
        <v>1555.247126972911</v>
      </c>
    </row>
    <row r="369" spans="1:14" ht="14.4" customHeight="1" x14ac:dyDescent="0.3">
      <c r="A369" s="615" t="s">
        <v>479</v>
      </c>
      <c r="B369" s="616" t="s">
        <v>2514</v>
      </c>
      <c r="C369" s="617" t="s">
        <v>484</v>
      </c>
      <c r="D369" s="618" t="s">
        <v>2515</v>
      </c>
      <c r="E369" s="617" t="s">
        <v>489</v>
      </c>
      <c r="F369" s="618" t="s">
        <v>2516</v>
      </c>
      <c r="G369" s="617" t="s">
        <v>551</v>
      </c>
      <c r="H369" s="617" t="s">
        <v>1728</v>
      </c>
      <c r="I369" s="617" t="s">
        <v>1728</v>
      </c>
      <c r="J369" s="617" t="s">
        <v>1729</v>
      </c>
      <c r="K369" s="617" t="s">
        <v>1730</v>
      </c>
      <c r="L369" s="619">
        <v>236.35</v>
      </c>
      <c r="M369" s="619">
        <v>1</v>
      </c>
      <c r="N369" s="620">
        <v>236.35</v>
      </c>
    </row>
    <row r="370" spans="1:14" ht="14.4" customHeight="1" x14ac:dyDescent="0.3">
      <c r="A370" s="615" t="s">
        <v>479</v>
      </c>
      <c r="B370" s="616" t="s">
        <v>2514</v>
      </c>
      <c r="C370" s="617" t="s">
        <v>484</v>
      </c>
      <c r="D370" s="618" t="s">
        <v>2515</v>
      </c>
      <c r="E370" s="617" t="s">
        <v>489</v>
      </c>
      <c r="F370" s="618" t="s">
        <v>2516</v>
      </c>
      <c r="G370" s="617" t="s">
        <v>551</v>
      </c>
      <c r="H370" s="617" t="s">
        <v>1731</v>
      </c>
      <c r="I370" s="617" t="s">
        <v>1731</v>
      </c>
      <c r="J370" s="617" t="s">
        <v>1732</v>
      </c>
      <c r="K370" s="617" t="s">
        <v>1733</v>
      </c>
      <c r="L370" s="619">
        <v>72.74727272727273</v>
      </c>
      <c r="M370" s="619">
        <v>11</v>
      </c>
      <c r="N370" s="620">
        <v>800.22</v>
      </c>
    </row>
    <row r="371" spans="1:14" ht="14.4" customHeight="1" x14ac:dyDescent="0.3">
      <c r="A371" s="615" t="s">
        <v>479</v>
      </c>
      <c r="B371" s="616" t="s">
        <v>2514</v>
      </c>
      <c r="C371" s="617" t="s">
        <v>484</v>
      </c>
      <c r="D371" s="618" t="s">
        <v>2515</v>
      </c>
      <c r="E371" s="617" t="s">
        <v>489</v>
      </c>
      <c r="F371" s="618" t="s">
        <v>2516</v>
      </c>
      <c r="G371" s="617" t="s">
        <v>551</v>
      </c>
      <c r="H371" s="617" t="s">
        <v>1734</v>
      </c>
      <c r="I371" s="617" t="s">
        <v>1734</v>
      </c>
      <c r="J371" s="617" t="s">
        <v>1735</v>
      </c>
      <c r="K371" s="617" t="s">
        <v>1736</v>
      </c>
      <c r="L371" s="619">
        <v>108.39999878803403</v>
      </c>
      <c r="M371" s="619">
        <v>4</v>
      </c>
      <c r="N371" s="620">
        <v>433.5999951521361</v>
      </c>
    </row>
    <row r="372" spans="1:14" ht="14.4" customHeight="1" x14ac:dyDescent="0.3">
      <c r="A372" s="615" t="s">
        <v>479</v>
      </c>
      <c r="B372" s="616" t="s">
        <v>2514</v>
      </c>
      <c r="C372" s="617" t="s">
        <v>484</v>
      </c>
      <c r="D372" s="618" t="s">
        <v>2515</v>
      </c>
      <c r="E372" s="617" t="s">
        <v>489</v>
      </c>
      <c r="F372" s="618" t="s">
        <v>2516</v>
      </c>
      <c r="G372" s="617" t="s">
        <v>551</v>
      </c>
      <c r="H372" s="617" t="s">
        <v>1737</v>
      </c>
      <c r="I372" s="617" t="s">
        <v>1737</v>
      </c>
      <c r="J372" s="617" t="s">
        <v>1738</v>
      </c>
      <c r="K372" s="617" t="s">
        <v>1739</v>
      </c>
      <c r="L372" s="619">
        <v>264.98945067231347</v>
      </c>
      <c r="M372" s="619">
        <v>289</v>
      </c>
      <c r="N372" s="620">
        <v>76581.951244298587</v>
      </c>
    </row>
    <row r="373" spans="1:14" ht="14.4" customHeight="1" x14ac:dyDescent="0.3">
      <c r="A373" s="615" t="s">
        <v>479</v>
      </c>
      <c r="B373" s="616" t="s">
        <v>2514</v>
      </c>
      <c r="C373" s="617" t="s">
        <v>484</v>
      </c>
      <c r="D373" s="618" t="s">
        <v>2515</v>
      </c>
      <c r="E373" s="617" t="s">
        <v>489</v>
      </c>
      <c r="F373" s="618" t="s">
        <v>2516</v>
      </c>
      <c r="G373" s="617" t="s">
        <v>551</v>
      </c>
      <c r="H373" s="617" t="s">
        <v>1740</v>
      </c>
      <c r="I373" s="617" t="s">
        <v>1740</v>
      </c>
      <c r="J373" s="617" t="s">
        <v>1741</v>
      </c>
      <c r="K373" s="617" t="s">
        <v>1742</v>
      </c>
      <c r="L373" s="619">
        <v>1264.2199999999998</v>
      </c>
      <c r="M373" s="619">
        <v>1</v>
      </c>
      <c r="N373" s="620">
        <v>1264.2199999999998</v>
      </c>
    </row>
    <row r="374" spans="1:14" ht="14.4" customHeight="1" x14ac:dyDescent="0.3">
      <c r="A374" s="615" t="s">
        <v>479</v>
      </c>
      <c r="B374" s="616" t="s">
        <v>2514</v>
      </c>
      <c r="C374" s="617" t="s">
        <v>484</v>
      </c>
      <c r="D374" s="618" t="s">
        <v>2515</v>
      </c>
      <c r="E374" s="617" t="s">
        <v>489</v>
      </c>
      <c r="F374" s="618" t="s">
        <v>2516</v>
      </c>
      <c r="G374" s="617" t="s">
        <v>551</v>
      </c>
      <c r="H374" s="617" t="s">
        <v>1743</v>
      </c>
      <c r="I374" s="617" t="s">
        <v>1743</v>
      </c>
      <c r="J374" s="617" t="s">
        <v>1744</v>
      </c>
      <c r="K374" s="617" t="s">
        <v>1745</v>
      </c>
      <c r="L374" s="619">
        <v>220.29966580667121</v>
      </c>
      <c r="M374" s="619">
        <v>72</v>
      </c>
      <c r="N374" s="620">
        <v>15861.575938080327</v>
      </c>
    </row>
    <row r="375" spans="1:14" ht="14.4" customHeight="1" x14ac:dyDescent="0.3">
      <c r="A375" s="615" t="s">
        <v>479</v>
      </c>
      <c r="B375" s="616" t="s">
        <v>2514</v>
      </c>
      <c r="C375" s="617" t="s">
        <v>484</v>
      </c>
      <c r="D375" s="618" t="s">
        <v>2515</v>
      </c>
      <c r="E375" s="617" t="s">
        <v>489</v>
      </c>
      <c r="F375" s="618" t="s">
        <v>2516</v>
      </c>
      <c r="G375" s="617" t="s">
        <v>551</v>
      </c>
      <c r="H375" s="617" t="s">
        <v>1746</v>
      </c>
      <c r="I375" s="617" t="s">
        <v>1746</v>
      </c>
      <c r="J375" s="617" t="s">
        <v>1747</v>
      </c>
      <c r="K375" s="617" t="s">
        <v>1748</v>
      </c>
      <c r="L375" s="619">
        <v>372.79999999999995</v>
      </c>
      <c r="M375" s="619">
        <v>22</v>
      </c>
      <c r="N375" s="620">
        <v>8201.5999999999985</v>
      </c>
    </row>
    <row r="376" spans="1:14" ht="14.4" customHeight="1" x14ac:dyDescent="0.3">
      <c r="A376" s="615" t="s">
        <v>479</v>
      </c>
      <c r="B376" s="616" t="s">
        <v>2514</v>
      </c>
      <c r="C376" s="617" t="s">
        <v>484</v>
      </c>
      <c r="D376" s="618" t="s">
        <v>2515</v>
      </c>
      <c r="E376" s="617" t="s">
        <v>489</v>
      </c>
      <c r="F376" s="618" t="s">
        <v>2516</v>
      </c>
      <c r="G376" s="617" t="s">
        <v>551</v>
      </c>
      <c r="H376" s="617" t="s">
        <v>1749</v>
      </c>
      <c r="I376" s="617" t="s">
        <v>1749</v>
      </c>
      <c r="J376" s="617" t="s">
        <v>1087</v>
      </c>
      <c r="K376" s="617" t="s">
        <v>1088</v>
      </c>
      <c r="L376" s="619">
        <v>47.609967206262901</v>
      </c>
      <c r="M376" s="619">
        <v>64</v>
      </c>
      <c r="N376" s="620">
        <v>3047.0379012008257</v>
      </c>
    </row>
    <row r="377" spans="1:14" ht="14.4" customHeight="1" x14ac:dyDescent="0.3">
      <c r="A377" s="615" t="s">
        <v>479</v>
      </c>
      <c r="B377" s="616" t="s">
        <v>2514</v>
      </c>
      <c r="C377" s="617" t="s">
        <v>484</v>
      </c>
      <c r="D377" s="618" t="s">
        <v>2515</v>
      </c>
      <c r="E377" s="617" t="s">
        <v>489</v>
      </c>
      <c r="F377" s="618" t="s">
        <v>2516</v>
      </c>
      <c r="G377" s="617" t="s">
        <v>551</v>
      </c>
      <c r="H377" s="617" t="s">
        <v>1750</v>
      </c>
      <c r="I377" s="617" t="s">
        <v>1750</v>
      </c>
      <c r="J377" s="617" t="s">
        <v>1751</v>
      </c>
      <c r="K377" s="617" t="s">
        <v>1752</v>
      </c>
      <c r="L377" s="619">
        <v>383.42999999999995</v>
      </c>
      <c r="M377" s="619">
        <v>1</v>
      </c>
      <c r="N377" s="620">
        <v>383.42999999999995</v>
      </c>
    </row>
    <row r="378" spans="1:14" ht="14.4" customHeight="1" x14ac:dyDescent="0.3">
      <c r="A378" s="615" t="s">
        <v>479</v>
      </c>
      <c r="B378" s="616" t="s">
        <v>2514</v>
      </c>
      <c r="C378" s="617" t="s">
        <v>484</v>
      </c>
      <c r="D378" s="618" t="s">
        <v>2515</v>
      </c>
      <c r="E378" s="617" t="s">
        <v>489</v>
      </c>
      <c r="F378" s="618" t="s">
        <v>2516</v>
      </c>
      <c r="G378" s="617" t="s">
        <v>551</v>
      </c>
      <c r="H378" s="617" t="s">
        <v>1753</v>
      </c>
      <c r="I378" s="617" t="s">
        <v>885</v>
      </c>
      <c r="J378" s="617" t="s">
        <v>1754</v>
      </c>
      <c r="K378" s="617"/>
      <c r="L378" s="619">
        <v>255.58799809506513</v>
      </c>
      <c r="M378" s="619">
        <v>1</v>
      </c>
      <c r="N378" s="620">
        <v>255.58799809506513</v>
      </c>
    </row>
    <row r="379" spans="1:14" ht="14.4" customHeight="1" x14ac:dyDescent="0.3">
      <c r="A379" s="615" t="s">
        <v>479</v>
      </c>
      <c r="B379" s="616" t="s">
        <v>2514</v>
      </c>
      <c r="C379" s="617" t="s">
        <v>484</v>
      </c>
      <c r="D379" s="618" t="s">
        <v>2515</v>
      </c>
      <c r="E379" s="617" t="s">
        <v>489</v>
      </c>
      <c r="F379" s="618" t="s">
        <v>2516</v>
      </c>
      <c r="G379" s="617" t="s">
        <v>551</v>
      </c>
      <c r="H379" s="617" t="s">
        <v>1755</v>
      </c>
      <c r="I379" s="617" t="s">
        <v>1755</v>
      </c>
      <c r="J379" s="617" t="s">
        <v>698</v>
      </c>
      <c r="K379" s="617" t="s">
        <v>1756</v>
      </c>
      <c r="L379" s="619">
        <v>72.914999999999992</v>
      </c>
      <c r="M379" s="619">
        <v>4</v>
      </c>
      <c r="N379" s="620">
        <v>291.65999999999997</v>
      </c>
    </row>
    <row r="380" spans="1:14" ht="14.4" customHeight="1" x14ac:dyDescent="0.3">
      <c r="A380" s="615" t="s">
        <v>479</v>
      </c>
      <c r="B380" s="616" t="s">
        <v>2514</v>
      </c>
      <c r="C380" s="617" t="s">
        <v>484</v>
      </c>
      <c r="D380" s="618" t="s">
        <v>2515</v>
      </c>
      <c r="E380" s="617" t="s">
        <v>489</v>
      </c>
      <c r="F380" s="618" t="s">
        <v>2516</v>
      </c>
      <c r="G380" s="617" t="s">
        <v>551</v>
      </c>
      <c r="H380" s="617" t="s">
        <v>1757</v>
      </c>
      <c r="I380" s="617" t="s">
        <v>885</v>
      </c>
      <c r="J380" s="617" t="s">
        <v>1758</v>
      </c>
      <c r="K380" s="617"/>
      <c r="L380" s="619">
        <v>71.61494496299251</v>
      </c>
      <c r="M380" s="619">
        <v>16</v>
      </c>
      <c r="N380" s="620">
        <v>1145.8391194078802</v>
      </c>
    </row>
    <row r="381" spans="1:14" ht="14.4" customHeight="1" x14ac:dyDescent="0.3">
      <c r="A381" s="615" t="s">
        <v>479</v>
      </c>
      <c r="B381" s="616" t="s">
        <v>2514</v>
      </c>
      <c r="C381" s="617" t="s">
        <v>484</v>
      </c>
      <c r="D381" s="618" t="s">
        <v>2515</v>
      </c>
      <c r="E381" s="617" t="s">
        <v>489</v>
      </c>
      <c r="F381" s="618" t="s">
        <v>2516</v>
      </c>
      <c r="G381" s="617" t="s">
        <v>551</v>
      </c>
      <c r="H381" s="617" t="s">
        <v>1759</v>
      </c>
      <c r="I381" s="617" t="s">
        <v>1759</v>
      </c>
      <c r="J381" s="617" t="s">
        <v>1760</v>
      </c>
      <c r="K381" s="617" t="s">
        <v>1761</v>
      </c>
      <c r="L381" s="619">
        <v>48.58</v>
      </c>
      <c r="M381" s="619">
        <v>1</v>
      </c>
      <c r="N381" s="620">
        <v>48.58</v>
      </c>
    </row>
    <row r="382" spans="1:14" ht="14.4" customHeight="1" x14ac:dyDescent="0.3">
      <c r="A382" s="615" t="s">
        <v>479</v>
      </c>
      <c r="B382" s="616" t="s">
        <v>2514</v>
      </c>
      <c r="C382" s="617" t="s">
        <v>484</v>
      </c>
      <c r="D382" s="618" t="s">
        <v>2515</v>
      </c>
      <c r="E382" s="617" t="s">
        <v>489</v>
      </c>
      <c r="F382" s="618" t="s">
        <v>2516</v>
      </c>
      <c r="G382" s="617" t="s">
        <v>551</v>
      </c>
      <c r="H382" s="617" t="s">
        <v>1762</v>
      </c>
      <c r="I382" s="617" t="s">
        <v>1762</v>
      </c>
      <c r="J382" s="617" t="s">
        <v>553</v>
      </c>
      <c r="K382" s="617" t="s">
        <v>1763</v>
      </c>
      <c r="L382" s="619">
        <v>282.14999999999998</v>
      </c>
      <c r="M382" s="619">
        <v>4</v>
      </c>
      <c r="N382" s="620">
        <v>1128.5999999999999</v>
      </c>
    </row>
    <row r="383" spans="1:14" ht="14.4" customHeight="1" x14ac:dyDescent="0.3">
      <c r="A383" s="615" t="s">
        <v>479</v>
      </c>
      <c r="B383" s="616" t="s">
        <v>2514</v>
      </c>
      <c r="C383" s="617" t="s">
        <v>484</v>
      </c>
      <c r="D383" s="618" t="s">
        <v>2515</v>
      </c>
      <c r="E383" s="617" t="s">
        <v>489</v>
      </c>
      <c r="F383" s="618" t="s">
        <v>2516</v>
      </c>
      <c r="G383" s="617" t="s">
        <v>551</v>
      </c>
      <c r="H383" s="617" t="s">
        <v>1764</v>
      </c>
      <c r="I383" s="617" t="s">
        <v>1764</v>
      </c>
      <c r="J383" s="617" t="s">
        <v>1735</v>
      </c>
      <c r="K383" s="617" t="s">
        <v>1765</v>
      </c>
      <c r="L383" s="619">
        <v>182.55866497330641</v>
      </c>
      <c r="M383" s="619">
        <v>4</v>
      </c>
      <c r="N383" s="620">
        <v>730.23465989322563</v>
      </c>
    </row>
    <row r="384" spans="1:14" ht="14.4" customHeight="1" x14ac:dyDescent="0.3">
      <c r="A384" s="615" t="s">
        <v>479</v>
      </c>
      <c r="B384" s="616" t="s">
        <v>2514</v>
      </c>
      <c r="C384" s="617" t="s">
        <v>484</v>
      </c>
      <c r="D384" s="618" t="s">
        <v>2515</v>
      </c>
      <c r="E384" s="617" t="s">
        <v>489</v>
      </c>
      <c r="F384" s="618" t="s">
        <v>2516</v>
      </c>
      <c r="G384" s="617" t="s">
        <v>551</v>
      </c>
      <c r="H384" s="617" t="s">
        <v>1766</v>
      </c>
      <c r="I384" s="617" t="s">
        <v>885</v>
      </c>
      <c r="J384" s="617" t="s">
        <v>1767</v>
      </c>
      <c r="K384" s="617"/>
      <c r="L384" s="619">
        <v>250.28000000000003</v>
      </c>
      <c r="M384" s="619">
        <v>1</v>
      </c>
      <c r="N384" s="620">
        <v>250.28000000000003</v>
      </c>
    </row>
    <row r="385" spans="1:14" ht="14.4" customHeight="1" x14ac:dyDescent="0.3">
      <c r="A385" s="615" t="s">
        <v>479</v>
      </c>
      <c r="B385" s="616" t="s">
        <v>2514</v>
      </c>
      <c r="C385" s="617" t="s">
        <v>484</v>
      </c>
      <c r="D385" s="618" t="s">
        <v>2515</v>
      </c>
      <c r="E385" s="617" t="s">
        <v>489</v>
      </c>
      <c r="F385" s="618" t="s">
        <v>2516</v>
      </c>
      <c r="G385" s="617" t="s">
        <v>551</v>
      </c>
      <c r="H385" s="617" t="s">
        <v>1768</v>
      </c>
      <c r="I385" s="617" t="s">
        <v>594</v>
      </c>
      <c r="J385" s="617" t="s">
        <v>1769</v>
      </c>
      <c r="K385" s="617" t="s">
        <v>1770</v>
      </c>
      <c r="L385" s="619">
        <v>255.96583623731561</v>
      </c>
      <c r="M385" s="619">
        <v>1</v>
      </c>
      <c r="N385" s="620">
        <v>255.96583623731561</v>
      </c>
    </row>
    <row r="386" spans="1:14" ht="14.4" customHeight="1" x14ac:dyDescent="0.3">
      <c r="A386" s="615" t="s">
        <v>479</v>
      </c>
      <c r="B386" s="616" t="s">
        <v>2514</v>
      </c>
      <c r="C386" s="617" t="s">
        <v>484</v>
      </c>
      <c r="D386" s="618" t="s">
        <v>2515</v>
      </c>
      <c r="E386" s="617" t="s">
        <v>489</v>
      </c>
      <c r="F386" s="618" t="s">
        <v>2516</v>
      </c>
      <c r="G386" s="617" t="s">
        <v>551</v>
      </c>
      <c r="H386" s="617" t="s">
        <v>1771</v>
      </c>
      <c r="I386" s="617" t="s">
        <v>1771</v>
      </c>
      <c r="J386" s="617" t="s">
        <v>1772</v>
      </c>
      <c r="K386" s="617" t="s">
        <v>1773</v>
      </c>
      <c r="L386" s="619">
        <v>81.900000000000006</v>
      </c>
      <c r="M386" s="619">
        <v>1</v>
      </c>
      <c r="N386" s="620">
        <v>81.900000000000006</v>
      </c>
    </row>
    <row r="387" spans="1:14" ht="14.4" customHeight="1" x14ac:dyDescent="0.3">
      <c r="A387" s="615" t="s">
        <v>479</v>
      </c>
      <c r="B387" s="616" t="s">
        <v>2514</v>
      </c>
      <c r="C387" s="617" t="s">
        <v>484</v>
      </c>
      <c r="D387" s="618" t="s">
        <v>2515</v>
      </c>
      <c r="E387" s="617" t="s">
        <v>489</v>
      </c>
      <c r="F387" s="618" t="s">
        <v>2516</v>
      </c>
      <c r="G387" s="617" t="s">
        <v>551</v>
      </c>
      <c r="H387" s="617" t="s">
        <v>1774</v>
      </c>
      <c r="I387" s="617" t="s">
        <v>1774</v>
      </c>
      <c r="J387" s="617" t="s">
        <v>1620</v>
      </c>
      <c r="K387" s="617" t="s">
        <v>1775</v>
      </c>
      <c r="L387" s="619">
        <v>50.23</v>
      </c>
      <c r="M387" s="619">
        <v>1</v>
      </c>
      <c r="N387" s="620">
        <v>50.23</v>
      </c>
    </row>
    <row r="388" spans="1:14" ht="14.4" customHeight="1" x14ac:dyDescent="0.3">
      <c r="A388" s="615" t="s">
        <v>479</v>
      </c>
      <c r="B388" s="616" t="s">
        <v>2514</v>
      </c>
      <c r="C388" s="617" t="s">
        <v>484</v>
      </c>
      <c r="D388" s="618" t="s">
        <v>2515</v>
      </c>
      <c r="E388" s="617" t="s">
        <v>489</v>
      </c>
      <c r="F388" s="618" t="s">
        <v>2516</v>
      </c>
      <c r="G388" s="617" t="s">
        <v>551</v>
      </c>
      <c r="H388" s="617" t="s">
        <v>1776</v>
      </c>
      <c r="I388" s="617" t="s">
        <v>1776</v>
      </c>
      <c r="J388" s="617" t="s">
        <v>553</v>
      </c>
      <c r="K388" s="617" t="s">
        <v>1777</v>
      </c>
      <c r="L388" s="619">
        <v>193.78</v>
      </c>
      <c r="M388" s="619">
        <v>5</v>
      </c>
      <c r="N388" s="620">
        <v>968.9</v>
      </c>
    </row>
    <row r="389" spans="1:14" ht="14.4" customHeight="1" x14ac:dyDescent="0.3">
      <c r="A389" s="615" t="s">
        <v>479</v>
      </c>
      <c r="B389" s="616" t="s">
        <v>2514</v>
      </c>
      <c r="C389" s="617" t="s">
        <v>484</v>
      </c>
      <c r="D389" s="618" t="s">
        <v>2515</v>
      </c>
      <c r="E389" s="617" t="s">
        <v>489</v>
      </c>
      <c r="F389" s="618" t="s">
        <v>2516</v>
      </c>
      <c r="G389" s="617" t="s">
        <v>551</v>
      </c>
      <c r="H389" s="617" t="s">
        <v>1778</v>
      </c>
      <c r="I389" s="617" t="s">
        <v>1778</v>
      </c>
      <c r="J389" s="617" t="s">
        <v>1779</v>
      </c>
      <c r="K389" s="617" t="s">
        <v>1780</v>
      </c>
      <c r="L389" s="619">
        <v>180.20000000000002</v>
      </c>
      <c r="M389" s="619">
        <v>1</v>
      </c>
      <c r="N389" s="620">
        <v>180.20000000000002</v>
      </c>
    </row>
    <row r="390" spans="1:14" ht="14.4" customHeight="1" x14ac:dyDescent="0.3">
      <c r="A390" s="615" t="s">
        <v>479</v>
      </c>
      <c r="B390" s="616" t="s">
        <v>2514</v>
      </c>
      <c r="C390" s="617" t="s">
        <v>484</v>
      </c>
      <c r="D390" s="618" t="s">
        <v>2515</v>
      </c>
      <c r="E390" s="617" t="s">
        <v>489</v>
      </c>
      <c r="F390" s="618" t="s">
        <v>2516</v>
      </c>
      <c r="G390" s="617" t="s">
        <v>551</v>
      </c>
      <c r="H390" s="617" t="s">
        <v>1781</v>
      </c>
      <c r="I390" s="617" t="s">
        <v>1782</v>
      </c>
      <c r="J390" s="617" t="s">
        <v>1783</v>
      </c>
      <c r="K390" s="617" t="s">
        <v>1784</v>
      </c>
      <c r="L390" s="619">
        <v>66.400000000000006</v>
      </c>
      <c r="M390" s="619">
        <v>1</v>
      </c>
      <c r="N390" s="620">
        <v>66.400000000000006</v>
      </c>
    </row>
    <row r="391" spans="1:14" ht="14.4" customHeight="1" x14ac:dyDescent="0.3">
      <c r="A391" s="615" t="s">
        <v>479</v>
      </c>
      <c r="B391" s="616" t="s">
        <v>2514</v>
      </c>
      <c r="C391" s="617" t="s">
        <v>484</v>
      </c>
      <c r="D391" s="618" t="s">
        <v>2515</v>
      </c>
      <c r="E391" s="617" t="s">
        <v>489</v>
      </c>
      <c r="F391" s="618" t="s">
        <v>2516</v>
      </c>
      <c r="G391" s="617" t="s">
        <v>551</v>
      </c>
      <c r="H391" s="617" t="s">
        <v>1785</v>
      </c>
      <c r="I391" s="617" t="s">
        <v>1785</v>
      </c>
      <c r="J391" s="617" t="s">
        <v>1786</v>
      </c>
      <c r="K391" s="617" t="s">
        <v>1787</v>
      </c>
      <c r="L391" s="619">
        <v>167.66</v>
      </c>
      <c r="M391" s="619">
        <v>1</v>
      </c>
      <c r="N391" s="620">
        <v>167.66</v>
      </c>
    </row>
    <row r="392" spans="1:14" ht="14.4" customHeight="1" x14ac:dyDescent="0.3">
      <c r="A392" s="615" t="s">
        <v>479</v>
      </c>
      <c r="B392" s="616" t="s">
        <v>2514</v>
      </c>
      <c r="C392" s="617" t="s">
        <v>484</v>
      </c>
      <c r="D392" s="618" t="s">
        <v>2515</v>
      </c>
      <c r="E392" s="617" t="s">
        <v>489</v>
      </c>
      <c r="F392" s="618" t="s">
        <v>2516</v>
      </c>
      <c r="G392" s="617" t="s">
        <v>551</v>
      </c>
      <c r="H392" s="617" t="s">
        <v>1788</v>
      </c>
      <c r="I392" s="617" t="s">
        <v>1788</v>
      </c>
      <c r="J392" s="617" t="s">
        <v>1789</v>
      </c>
      <c r="K392" s="617" t="s">
        <v>1790</v>
      </c>
      <c r="L392" s="619">
        <v>1360.0448099062723</v>
      </c>
      <c r="M392" s="619">
        <v>36</v>
      </c>
      <c r="N392" s="620">
        <v>48961.613156625805</v>
      </c>
    </row>
    <row r="393" spans="1:14" ht="14.4" customHeight="1" x14ac:dyDescent="0.3">
      <c r="A393" s="615" t="s">
        <v>479</v>
      </c>
      <c r="B393" s="616" t="s">
        <v>2514</v>
      </c>
      <c r="C393" s="617" t="s">
        <v>484</v>
      </c>
      <c r="D393" s="618" t="s">
        <v>2515</v>
      </c>
      <c r="E393" s="617" t="s">
        <v>489</v>
      </c>
      <c r="F393" s="618" t="s">
        <v>2516</v>
      </c>
      <c r="G393" s="617" t="s">
        <v>551</v>
      </c>
      <c r="H393" s="617" t="s">
        <v>1791</v>
      </c>
      <c r="I393" s="617" t="s">
        <v>885</v>
      </c>
      <c r="J393" s="617" t="s">
        <v>1792</v>
      </c>
      <c r="K393" s="617" t="s">
        <v>1793</v>
      </c>
      <c r="L393" s="619">
        <v>42.669999999999987</v>
      </c>
      <c r="M393" s="619">
        <v>1</v>
      </c>
      <c r="N393" s="620">
        <v>42.669999999999987</v>
      </c>
    </row>
    <row r="394" spans="1:14" ht="14.4" customHeight="1" x14ac:dyDescent="0.3">
      <c r="A394" s="615" t="s">
        <v>479</v>
      </c>
      <c r="B394" s="616" t="s">
        <v>2514</v>
      </c>
      <c r="C394" s="617" t="s">
        <v>484</v>
      </c>
      <c r="D394" s="618" t="s">
        <v>2515</v>
      </c>
      <c r="E394" s="617" t="s">
        <v>489</v>
      </c>
      <c r="F394" s="618" t="s">
        <v>2516</v>
      </c>
      <c r="G394" s="617" t="s">
        <v>551</v>
      </c>
      <c r="H394" s="617" t="s">
        <v>1794</v>
      </c>
      <c r="I394" s="617" t="s">
        <v>885</v>
      </c>
      <c r="J394" s="617" t="s">
        <v>1795</v>
      </c>
      <c r="K394" s="617"/>
      <c r="L394" s="619">
        <v>88.499999999999972</v>
      </c>
      <c r="M394" s="619">
        <v>20</v>
      </c>
      <c r="N394" s="620">
        <v>1769.9999999999995</v>
      </c>
    </row>
    <row r="395" spans="1:14" ht="14.4" customHeight="1" x14ac:dyDescent="0.3">
      <c r="A395" s="615" t="s">
        <v>479</v>
      </c>
      <c r="B395" s="616" t="s">
        <v>2514</v>
      </c>
      <c r="C395" s="617" t="s">
        <v>484</v>
      </c>
      <c r="D395" s="618" t="s">
        <v>2515</v>
      </c>
      <c r="E395" s="617" t="s">
        <v>489</v>
      </c>
      <c r="F395" s="618" t="s">
        <v>2516</v>
      </c>
      <c r="G395" s="617" t="s">
        <v>551</v>
      </c>
      <c r="H395" s="617" t="s">
        <v>1796</v>
      </c>
      <c r="I395" s="617" t="s">
        <v>1796</v>
      </c>
      <c r="J395" s="617" t="s">
        <v>1797</v>
      </c>
      <c r="K395" s="617" t="s">
        <v>1798</v>
      </c>
      <c r="L395" s="619">
        <v>622.59612037705324</v>
      </c>
      <c r="M395" s="619">
        <v>545</v>
      </c>
      <c r="N395" s="620">
        <v>339314.88560549403</v>
      </c>
    </row>
    <row r="396" spans="1:14" ht="14.4" customHeight="1" x14ac:dyDescent="0.3">
      <c r="A396" s="615" t="s">
        <v>479</v>
      </c>
      <c r="B396" s="616" t="s">
        <v>2514</v>
      </c>
      <c r="C396" s="617" t="s">
        <v>484</v>
      </c>
      <c r="D396" s="618" t="s">
        <v>2515</v>
      </c>
      <c r="E396" s="617" t="s">
        <v>489</v>
      </c>
      <c r="F396" s="618" t="s">
        <v>2516</v>
      </c>
      <c r="G396" s="617" t="s">
        <v>551</v>
      </c>
      <c r="H396" s="617" t="s">
        <v>1799</v>
      </c>
      <c r="I396" s="617" t="s">
        <v>1799</v>
      </c>
      <c r="J396" s="617" t="s">
        <v>1800</v>
      </c>
      <c r="K396" s="617" t="s">
        <v>1801</v>
      </c>
      <c r="L396" s="619">
        <v>94.439999999999969</v>
      </c>
      <c r="M396" s="619">
        <v>2</v>
      </c>
      <c r="N396" s="620">
        <v>188.87999999999994</v>
      </c>
    </row>
    <row r="397" spans="1:14" ht="14.4" customHeight="1" x14ac:dyDescent="0.3">
      <c r="A397" s="615" t="s">
        <v>479</v>
      </c>
      <c r="B397" s="616" t="s">
        <v>2514</v>
      </c>
      <c r="C397" s="617" t="s">
        <v>484</v>
      </c>
      <c r="D397" s="618" t="s">
        <v>2515</v>
      </c>
      <c r="E397" s="617" t="s">
        <v>489</v>
      </c>
      <c r="F397" s="618" t="s">
        <v>2516</v>
      </c>
      <c r="G397" s="617" t="s">
        <v>551</v>
      </c>
      <c r="H397" s="617" t="s">
        <v>1802</v>
      </c>
      <c r="I397" s="617" t="s">
        <v>1802</v>
      </c>
      <c r="J397" s="617" t="s">
        <v>698</v>
      </c>
      <c r="K397" s="617" t="s">
        <v>1756</v>
      </c>
      <c r="L397" s="619">
        <v>72.879774616369858</v>
      </c>
      <c r="M397" s="619">
        <v>5</v>
      </c>
      <c r="N397" s="620">
        <v>364.39887308184927</v>
      </c>
    </row>
    <row r="398" spans="1:14" ht="14.4" customHeight="1" x14ac:dyDescent="0.3">
      <c r="A398" s="615" t="s">
        <v>479</v>
      </c>
      <c r="B398" s="616" t="s">
        <v>2514</v>
      </c>
      <c r="C398" s="617" t="s">
        <v>484</v>
      </c>
      <c r="D398" s="618" t="s">
        <v>2515</v>
      </c>
      <c r="E398" s="617" t="s">
        <v>489</v>
      </c>
      <c r="F398" s="618" t="s">
        <v>2516</v>
      </c>
      <c r="G398" s="617" t="s">
        <v>551</v>
      </c>
      <c r="H398" s="617" t="s">
        <v>1803</v>
      </c>
      <c r="I398" s="617" t="s">
        <v>1803</v>
      </c>
      <c r="J398" s="617" t="s">
        <v>1804</v>
      </c>
      <c r="K398" s="617" t="s">
        <v>1805</v>
      </c>
      <c r="L398" s="619">
        <v>11.318999999999997</v>
      </c>
      <c r="M398" s="619">
        <v>6</v>
      </c>
      <c r="N398" s="620">
        <v>67.913999999999987</v>
      </c>
    </row>
    <row r="399" spans="1:14" ht="14.4" customHeight="1" x14ac:dyDescent="0.3">
      <c r="A399" s="615" t="s">
        <v>479</v>
      </c>
      <c r="B399" s="616" t="s">
        <v>2514</v>
      </c>
      <c r="C399" s="617" t="s">
        <v>484</v>
      </c>
      <c r="D399" s="618" t="s">
        <v>2515</v>
      </c>
      <c r="E399" s="617" t="s">
        <v>489</v>
      </c>
      <c r="F399" s="618" t="s">
        <v>2516</v>
      </c>
      <c r="G399" s="617" t="s">
        <v>551</v>
      </c>
      <c r="H399" s="617" t="s">
        <v>1806</v>
      </c>
      <c r="I399" s="617" t="s">
        <v>1806</v>
      </c>
      <c r="J399" s="617" t="s">
        <v>1807</v>
      </c>
      <c r="K399" s="617" t="s">
        <v>1808</v>
      </c>
      <c r="L399" s="619">
        <v>0</v>
      </c>
      <c r="M399" s="619">
        <v>0</v>
      </c>
      <c r="N399" s="620">
        <v>0</v>
      </c>
    </row>
    <row r="400" spans="1:14" ht="14.4" customHeight="1" x14ac:dyDescent="0.3">
      <c r="A400" s="615" t="s">
        <v>479</v>
      </c>
      <c r="B400" s="616" t="s">
        <v>2514</v>
      </c>
      <c r="C400" s="617" t="s">
        <v>484</v>
      </c>
      <c r="D400" s="618" t="s">
        <v>2515</v>
      </c>
      <c r="E400" s="617" t="s">
        <v>489</v>
      </c>
      <c r="F400" s="618" t="s">
        <v>2516</v>
      </c>
      <c r="G400" s="617" t="s">
        <v>551</v>
      </c>
      <c r="H400" s="617" t="s">
        <v>1809</v>
      </c>
      <c r="I400" s="617" t="s">
        <v>1809</v>
      </c>
      <c r="J400" s="617" t="s">
        <v>1810</v>
      </c>
      <c r="K400" s="617" t="s">
        <v>1811</v>
      </c>
      <c r="L400" s="619">
        <v>292.4192830594543</v>
      </c>
      <c r="M400" s="619">
        <v>9</v>
      </c>
      <c r="N400" s="620">
        <v>2631.7735475350887</v>
      </c>
    </row>
    <row r="401" spans="1:14" ht="14.4" customHeight="1" x14ac:dyDescent="0.3">
      <c r="A401" s="615" t="s">
        <v>479</v>
      </c>
      <c r="B401" s="616" t="s">
        <v>2514</v>
      </c>
      <c r="C401" s="617" t="s">
        <v>484</v>
      </c>
      <c r="D401" s="618" t="s">
        <v>2515</v>
      </c>
      <c r="E401" s="617" t="s">
        <v>489</v>
      </c>
      <c r="F401" s="618" t="s">
        <v>2516</v>
      </c>
      <c r="G401" s="617" t="s">
        <v>551</v>
      </c>
      <c r="H401" s="617" t="s">
        <v>1812</v>
      </c>
      <c r="I401" s="617" t="s">
        <v>1813</v>
      </c>
      <c r="J401" s="617" t="s">
        <v>1814</v>
      </c>
      <c r="K401" s="617" t="s">
        <v>1815</v>
      </c>
      <c r="L401" s="619">
        <v>473.97</v>
      </c>
      <c r="M401" s="619">
        <v>1</v>
      </c>
      <c r="N401" s="620">
        <v>473.97</v>
      </c>
    </row>
    <row r="402" spans="1:14" ht="14.4" customHeight="1" x14ac:dyDescent="0.3">
      <c r="A402" s="615" t="s">
        <v>479</v>
      </c>
      <c r="B402" s="616" t="s">
        <v>2514</v>
      </c>
      <c r="C402" s="617" t="s">
        <v>484</v>
      </c>
      <c r="D402" s="618" t="s">
        <v>2515</v>
      </c>
      <c r="E402" s="617" t="s">
        <v>489</v>
      </c>
      <c r="F402" s="618" t="s">
        <v>2516</v>
      </c>
      <c r="G402" s="617" t="s">
        <v>551</v>
      </c>
      <c r="H402" s="617" t="s">
        <v>1816</v>
      </c>
      <c r="I402" s="617" t="s">
        <v>1816</v>
      </c>
      <c r="J402" s="617" t="s">
        <v>698</v>
      </c>
      <c r="K402" s="617" t="s">
        <v>699</v>
      </c>
      <c r="L402" s="619">
        <v>28.599999999999991</v>
      </c>
      <c r="M402" s="619">
        <v>2</v>
      </c>
      <c r="N402" s="620">
        <v>57.199999999999982</v>
      </c>
    </row>
    <row r="403" spans="1:14" ht="14.4" customHeight="1" x14ac:dyDescent="0.3">
      <c r="A403" s="615" t="s">
        <v>479</v>
      </c>
      <c r="B403" s="616" t="s">
        <v>2514</v>
      </c>
      <c r="C403" s="617" t="s">
        <v>484</v>
      </c>
      <c r="D403" s="618" t="s">
        <v>2515</v>
      </c>
      <c r="E403" s="617" t="s">
        <v>489</v>
      </c>
      <c r="F403" s="618" t="s">
        <v>2516</v>
      </c>
      <c r="G403" s="617" t="s">
        <v>551</v>
      </c>
      <c r="H403" s="617" t="s">
        <v>1817</v>
      </c>
      <c r="I403" s="617" t="s">
        <v>1818</v>
      </c>
      <c r="J403" s="617" t="s">
        <v>1819</v>
      </c>
      <c r="K403" s="617" t="s">
        <v>1820</v>
      </c>
      <c r="L403" s="619">
        <v>372.67000000000019</v>
      </c>
      <c r="M403" s="619">
        <v>1</v>
      </c>
      <c r="N403" s="620">
        <v>372.67000000000019</v>
      </c>
    </row>
    <row r="404" spans="1:14" ht="14.4" customHeight="1" x14ac:dyDescent="0.3">
      <c r="A404" s="615" t="s">
        <v>479</v>
      </c>
      <c r="B404" s="616" t="s">
        <v>2514</v>
      </c>
      <c r="C404" s="617" t="s">
        <v>484</v>
      </c>
      <c r="D404" s="618" t="s">
        <v>2515</v>
      </c>
      <c r="E404" s="617" t="s">
        <v>489</v>
      </c>
      <c r="F404" s="618" t="s">
        <v>2516</v>
      </c>
      <c r="G404" s="617" t="s">
        <v>551</v>
      </c>
      <c r="H404" s="617" t="s">
        <v>1821</v>
      </c>
      <c r="I404" s="617" t="s">
        <v>885</v>
      </c>
      <c r="J404" s="617" t="s">
        <v>1822</v>
      </c>
      <c r="K404" s="617"/>
      <c r="L404" s="619">
        <v>107.76000000000008</v>
      </c>
      <c r="M404" s="619">
        <v>1</v>
      </c>
      <c r="N404" s="620">
        <v>107.76000000000008</v>
      </c>
    </row>
    <row r="405" spans="1:14" ht="14.4" customHeight="1" x14ac:dyDescent="0.3">
      <c r="A405" s="615" t="s">
        <v>479</v>
      </c>
      <c r="B405" s="616" t="s">
        <v>2514</v>
      </c>
      <c r="C405" s="617" t="s">
        <v>484</v>
      </c>
      <c r="D405" s="618" t="s">
        <v>2515</v>
      </c>
      <c r="E405" s="617" t="s">
        <v>489</v>
      </c>
      <c r="F405" s="618" t="s">
        <v>2516</v>
      </c>
      <c r="G405" s="617" t="s">
        <v>551</v>
      </c>
      <c r="H405" s="617" t="s">
        <v>1823</v>
      </c>
      <c r="I405" s="617" t="s">
        <v>1823</v>
      </c>
      <c r="J405" s="617" t="s">
        <v>1824</v>
      </c>
      <c r="K405" s="617" t="s">
        <v>1825</v>
      </c>
      <c r="L405" s="619">
        <v>120.64000000000001</v>
      </c>
      <c r="M405" s="619">
        <v>2</v>
      </c>
      <c r="N405" s="620">
        <v>241.28000000000003</v>
      </c>
    </row>
    <row r="406" spans="1:14" ht="14.4" customHeight="1" x14ac:dyDescent="0.3">
      <c r="A406" s="615" t="s">
        <v>479</v>
      </c>
      <c r="B406" s="616" t="s">
        <v>2514</v>
      </c>
      <c r="C406" s="617" t="s">
        <v>484</v>
      </c>
      <c r="D406" s="618" t="s">
        <v>2515</v>
      </c>
      <c r="E406" s="617" t="s">
        <v>489</v>
      </c>
      <c r="F406" s="618" t="s">
        <v>2516</v>
      </c>
      <c r="G406" s="617" t="s">
        <v>551</v>
      </c>
      <c r="H406" s="617" t="s">
        <v>1826</v>
      </c>
      <c r="I406" s="617" t="s">
        <v>1826</v>
      </c>
      <c r="J406" s="617" t="s">
        <v>1827</v>
      </c>
      <c r="K406" s="617" t="s">
        <v>1828</v>
      </c>
      <c r="L406" s="619">
        <v>2185.44</v>
      </c>
      <c r="M406" s="619">
        <v>1</v>
      </c>
      <c r="N406" s="620">
        <v>2185.44</v>
      </c>
    </row>
    <row r="407" spans="1:14" ht="14.4" customHeight="1" x14ac:dyDescent="0.3">
      <c r="A407" s="615" t="s">
        <v>479</v>
      </c>
      <c r="B407" s="616" t="s">
        <v>2514</v>
      </c>
      <c r="C407" s="617" t="s">
        <v>484</v>
      </c>
      <c r="D407" s="618" t="s">
        <v>2515</v>
      </c>
      <c r="E407" s="617" t="s">
        <v>489</v>
      </c>
      <c r="F407" s="618" t="s">
        <v>2516</v>
      </c>
      <c r="G407" s="617" t="s">
        <v>551</v>
      </c>
      <c r="H407" s="617" t="s">
        <v>1829</v>
      </c>
      <c r="I407" s="617" t="s">
        <v>1830</v>
      </c>
      <c r="J407" s="617" t="s">
        <v>1831</v>
      </c>
      <c r="K407" s="617" t="s">
        <v>1832</v>
      </c>
      <c r="L407" s="619">
        <v>48.650000000000027</v>
      </c>
      <c r="M407" s="619">
        <v>1</v>
      </c>
      <c r="N407" s="620">
        <v>48.650000000000027</v>
      </c>
    </row>
    <row r="408" spans="1:14" ht="14.4" customHeight="1" x14ac:dyDescent="0.3">
      <c r="A408" s="615" t="s">
        <v>479</v>
      </c>
      <c r="B408" s="616" t="s">
        <v>2514</v>
      </c>
      <c r="C408" s="617" t="s">
        <v>484</v>
      </c>
      <c r="D408" s="618" t="s">
        <v>2515</v>
      </c>
      <c r="E408" s="617" t="s">
        <v>489</v>
      </c>
      <c r="F408" s="618" t="s">
        <v>2516</v>
      </c>
      <c r="G408" s="617" t="s">
        <v>551</v>
      </c>
      <c r="H408" s="617" t="s">
        <v>1833</v>
      </c>
      <c r="I408" s="617" t="s">
        <v>1833</v>
      </c>
      <c r="J408" s="617" t="s">
        <v>1834</v>
      </c>
      <c r="K408" s="617" t="s">
        <v>1835</v>
      </c>
      <c r="L408" s="619">
        <v>785.39999999999986</v>
      </c>
      <c r="M408" s="619">
        <v>2</v>
      </c>
      <c r="N408" s="620">
        <v>1570.7999999999997</v>
      </c>
    </row>
    <row r="409" spans="1:14" ht="14.4" customHeight="1" x14ac:dyDescent="0.3">
      <c r="A409" s="615" t="s">
        <v>479</v>
      </c>
      <c r="B409" s="616" t="s">
        <v>2514</v>
      </c>
      <c r="C409" s="617" t="s">
        <v>484</v>
      </c>
      <c r="D409" s="618" t="s">
        <v>2515</v>
      </c>
      <c r="E409" s="617" t="s">
        <v>489</v>
      </c>
      <c r="F409" s="618" t="s">
        <v>2516</v>
      </c>
      <c r="G409" s="617" t="s">
        <v>1836</v>
      </c>
      <c r="H409" s="617" t="s">
        <v>1837</v>
      </c>
      <c r="I409" s="617" t="s">
        <v>1837</v>
      </c>
      <c r="J409" s="617" t="s">
        <v>1838</v>
      </c>
      <c r="K409" s="617" t="s">
        <v>1839</v>
      </c>
      <c r="L409" s="619">
        <v>14.879999999999999</v>
      </c>
      <c r="M409" s="619">
        <v>1</v>
      </c>
      <c r="N409" s="620">
        <v>14.879999999999999</v>
      </c>
    </row>
    <row r="410" spans="1:14" ht="14.4" customHeight="1" x14ac:dyDescent="0.3">
      <c r="A410" s="615" t="s">
        <v>479</v>
      </c>
      <c r="B410" s="616" t="s">
        <v>2514</v>
      </c>
      <c r="C410" s="617" t="s">
        <v>484</v>
      </c>
      <c r="D410" s="618" t="s">
        <v>2515</v>
      </c>
      <c r="E410" s="617" t="s">
        <v>489</v>
      </c>
      <c r="F410" s="618" t="s">
        <v>2516</v>
      </c>
      <c r="G410" s="617" t="s">
        <v>1836</v>
      </c>
      <c r="H410" s="617" t="s">
        <v>1840</v>
      </c>
      <c r="I410" s="617" t="s">
        <v>1841</v>
      </c>
      <c r="J410" s="617" t="s">
        <v>1842</v>
      </c>
      <c r="K410" s="617" t="s">
        <v>1843</v>
      </c>
      <c r="L410" s="619">
        <v>34.749999999999993</v>
      </c>
      <c r="M410" s="619">
        <v>43</v>
      </c>
      <c r="N410" s="620">
        <v>1494.2499999999998</v>
      </c>
    </row>
    <row r="411" spans="1:14" ht="14.4" customHeight="1" x14ac:dyDescent="0.3">
      <c r="A411" s="615" t="s">
        <v>479</v>
      </c>
      <c r="B411" s="616" t="s">
        <v>2514</v>
      </c>
      <c r="C411" s="617" t="s">
        <v>484</v>
      </c>
      <c r="D411" s="618" t="s">
        <v>2515</v>
      </c>
      <c r="E411" s="617" t="s">
        <v>489</v>
      </c>
      <c r="F411" s="618" t="s">
        <v>2516</v>
      </c>
      <c r="G411" s="617" t="s">
        <v>1836</v>
      </c>
      <c r="H411" s="617" t="s">
        <v>1844</v>
      </c>
      <c r="I411" s="617" t="s">
        <v>1845</v>
      </c>
      <c r="J411" s="617" t="s">
        <v>542</v>
      </c>
      <c r="K411" s="617" t="s">
        <v>543</v>
      </c>
      <c r="L411" s="619">
        <v>105.05999999999997</v>
      </c>
      <c r="M411" s="619">
        <v>2</v>
      </c>
      <c r="N411" s="620">
        <v>210.11999999999995</v>
      </c>
    </row>
    <row r="412" spans="1:14" ht="14.4" customHeight="1" x14ac:dyDescent="0.3">
      <c r="A412" s="615" t="s">
        <v>479</v>
      </c>
      <c r="B412" s="616" t="s">
        <v>2514</v>
      </c>
      <c r="C412" s="617" t="s">
        <v>484</v>
      </c>
      <c r="D412" s="618" t="s">
        <v>2515</v>
      </c>
      <c r="E412" s="617" t="s">
        <v>489</v>
      </c>
      <c r="F412" s="618" t="s">
        <v>2516</v>
      </c>
      <c r="G412" s="617" t="s">
        <v>1836</v>
      </c>
      <c r="H412" s="617" t="s">
        <v>1846</v>
      </c>
      <c r="I412" s="617" t="s">
        <v>1847</v>
      </c>
      <c r="J412" s="617" t="s">
        <v>1848</v>
      </c>
      <c r="K412" s="617" t="s">
        <v>1849</v>
      </c>
      <c r="L412" s="619">
        <v>45.19</v>
      </c>
      <c r="M412" s="619">
        <v>1</v>
      </c>
      <c r="N412" s="620">
        <v>45.19</v>
      </c>
    </row>
    <row r="413" spans="1:14" ht="14.4" customHeight="1" x14ac:dyDescent="0.3">
      <c r="A413" s="615" t="s">
        <v>479</v>
      </c>
      <c r="B413" s="616" t="s">
        <v>2514</v>
      </c>
      <c r="C413" s="617" t="s">
        <v>484</v>
      </c>
      <c r="D413" s="618" t="s">
        <v>2515</v>
      </c>
      <c r="E413" s="617" t="s">
        <v>489</v>
      </c>
      <c r="F413" s="618" t="s">
        <v>2516</v>
      </c>
      <c r="G413" s="617" t="s">
        <v>1836</v>
      </c>
      <c r="H413" s="617" t="s">
        <v>1850</v>
      </c>
      <c r="I413" s="617" t="s">
        <v>1851</v>
      </c>
      <c r="J413" s="617" t="s">
        <v>1848</v>
      </c>
      <c r="K413" s="617" t="s">
        <v>1852</v>
      </c>
      <c r="L413" s="619">
        <v>90.380000000000081</v>
      </c>
      <c r="M413" s="619">
        <v>1</v>
      </c>
      <c r="N413" s="620">
        <v>90.380000000000081</v>
      </c>
    </row>
    <row r="414" spans="1:14" ht="14.4" customHeight="1" x14ac:dyDescent="0.3">
      <c r="A414" s="615" t="s">
        <v>479</v>
      </c>
      <c r="B414" s="616" t="s">
        <v>2514</v>
      </c>
      <c r="C414" s="617" t="s">
        <v>484</v>
      </c>
      <c r="D414" s="618" t="s">
        <v>2515</v>
      </c>
      <c r="E414" s="617" t="s">
        <v>489</v>
      </c>
      <c r="F414" s="618" t="s">
        <v>2516</v>
      </c>
      <c r="G414" s="617" t="s">
        <v>1836</v>
      </c>
      <c r="H414" s="617" t="s">
        <v>1853</v>
      </c>
      <c r="I414" s="617" t="s">
        <v>1854</v>
      </c>
      <c r="J414" s="617" t="s">
        <v>1855</v>
      </c>
      <c r="K414" s="617" t="s">
        <v>1856</v>
      </c>
      <c r="L414" s="619">
        <v>98.600000000000023</v>
      </c>
      <c r="M414" s="619">
        <v>1</v>
      </c>
      <c r="N414" s="620">
        <v>98.600000000000023</v>
      </c>
    </row>
    <row r="415" spans="1:14" ht="14.4" customHeight="1" x14ac:dyDescent="0.3">
      <c r="A415" s="615" t="s">
        <v>479</v>
      </c>
      <c r="B415" s="616" t="s">
        <v>2514</v>
      </c>
      <c r="C415" s="617" t="s">
        <v>484</v>
      </c>
      <c r="D415" s="618" t="s">
        <v>2515</v>
      </c>
      <c r="E415" s="617" t="s">
        <v>489</v>
      </c>
      <c r="F415" s="618" t="s">
        <v>2516</v>
      </c>
      <c r="G415" s="617" t="s">
        <v>1836</v>
      </c>
      <c r="H415" s="617" t="s">
        <v>1857</v>
      </c>
      <c r="I415" s="617" t="s">
        <v>1858</v>
      </c>
      <c r="J415" s="617" t="s">
        <v>1859</v>
      </c>
      <c r="K415" s="617" t="s">
        <v>1860</v>
      </c>
      <c r="L415" s="619">
        <v>60.429999999999993</v>
      </c>
      <c r="M415" s="619">
        <v>1</v>
      </c>
      <c r="N415" s="620">
        <v>60.429999999999993</v>
      </c>
    </row>
    <row r="416" spans="1:14" ht="14.4" customHeight="1" x14ac:dyDescent="0.3">
      <c r="A416" s="615" t="s">
        <v>479</v>
      </c>
      <c r="B416" s="616" t="s">
        <v>2514</v>
      </c>
      <c r="C416" s="617" t="s">
        <v>484</v>
      </c>
      <c r="D416" s="618" t="s">
        <v>2515</v>
      </c>
      <c r="E416" s="617" t="s">
        <v>489</v>
      </c>
      <c r="F416" s="618" t="s">
        <v>2516</v>
      </c>
      <c r="G416" s="617" t="s">
        <v>1836</v>
      </c>
      <c r="H416" s="617" t="s">
        <v>1861</v>
      </c>
      <c r="I416" s="617" t="s">
        <v>1862</v>
      </c>
      <c r="J416" s="617" t="s">
        <v>1863</v>
      </c>
      <c r="K416" s="617" t="s">
        <v>1701</v>
      </c>
      <c r="L416" s="619">
        <v>29.300162050858336</v>
      </c>
      <c r="M416" s="619">
        <v>1</v>
      </c>
      <c r="N416" s="620">
        <v>29.300162050858336</v>
      </c>
    </row>
    <row r="417" spans="1:14" ht="14.4" customHeight="1" x14ac:dyDescent="0.3">
      <c r="A417" s="615" t="s">
        <v>479</v>
      </c>
      <c r="B417" s="616" t="s">
        <v>2514</v>
      </c>
      <c r="C417" s="617" t="s">
        <v>484</v>
      </c>
      <c r="D417" s="618" t="s">
        <v>2515</v>
      </c>
      <c r="E417" s="617" t="s">
        <v>489</v>
      </c>
      <c r="F417" s="618" t="s">
        <v>2516</v>
      </c>
      <c r="G417" s="617" t="s">
        <v>1836</v>
      </c>
      <c r="H417" s="617" t="s">
        <v>1864</v>
      </c>
      <c r="I417" s="617" t="s">
        <v>1865</v>
      </c>
      <c r="J417" s="617" t="s">
        <v>1866</v>
      </c>
      <c r="K417" s="617" t="s">
        <v>1867</v>
      </c>
      <c r="L417" s="619">
        <v>54.68</v>
      </c>
      <c r="M417" s="619">
        <v>1</v>
      </c>
      <c r="N417" s="620">
        <v>54.68</v>
      </c>
    </row>
    <row r="418" spans="1:14" ht="14.4" customHeight="1" x14ac:dyDescent="0.3">
      <c r="A418" s="615" t="s">
        <v>479</v>
      </c>
      <c r="B418" s="616" t="s">
        <v>2514</v>
      </c>
      <c r="C418" s="617" t="s">
        <v>484</v>
      </c>
      <c r="D418" s="618" t="s">
        <v>2515</v>
      </c>
      <c r="E418" s="617" t="s">
        <v>489</v>
      </c>
      <c r="F418" s="618" t="s">
        <v>2516</v>
      </c>
      <c r="G418" s="617" t="s">
        <v>1836</v>
      </c>
      <c r="H418" s="617" t="s">
        <v>1868</v>
      </c>
      <c r="I418" s="617" t="s">
        <v>1869</v>
      </c>
      <c r="J418" s="617" t="s">
        <v>1870</v>
      </c>
      <c r="K418" s="617" t="s">
        <v>1871</v>
      </c>
      <c r="L418" s="619">
        <v>46.82</v>
      </c>
      <c r="M418" s="619">
        <v>1</v>
      </c>
      <c r="N418" s="620">
        <v>46.82</v>
      </c>
    </row>
    <row r="419" spans="1:14" ht="14.4" customHeight="1" x14ac:dyDescent="0.3">
      <c r="A419" s="615" t="s">
        <v>479</v>
      </c>
      <c r="B419" s="616" t="s">
        <v>2514</v>
      </c>
      <c r="C419" s="617" t="s">
        <v>484</v>
      </c>
      <c r="D419" s="618" t="s">
        <v>2515</v>
      </c>
      <c r="E419" s="617" t="s">
        <v>489</v>
      </c>
      <c r="F419" s="618" t="s">
        <v>2516</v>
      </c>
      <c r="G419" s="617" t="s">
        <v>1836</v>
      </c>
      <c r="H419" s="617" t="s">
        <v>1872</v>
      </c>
      <c r="I419" s="617" t="s">
        <v>1873</v>
      </c>
      <c r="J419" s="617" t="s">
        <v>1874</v>
      </c>
      <c r="K419" s="617" t="s">
        <v>1875</v>
      </c>
      <c r="L419" s="619">
        <v>44.753332965817712</v>
      </c>
      <c r="M419" s="619">
        <v>3</v>
      </c>
      <c r="N419" s="620">
        <v>134.25999889745313</v>
      </c>
    </row>
    <row r="420" spans="1:14" ht="14.4" customHeight="1" x14ac:dyDescent="0.3">
      <c r="A420" s="615" t="s">
        <v>479</v>
      </c>
      <c r="B420" s="616" t="s">
        <v>2514</v>
      </c>
      <c r="C420" s="617" t="s">
        <v>484</v>
      </c>
      <c r="D420" s="618" t="s">
        <v>2515</v>
      </c>
      <c r="E420" s="617" t="s">
        <v>489</v>
      </c>
      <c r="F420" s="618" t="s">
        <v>2516</v>
      </c>
      <c r="G420" s="617" t="s">
        <v>1836</v>
      </c>
      <c r="H420" s="617" t="s">
        <v>1876</v>
      </c>
      <c r="I420" s="617" t="s">
        <v>1877</v>
      </c>
      <c r="J420" s="617" t="s">
        <v>1878</v>
      </c>
      <c r="K420" s="617" t="s">
        <v>1879</v>
      </c>
      <c r="L420" s="619">
        <v>52.649999999999977</v>
      </c>
      <c r="M420" s="619">
        <v>1</v>
      </c>
      <c r="N420" s="620">
        <v>52.649999999999977</v>
      </c>
    </row>
    <row r="421" spans="1:14" ht="14.4" customHeight="1" x14ac:dyDescent="0.3">
      <c r="A421" s="615" t="s">
        <v>479</v>
      </c>
      <c r="B421" s="616" t="s">
        <v>2514</v>
      </c>
      <c r="C421" s="617" t="s">
        <v>484</v>
      </c>
      <c r="D421" s="618" t="s">
        <v>2515</v>
      </c>
      <c r="E421" s="617" t="s">
        <v>489</v>
      </c>
      <c r="F421" s="618" t="s">
        <v>2516</v>
      </c>
      <c r="G421" s="617" t="s">
        <v>1836</v>
      </c>
      <c r="H421" s="617" t="s">
        <v>1880</v>
      </c>
      <c r="I421" s="617" t="s">
        <v>1881</v>
      </c>
      <c r="J421" s="617" t="s">
        <v>1882</v>
      </c>
      <c r="K421" s="617" t="s">
        <v>1883</v>
      </c>
      <c r="L421" s="619">
        <v>42.96</v>
      </c>
      <c r="M421" s="619">
        <v>2</v>
      </c>
      <c r="N421" s="620">
        <v>85.92</v>
      </c>
    </row>
    <row r="422" spans="1:14" ht="14.4" customHeight="1" x14ac:dyDescent="0.3">
      <c r="A422" s="615" t="s">
        <v>479</v>
      </c>
      <c r="B422" s="616" t="s">
        <v>2514</v>
      </c>
      <c r="C422" s="617" t="s">
        <v>484</v>
      </c>
      <c r="D422" s="618" t="s">
        <v>2515</v>
      </c>
      <c r="E422" s="617" t="s">
        <v>489</v>
      </c>
      <c r="F422" s="618" t="s">
        <v>2516</v>
      </c>
      <c r="G422" s="617" t="s">
        <v>1836</v>
      </c>
      <c r="H422" s="617" t="s">
        <v>1884</v>
      </c>
      <c r="I422" s="617" t="s">
        <v>1885</v>
      </c>
      <c r="J422" s="617" t="s">
        <v>1886</v>
      </c>
      <c r="K422" s="617" t="s">
        <v>1887</v>
      </c>
      <c r="L422" s="619">
        <v>3300</v>
      </c>
      <c r="M422" s="619">
        <v>3</v>
      </c>
      <c r="N422" s="620">
        <v>9900</v>
      </c>
    </row>
    <row r="423" spans="1:14" ht="14.4" customHeight="1" x14ac:dyDescent="0.3">
      <c r="A423" s="615" t="s">
        <v>479</v>
      </c>
      <c r="B423" s="616" t="s">
        <v>2514</v>
      </c>
      <c r="C423" s="617" t="s">
        <v>484</v>
      </c>
      <c r="D423" s="618" t="s">
        <v>2515</v>
      </c>
      <c r="E423" s="617" t="s">
        <v>489</v>
      </c>
      <c r="F423" s="618" t="s">
        <v>2516</v>
      </c>
      <c r="G423" s="617" t="s">
        <v>1836</v>
      </c>
      <c r="H423" s="617" t="s">
        <v>1888</v>
      </c>
      <c r="I423" s="617" t="s">
        <v>1889</v>
      </c>
      <c r="J423" s="617" t="s">
        <v>1890</v>
      </c>
      <c r="K423" s="617" t="s">
        <v>1891</v>
      </c>
      <c r="L423" s="619">
        <v>49.319999999999986</v>
      </c>
      <c r="M423" s="619">
        <v>3</v>
      </c>
      <c r="N423" s="620">
        <v>147.95999999999995</v>
      </c>
    </row>
    <row r="424" spans="1:14" ht="14.4" customHeight="1" x14ac:dyDescent="0.3">
      <c r="A424" s="615" t="s">
        <v>479</v>
      </c>
      <c r="B424" s="616" t="s">
        <v>2514</v>
      </c>
      <c r="C424" s="617" t="s">
        <v>484</v>
      </c>
      <c r="D424" s="618" t="s">
        <v>2515</v>
      </c>
      <c r="E424" s="617" t="s">
        <v>489</v>
      </c>
      <c r="F424" s="618" t="s">
        <v>2516</v>
      </c>
      <c r="G424" s="617" t="s">
        <v>1836</v>
      </c>
      <c r="H424" s="617" t="s">
        <v>1892</v>
      </c>
      <c r="I424" s="617" t="s">
        <v>1893</v>
      </c>
      <c r="J424" s="617" t="s">
        <v>1894</v>
      </c>
      <c r="K424" s="617" t="s">
        <v>718</v>
      </c>
      <c r="L424" s="619">
        <v>36.179999221870716</v>
      </c>
      <c r="M424" s="619">
        <v>2</v>
      </c>
      <c r="N424" s="620">
        <v>72.359998443741432</v>
      </c>
    </row>
    <row r="425" spans="1:14" ht="14.4" customHeight="1" x14ac:dyDescent="0.3">
      <c r="A425" s="615" t="s">
        <v>479</v>
      </c>
      <c r="B425" s="616" t="s">
        <v>2514</v>
      </c>
      <c r="C425" s="617" t="s">
        <v>484</v>
      </c>
      <c r="D425" s="618" t="s">
        <v>2515</v>
      </c>
      <c r="E425" s="617" t="s">
        <v>489</v>
      </c>
      <c r="F425" s="618" t="s">
        <v>2516</v>
      </c>
      <c r="G425" s="617" t="s">
        <v>1836</v>
      </c>
      <c r="H425" s="617" t="s">
        <v>1895</v>
      </c>
      <c r="I425" s="617" t="s">
        <v>1896</v>
      </c>
      <c r="J425" s="617" t="s">
        <v>1897</v>
      </c>
      <c r="K425" s="617" t="s">
        <v>1898</v>
      </c>
      <c r="L425" s="619">
        <v>79.503054864463792</v>
      </c>
      <c r="M425" s="619">
        <v>36</v>
      </c>
      <c r="N425" s="620">
        <v>2862.1099751206966</v>
      </c>
    </row>
    <row r="426" spans="1:14" ht="14.4" customHeight="1" x14ac:dyDescent="0.3">
      <c r="A426" s="615" t="s">
        <v>479</v>
      </c>
      <c r="B426" s="616" t="s">
        <v>2514</v>
      </c>
      <c r="C426" s="617" t="s">
        <v>484</v>
      </c>
      <c r="D426" s="618" t="s">
        <v>2515</v>
      </c>
      <c r="E426" s="617" t="s">
        <v>489</v>
      </c>
      <c r="F426" s="618" t="s">
        <v>2516</v>
      </c>
      <c r="G426" s="617" t="s">
        <v>1836</v>
      </c>
      <c r="H426" s="617" t="s">
        <v>1899</v>
      </c>
      <c r="I426" s="617" t="s">
        <v>1900</v>
      </c>
      <c r="J426" s="617" t="s">
        <v>1901</v>
      </c>
      <c r="K426" s="617" t="s">
        <v>848</v>
      </c>
      <c r="L426" s="619">
        <v>30.232000887467535</v>
      </c>
      <c r="M426" s="619">
        <v>5</v>
      </c>
      <c r="N426" s="620">
        <v>151.16000443733768</v>
      </c>
    </row>
    <row r="427" spans="1:14" ht="14.4" customHeight="1" x14ac:dyDescent="0.3">
      <c r="A427" s="615" t="s">
        <v>479</v>
      </c>
      <c r="B427" s="616" t="s">
        <v>2514</v>
      </c>
      <c r="C427" s="617" t="s">
        <v>484</v>
      </c>
      <c r="D427" s="618" t="s">
        <v>2515</v>
      </c>
      <c r="E427" s="617" t="s">
        <v>489</v>
      </c>
      <c r="F427" s="618" t="s">
        <v>2516</v>
      </c>
      <c r="G427" s="617" t="s">
        <v>1836</v>
      </c>
      <c r="H427" s="617" t="s">
        <v>1902</v>
      </c>
      <c r="I427" s="617" t="s">
        <v>1903</v>
      </c>
      <c r="J427" s="617" t="s">
        <v>1904</v>
      </c>
      <c r="K427" s="617" t="s">
        <v>1905</v>
      </c>
      <c r="L427" s="619">
        <v>414.79</v>
      </c>
      <c r="M427" s="619">
        <v>1</v>
      </c>
      <c r="N427" s="620">
        <v>414.79</v>
      </c>
    </row>
    <row r="428" spans="1:14" ht="14.4" customHeight="1" x14ac:dyDescent="0.3">
      <c r="A428" s="615" t="s">
        <v>479</v>
      </c>
      <c r="B428" s="616" t="s">
        <v>2514</v>
      </c>
      <c r="C428" s="617" t="s">
        <v>484</v>
      </c>
      <c r="D428" s="618" t="s">
        <v>2515</v>
      </c>
      <c r="E428" s="617" t="s">
        <v>489</v>
      </c>
      <c r="F428" s="618" t="s">
        <v>2516</v>
      </c>
      <c r="G428" s="617" t="s">
        <v>1836</v>
      </c>
      <c r="H428" s="617" t="s">
        <v>1906</v>
      </c>
      <c r="I428" s="617" t="s">
        <v>1907</v>
      </c>
      <c r="J428" s="617" t="s">
        <v>1908</v>
      </c>
      <c r="K428" s="617" t="s">
        <v>1909</v>
      </c>
      <c r="L428" s="619">
        <v>322.48999999999995</v>
      </c>
      <c r="M428" s="619">
        <v>2</v>
      </c>
      <c r="N428" s="620">
        <v>644.9799999999999</v>
      </c>
    </row>
    <row r="429" spans="1:14" ht="14.4" customHeight="1" x14ac:dyDescent="0.3">
      <c r="A429" s="615" t="s">
        <v>479</v>
      </c>
      <c r="B429" s="616" t="s">
        <v>2514</v>
      </c>
      <c r="C429" s="617" t="s">
        <v>484</v>
      </c>
      <c r="D429" s="618" t="s">
        <v>2515</v>
      </c>
      <c r="E429" s="617" t="s">
        <v>489</v>
      </c>
      <c r="F429" s="618" t="s">
        <v>2516</v>
      </c>
      <c r="G429" s="617" t="s">
        <v>1836</v>
      </c>
      <c r="H429" s="617" t="s">
        <v>1910</v>
      </c>
      <c r="I429" s="617" t="s">
        <v>1911</v>
      </c>
      <c r="J429" s="617" t="s">
        <v>1912</v>
      </c>
      <c r="K429" s="617" t="s">
        <v>534</v>
      </c>
      <c r="L429" s="619">
        <v>46.99000000000003</v>
      </c>
      <c r="M429" s="619">
        <v>1</v>
      </c>
      <c r="N429" s="620">
        <v>46.99000000000003</v>
      </c>
    </row>
    <row r="430" spans="1:14" ht="14.4" customHeight="1" x14ac:dyDescent="0.3">
      <c r="A430" s="615" t="s">
        <v>479</v>
      </c>
      <c r="B430" s="616" t="s">
        <v>2514</v>
      </c>
      <c r="C430" s="617" t="s">
        <v>484</v>
      </c>
      <c r="D430" s="618" t="s">
        <v>2515</v>
      </c>
      <c r="E430" s="617" t="s">
        <v>489</v>
      </c>
      <c r="F430" s="618" t="s">
        <v>2516</v>
      </c>
      <c r="G430" s="617" t="s">
        <v>1836</v>
      </c>
      <c r="H430" s="617" t="s">
        <v>1913</v>
      </c>
      <c r="I430" s="617" t="s">
        <v>1914</v>
      </c>
      <c r="J430" s="617" t="s">
        <v>1915</v>
      </c>
      <c r="K430" s="617" t="s">
        <v>1916</v>
      </c>
      <c r="L430" s="619">
        <v>61.009999999999991</v>
      </c>
      <c r="M430" s="619">
        <v>3</v>
      </c>
      <c r="N430" s="620">
        <v>183.02999999999997</v>
      </c>
    </row>
    <row r="431" spans="1:14" ht="14.4" customHeight="1" x14ac:dyDescent="0.3">
      <c r="A431" s="615" t="s">
        <v>479</v>
      </c>
      <c r="B431" s="616" t="s">
        <v>2514</v>
      </c>
      <c r="C431" s="617" t="s">
        <v>484</v>
      </c>
      <c r="D431" s="618" t="s">
        <v>2515</v>
      </c>
      <c r="E431" s="617" t="s">
        <v>489</v>
      </c>
      <c r="F431" s="618" t="s">
        <v>2516</v>
      </c>
      <c r="G431" s="617" t="s">
        <v>1836</v>
      </c>
      <c r="H431" s="617" t="s">
        <v>1917</v>
      </c>
      <c r="I431" s="617" t="s">
        <v>1918</v>
      </c>
      <c r="J431" s="617" t="s">
        <v>1919</v>
      </c>
      <c r="K431" s="617" t="s">
        <v>1875</v>
      </c>
      <c r="L431" s="619">
        <v>86.555000000000035</v>
      </c>
      <c r="M431" s="619">
        <v>4</v>
      </c>
      <c r="N431" s="620">
        <v>346.22000000000014</v>
      </c>
    </row>
    <row r="432" spans="1:14" ht="14.4" customHeight="1" x14ac:dyDescent="0.3">
      <c r="A432" s="615" t="s">
        <v>479</v>
      </c>
      <c r="B432" s="616" t="s">
        <v>2514</v>
      </c>
      <c r="C432" s="617" t="s">
        <v>484</v>
      </c>
      <c r="D432" s="618" t="s">
        <v>2515</v>
      </c>
      <c r="E432" s="617" t="s">
        <v>489</v>
      </c>
      <c r="F432" s="618" t="s">
        <v>2516</v>
      </c>
      <c r="G432" s="617" t="s">
        <v>1836</v>
      </c>
      <c r="H432" s="617" t="s">
        <v>1920</v>
      </c>
      <c r="I432" s="617" t="s">
        <v>1921</v>
      </c>
      <c r="J432" s="617" t="s">
        <v>1922</v>
      </c>
      <c r="K432" s="617" t="s">
        <v>1879</v>
      </c>
      <c r="L432" s="619">
        <v>162.79</v>
      </c>
      <c r="M432" s="619">
        <v>3</v>
      </c>
      <c r="N432" s="620">
        <v>488.37</v>
      </c>
    </row>
    <row r="433" spans="1:14" ht="14.4" customHeight="1" x14ac:dyDescent="0.3">
      <c r="A433" s="615" t="s">
        <v>479</v>
      </c>
      <c r="B433" s="616" t="s">
        <v>2514</v>
      </c>
      <c r="C433" s="617" t="s">
        <v>484</v>
      </c>
      <c r="D433" s="618" t="s">
        <v>2515</v>
      </c>
      <c r="E433" s="617" t="s">
        <v>489</v>
      </c>
      <c r="F433" s="618" t="s">
        <v>2516</v>
      </c>
      <c r="G433" s="617" t="s">
        <v>1836</v>
      </c>
      <c r="H433" s="617" t="s">
        <v>1923</v>
      </c>
      <c r="I433" s="617" t="s">
        <v>1924</v>
      </c>
      <c r="J433" s="617" t="s">
        <v>1919</v>
      </c>
      <c r="K433" s="617" t="s">
        <v>1925</v>
      </c>
      <c r="L433" s="619">
        <v>222.43</v>
      </c>
      <c r="M433" s="619">
        <v>1</v>
      </c>
      <c r="N433" s="620">
        <v>222.43</v>
      </c>
    </row>
    <row r="434" spans="1:14" ht="14.4" customHeight="1" x14ac:dyDescent="0.3">
      <c r="A434" s="615" t="s">
        <v>479</v>
      </c>
      <c r="B434" s="616" t="s">
        <v>2514</v>
      </c>
      <c r="C434" s="617" t="s">
        <v>484</v>
      </c>
      <c r="D434" s="618" t="s">
        <v>2515</v>
      </c>
      <c r="E434" s="617" t="s">
        <v>489</v>
      </c>
      <c r="F434" s="618" t="s">
        <v>2516</v>
      </c>
      <c r="G434" s="617" t="s">
        <v>1836</v>
      </c>
      <c r="H434" s="617" t="s">
        <v>1926</v>
      </c>
      <c r="I434" s="617" t="s">
        <v>1927</v>
      </c>
      <c r="J434" s="617" t="s">
        <v>1848</v>
      </c>
      <c r="K434" s="617" t="s">
        <v>1928</v>
      </c>
      <c r="L434" s="619">
        <v>129.329823187127</v>
      </c>
      <c r="M434" s="619">
        <v>130</v>
      </c>
      <c r="N434" s="620">
        <v>16812.87701432651</v>
      </c>
    </row>
    <row r="435" spans="1:14" ht="14.4" customHeight="1" x14ac:dyDescent="0.3">
      <c r="A435" s="615" t="s">
        <v>479</v>
      </c>
      <c r="B435" s="616" t="s">
        <v>2514</v>
      </c>
      <c r="C435" s="617" t="s">
        <v>484</v>
      </c>
      <c r="D435" s="618" t="s">
        <v>2515</v>
      </c>
      <c r="E435" s="617" t="s">
        <v>489</v>
      </c>
      <c r="F435" s="618" t="s">
        <v>2516</v>
      </c>
      <c r="G435" s="617" t="s">
        <v>1836</v>
      </c>
      <c r="H435" s="617" t="s">
        <v>1929</v>
      </c>
      <c r="I435" s="617" t="s">
        <v>1930</v>
      </c>
      <c r="J435" s="617" t="s">
        <v>1931</v>
      </c>
      <c r="K435" s="617" t="s">
        <v>1932</v>
      </c>
      <c r="L435" s="619">
        <v>13.880000000000003</v>
      </c>
      <c r="M435" s="619">
        <v>2</v>
      </c>
      <c r="N435" s="620">
        <v>27.760000000000005</v>
      </c>
    </row>
    <row r="436" spans="1:14" ht="14.4" customHeight="1" x14ac:dyDescent="0.3">
      <c r="A436" s="615" t="s">
        <v>479</v>
      </c>
      <c r="B436" s="616" t="s">
        <v>2514</v>
      </c>
      <c r="C436" s="617" t="s">
        <v>484</v>
      </c>
      <c r="D436" s="618" t="s">
        <v>2515</v>
      </c>
      <c r="E436" s="617" t="s">
        <v>489</v>
      </c>
      <c r="F436" s="618" t="s">
        <v>2516</v>
      </c>
      <c r="G436" s="617" t="s">
        <v>1836</v>
      </c>
      <c r="H436" s="617" t="s">
        <v>1933</v>
      </c>
      <c r="I436" s="617" t="s">
        <v>1934</v>
      </c>
      <c r="J436" s="617" t="s">
        <v>1935</v>
      </c>
      <c r="K436" s="617" t="s">
        <v>1701</v>
      </c>
      <c r="L436" s="619">
        <v>182.93000000000006</v>
      </c>
      <c r="M436" s="619">
        <v>1</v>
      </c>
      <c r="N436" s="620">
        <v>182.93000000000006</v>
      </c>
    </row>
    <row r="437" spans="1:14" ht="14.4" customHeight="1" x14ac:dyDescent="0.3">
      <c r="A437" s="615" t="s">
        <v>479</v>
      </c>
      <c r="B437" s="616" t="s">
        <v>2514</v>
      </c>
      <c r="C437" s="617" t="s">
        <v>484</v>
      </c>
      <c r="D437" s="618" t="s">
        <v>2515</v>
      </c>
      <c r="E437" s="617" t="s">
        <v>489</v>
      </c>
      <c r="F437" s="618" t="s">
        <v>2516</v>
      </c>
      <c r="G437" s="617" t="s">
        <v>1836</v>
      </c>
      <c r="H437" s="617" t="s">
        <v>1936</v>
      </c>
      <c r="I437" s="617" t="s">
        <v>1937</v>
      </c>
      <c r="J437" s="617" t="s">
        <v>1938</v>
      </c>
      <c r="K437" s="617" t="s">
        <v>1939</v>
      </c>
      <c r="L437" s="619">
        <v>44.12</v>
      </c>
      <c r="M437" s="619">
        <v>1</v>
      </c>
      <c r="N437" s="620">
        <v>44.12</v>
      </c>
    </row>
    <row r="438" spans="1:14" ht="14.4" customHeight="1" x14ac:dyDescent="0.3">
      <c r="A438" s="615" t="s">
        <v>479</v>
      </c>
      <c r="B438" s="616" t="s">
        <v>2514</v>
      </c>
      <c r="C438" s="617" t="s">
        <v>484</v>
      </c>
      <c r="D438" s="618" t="s">
        <v>2515</v>
      </c>
      <c r="E438" s="617" t="s">
        <v>489</v>
      </c>
      <c r="F438" s="618" t="s">
        <v>2516</v>
      </c>
      <c r="G438" s="617" t="s">
        <v>1836</v>
      </c>
      <c r="H438" s="617" t="s">
        <v>1940</v>
      </c>
      <c r="I438" s="617" t="s">
        <v>1941</v>
      </c>
      <c r="J438" s="617" t="s">
        <v>1942</v>
      </c>
      <c r="K438" s="617" t="s">
        <v>1943</v>
      </c>
      <c r="L438" s="619">
        <v>79.059999999999988</v>
      </c>
      <c r="M438" s="619">
        <v>2</v>
      </c>
      <c r="N438" s="620">
        <v>158.11999999999998</v>
      </c>
    </row>
    <row r="439" spans="1:14" ht="14.4" customHeight="1" x14ac:dyDescent="0.3">
      <c r="A439" s="615" t="s">
        <v>479</v>
      </c>
      <c r="B439" s="616" t="s">
        <v>2514</v>
      </c>
      <c r="C439" s="617" t="s">
        <v>484</v>
      </c>
      <c r="D439" s="618" t="s">
        <v>2515</v>
      </c>
      <c r="E439" s="617" t="s">
        <v>489</v>
      </c>
      <c r="F439" s="618" t="s">
        <v>2516</v>
      </c>
      <c r="G439" s="617" t="s">
        <v>1836</v>
      </c>
      <c r="H439" s="617" t="s">
        <v>1944</v>
      </c>
      <c r="I439" s="617" t="s">
        <v>1945</v>
      </c>
      <c r="J439" s="617" t="s">
        <v>1946</v>
      </c>
      <c r="K439" s="617" t="s">
        <v>1947</v>
      </c>
      <c r="L439" s="619">
        <v>20.059999730681835</v>
      </c>
      <c r="M439" s="619">
        <v>3</v>
      </c>
      <c r="N439" s="620">
        <v>60.1799991920455</v>
      </c>
    </row>
    <row r="440" spans="1:14" ht="14.4" customHeight="1" x14ac:dyDescent="0.3">
      <c r="A440" s="615" t="s">
        <v>479</v>
      </c>
      <c r="B440" s="616" t="s">
        <v>2514</v>
      </c>
      <c r="C440" s="617" t="s">
        <v>484</v>
      </c>
      <c r="D440" s="618" t="s">
        <v>2515</v>
      </c>
      <c r="E440" s="617" t="s">
        <v>489</v>
      </c>
      <c r="F440" s="618" t="s">
        <v>2516</v>
      </c>
      <c r="G440" s="617" t="s">
        <v>1836</v>
      </c>
      <c r="H440" s="617" t="s">
        <v>1948</v>
      </c>
      <c r="I440" s="617" t="s">
        <v>1949</v>
      </c>
      <c r="J440" s="617" t="s">
        <v>1950</v>
      </c>
      <c r="K440" s="617" t="s">
        <v>1419</v>
      </c>
      <c r="L440" s="619">
        <v>450.12439890023967</v>
      </c>
      <c r="M440" s="619">
        <v>57</v>
      </c>
      <c r="N440" s="620">
        <v>25657.090737313662</v>
      </c>
    </row>
    <row r="441" spans="1:14" ht="14.4" customHeight="1" x14ac:dyDescent="0.3">
      <c r="A441" s="615" t="s">
        <v>479</v>
      </c>
      <c r="B441" s="616" t="s">
        <v>2514</v>
      </c>
      <c r="C441" s="617" t="s">
        <v>484</v>
      </c>
      <c r="D441" s="618" t="s">
        <v>2515</v>
      </c>
      <c r="E441" s="617" t="s">
        <v>489</v>
      </c>
      <c r="F441" s="618" t="s">
        <v>2516</v>
      </c>
      <c r="G441" s="617" t="s">
        <v>1836</v>
      </c>
      <c r="H441" s="617" t="s">
        <v>1951</v>
      </c>
      <c r="I441" s="617" t="s">
        <v>1952</v>
      </c>
      <c r="J441" s="617" t="s">
        <v>1953</v>
      </c>
      <c r="K441" s="617" t="s">
        <v>1954</v>
      </c>
      <c r="L441" s="619">
        <v>50.17</v>
      </c>
      <c r="M441" s="619">
        <v>1</v>
      </c>
      <c r="N441" s="620">
        <v>50.17</v>
      </c>
    </row>
    <row r="442" spans="1:14" ht="14.4" customHeight="1" x14ac:dyDescent="0.3">
      <c r="A442" s="615" t="s">
        <v>479</v>
      </c>
      <c r="B442" s="616" t="s">
        <v>2514</v>
      </c>
      <c r="C442" s="617" t="s">
        <v>484</v>
      </c>
      <c r="D442" s="618" t="s">
        <v>2515</v>
      </c>
      <c r="E442" s="617" t="s">
        <v>489</v>
      </c>
      <c r="F442" s="618" t="s">
        <v>2516</v>
      </c>
      <c r="G442" s="617" t="s">
        <v>1836</v>
      </c>
      <c r="H442" s="617" t="s">
        <v>1955</v>
      </c>
      <c r="I442" s="617" t="s">
        <v>1956</v>
      </c>
      <c r="J442" s="617" t="s">
        <v>1957</v>
      </c>
      <c r="K442" s="617" t="s">
        <v>1958</v>
      </c>
      <c r="L442" s="619">
        <v>122.63999999999999</v>
      </c>
      <c r="M442" s="619">
        <v>1</v>
      </c>
      <c r="N442" s="620">
        <v>122.63999999999999</v>
      </c>
    </row>
    <row r="443" spans="1:14" ht="14.4" customHeight="1" x14ac:dyDescent="0.3">
      <c r="A443" s="615" t="s">
        <v>479</v>
      </c>
      <c r="B443" s="616" t="s">
        <v>2514</v>
      </c>
      <c r="C443" s="617" t="s">
        <v>484</v>
      </c>
      <c r="D443" s="618" t="s">
        <v>2515</v>
      </c>
      <c r="E443" s="617" t="s">
        <v>489</v>
      </c>
      <c r="F443" s="618" t="s">
        <v>2516</v>
      </c>
      <c r="G443" s="617" t="s">
        <v>1836</v>
      </c>
      <c r="H443" s="617" t="s">
        <v>1959</v>
      </c>
      <c r="I443" s="617" t="s">
        <v>1960</v>
      </c>
      <c r="J443" s="617" t="s">
        <v>1961</v>
      </c>
      <c r="K443" s="617" t="s">
        <v>1962</v>
      </c>
      <c r="L443" s="619">
        <v>90.660068026075919</v>
      </c>
      <c r="M443" s="619">
        <v>3</v>
      </c>
      <c r="N443" s="620">
        <v>271.98020407822776</v>
      </c>
    </row>
    <row r="444" spans="1:14" ht="14.4" customHeight="1" x14ac:dyDescent="0.3">
      <c r="A444" s="615" t="s">
        <v>479</v>
      </c>
      <c r="B444" s="616" t="s">
        <v>2514</v>
      </c>
      <c r="C444" s="617" t="s">
        <v>484</v>
      </c>
      <c r="D444" s="618" t="s">
        <v>2515</v>
      </c>
      <c r="E444" s="617" t="s">
        <v>489</v>
      </c>
      <c r="F444" s="618" t="s">
        <v>2516</v>
      </c>
      <c r="G444" s="617" t="s">
        <v>1836</v>
      </c>
      <c r="H444" s="617" t="s">
        <v>1963</v>
      </c>
      <c r="I444" s="617" t="s">
        <v>1964</v>
      </c>
      <c r="J444" s="617" t="s">
        <v>1965</v>
      </c>
      <c r="K444" s="617" t="s">
        <v>1966</v>
      </c>
      <c r="L444" s="619">
        <v>135.77999999999997</v>
      </c>
      <c r="M444" s="619">
        <v>1</v>
      </c>
      <c r="N444" s="620">
        <v>135.77999999999997</v>
      </c>
    </row>
    <row r="445" spans="1:14" ht="14.4" customHeight="1" x14ac:dyDescent="0.3">
      <c r="A445" s="615" t="s">
        <v>479</v>
      </c>
      <c r="B445" s="616" t="s">
        <v>2514</v>
      </c>
      <c r="C445" s="617" t="s">
        <v>484</v>
      </c>
      <c r="D445" s="618" t="s">
        <v>2515</v>
      </c>
      <c r="E445" s="617" t="s">
        <v>489</v>
      </c>
      <c r="F445" s="618" t="s">
        <v>2516</v>
      </c>
      <c r="G445" s="617" t="s">
        <v>1836</v>
      </c>
      <c r="H445" s="617" t="s">
        <v>1967</v>
      </c>
      <c r="I445" s="617" t="s">
        <v>1968</v>
      </c>
      <c r="J445" s="617" t="s">
        <v>1969</v>
      </c>
      <c r="K445" s="617" t="s">
        <v>1970</v>
      </c>
      <c r="L445" s="619">
        <v>14.400017429774863</v>
      </c>
      <c r="M445" s="619">
        <v>1</v>
      </c>
      <c r="N445" s="620">
        <v>14.400017429774863</v>
      </c>
    </row>
    <row r="446" spans="1:14" ht="14.4" customHeight="1" x14ac:dyDescent="0.3">
      <c r="A446" s="615" t="s">
        <v>479</v>
      </c>
      <c r="B446" s="616" t="s">
        <v>2514</v>
      </c>
      <c r="C446" s="617" t="s">
        <v>484</v>
      </c>
      <c r="D446" s="618" t="s">
        <v>2515</v>
      </c>
      <c r="E446" s="617" t="s">
        <v>489</v>
      </c>
      <c r="F446" s="618" t="s">
        <v>2516</v>
      </c>
      <c r="G446" s="617" t="s">
        <v>1836</v>
      </c>
      <c r="H446" s="617" t="s">
        <v>1971</v>
      </c>
      <c r="I446" s="617" t="s">
        <v>1972</v>
      </c>
      <c r="J446" s="617" t="s">
        <v>1973</v>
      </c>
      <c r="K446" s="617" t="s">
        <v>1879</v>
      </c>
      <c r="L446" s="619">
        <v>75.91</v>
      </c>
      <c r="M446" s="619">
        <v>1</v>
      </c>
      <c r="N446" s="620">
        <v>75.91</v>
      </c>
    </row>
    <row r="447" spans="1:14" ht="14.4" customHeight="1" x14ac:dyDescent="0.3">
      <c r="A447" s="615" t="s">
        <v>479</v>
      </c>
      <c r="B447" s="616" t="s">
        <v>2514</v>
      </c>
      <c r="C447" s="617" t="s">
        <v>484</v>
      </c>
      <c r="D447" s="618" t="s">
        <v>2515</v>
      </c>
      <c r="E447" s="617" t="s">
        <v>489</v>
      </c>
      <c r="F447" s="618" t="s">
        <v>2516</v>
      </c>
      <c r="G447" s="617" t="s">
        <v>1836</v>
      </c>
      <c r="H447" s="617" t="s">
        <v>1974</v>
      </c>
      <c r="I447" s="617" t="s">
        <v>1975</v>
      </c>
      <c r="J447" s="617" t="s">
        <v>1976</v>
      </c>
      <c r="K447" s="617" t="s">
        <v>1879</v>
      </c>
      <c r="L447" s="619">
        <v>71.170000000000016</v>
      </c>
      <c r="M447" s="619">
        <v>1</v>
      </c>
      <c r="N447" s="620">
        <v>71.170000000000016</v>
      </c>
    </row>
    <row r="448" spans="1:14" ht="14.4" customHeight="1" x14ac:dyDescent="0.3">
      <c r="A448" s="615" t="s">
        <v>479</v>
      </c>
      <c r="B448" s="616" t="s">
        <v>2514</v>
      </c>
      <c r="C448" s="617" t="s">
        <v>484</v>
      </c>
      <c r="D448" s="618" t="s">
        <v>2515</v>
      </c>
      <c r="E448" s="617" t="s">
        <v>489</v>
      </c>
      <c r="F448" s="618" t="s">
        <v>2516</v>
      </c>
      <c r="G448" s="617" t="s">
        <v>1836</v>
      </c>
      <c r="H448" s="617" t="s">
        <v>1977</v>
      </c>
      <c r="I448" s="617" t="s">
        <v>1978</v>
      </c>
      <c r="J448" s="617" t="s">
        <v>1979</v>
      </c>
      <c r="K448" s="617" t="s">
        <v>1980</v>
      </c>
      <c r="L448" s="619">
        <v>0</v>
      </c>
      <c r="M448" s="619">
        <v>0</v>
      </c>
      <c r="N448" s="620">
        <v>2.2737367544323206E-13</v>
      </c>
    </row>
    <row r="449" spans="1:14" ht="14.4" customHeight="1" x14ac:dyDescent="0.3">
      <c r="A449" s="615" t="s">
        <v>479</v>
      </c>
      <c r="B449" s="616" t="s">
        <v>2514</v>
      </c>
      <c r="C449" s="617" t="s">
        <v>484</v>
      </c>
      <c r="D449" s="618" t="s">
        <v>2515</v>
      </c>
      <c r="E449" s="617" t="s">
        <v>489</v>
      </c>
      <c r="F449" s="618" t="s">
        <v>2516</v>
      </c>
      <c r="G449" s="617" t="s">
        <v>1836</v>
      </c>
      <c r="H449" s="617" t="s">
        <v>1981</v>
      </c>
      <c r="I449" s="617" t="s">
        <v>1982</v>
      </c>
      <c r="J449" s="617" t="s">
        <v>1983</v>
      </c>
      <c r="K449" s="617" t="s">
        <v>1984</v>
      </c>
      <c r="L449" s="619">
        <v>185.16000000000005</v>
      </c>
      <c r="M449" s="619">
        <v>1</v>
      </c>
      <c r="N449" s="620">
        <v>185.16000000000005</v>
      </c>
    </row>
    <row r="450" spans="1:14" ht="14.4" customHeight="1" x14ac:dyDescent="0.3">
      <c r="A450" s="615" t="s">
        <v>479</v>
      </c>
      <c r="B450" s="616" t="s">
        <v>2514</v>
      </c>
      <c r="C450" s="617" t="s">
        <v>484</v>
      </c>
      <c r="D450" s="618" t="s">
        <v>2515</v>
      </c>
      <c r="E450" s="617" t="s">
        <v>489</v>
      </c>
      <c r="F450" s="618" t="s">
        <v>2516</v>
      </c>
      <c r="G450" s="617" t="s">
        <v>1836</v>
      </c>
      <c r="H450" s="617" t="s">
        <v>1985</v>
      </c>
      <c r="I450" s="617" t="s">
        <v>1986</v>
      </c>
      <c r="J450" s="617" t="s">
        <v>1987</v>
      </c>
      <c r="K450" s="617" t="s">
        <v>1925</v>
      </c>
      <c r="L450" s="619">
        <v>155.51999999999998</v>
      </c>
      <c r="M450" s="619">
        <v>2</v>
      </c>
      <c r="N450" s="620">
        <v>311.03999999999996</v>
      </c>
    </row>
    <row r="451" spans="1:14" ht="14.4" customHeight="1" x14ac:dyDescent="0.3">
      <c r="A451" s="615" t="s">
        <v>479</v>
      </c>
      <c r="B451" s="616" t="s">
        <v>2514</v>
      </c>
      <c r="C451" s="617" t="s">
        <v>484</v>
      </c>
      <c r="D451" s="618" t="s">
        <v>2515</v>
      </c>
      <c r="E451" s="617" t="s">
        <v>489</v>
      </c>
      <c r="F451" s="618" t="s">
        <v>2516</v>
      </c>
      <c r="G451" s="617" t="s">
        <v>1836</v>
      </c>
      <c r="H451" s="617" t="s">
        <v>1988</v>
      </c>
      <c r="I451" s="617" t="s">
        <v>1989</v>
      </c>
      <c r="J451" s="617" t="s">
        <v>1890</v>
      </c>
      <c r="K451" s="617" t="s">
        <v>1665</v>
      </c>
      <c r="L451" s="619">
        <v>98.650000000000034</v>
      </c>
      <c r="M451" s="619">
        <v>1</v>
      </c>
      <c r="N451" s="620">
        <v>98.650000000000034</v>
      </c>
    </row>
    <row r="452" spans="1:14" ht="14.4" customHeight="1" x14ac:dyDescent="0.3">
      <c r="A452" s="615" t="s">
        <v>479</v>
      </c>
      <c r="B452" s="616" t="s">
        <v>2514</v>
      </c>
      <c r="C452" s="617" t="s">
        <v>484</v>
      </c>
      <c r="D452" s="618" t="s">
        <v>2515</v>
      </c>
      <c r="E452" s="617" t="s">
        <v>489</v>
      </c>
      <c r="F452" s="618" t="s">
        <v>2516</v>
      </c>
      <c r="G452" s="617" t="s">
        <v>1836</v>
      </c>
      <c r="H452" s="617" t="s">
        <v>1990</v>
      </c>
      <c r="I452" s="617" t="s">
        <v>1991</v>
      </c>
      <c r="J452" s="617" t="s">
        <v>1992</v>
      </c>
      <c r="K452" s="617" t="s">
        <v>1993</v>
      </c>
      <c r="L452" s="619">
        <v>73.958656969829022</v>
      </c>
      <c r="M452" s="619">
        <v>1</v>
      </c>
      <c r="N452" s="620">
        <v>73.958656969829022</v>
      </c>
    </row>
    <row r="453" spans="1:14" ht="14.4" customHeight="1" x14ac:dyDescent="0.3">
      <c r="A453" s="615" t="s">
        <v>479</v>
      </c>
      <c r="B453" s="616" t="s">
        <v>2514</v>
      </c>
      <c r="C453" s="617" t="s">
        <v>484</v>
      </c>
      <c r="D453" s="618" t="s">
        <v>2515</v>
      </c>
      <c r="E453" s="617" t="s">
        <v>489</v>
      </c>
      <c r="F453" s="618" t="s">
        <v>2516</v>
      </c>
      <c r="G453" s="617" t="s">
        <v>1836</v>
      </c>
      <c r="H453" s="617" t="s">
        <v>1994</v>
      </c>
      <c r="I453" s="617" t="s">
        <v>1995</v>
      </c>
      <c r="J453" s="617" t="s">
        <v>1912</v>
      </c>
      <c r="K453" s="617" t="s">
        <v>1996</v>
      </c>
      <c r="L453" s="619">
        <v>61.659999999999989</v>
      </c>
      <c r="M453" s="619">
        <v>3</v>
      </c>
      <c r="N453" s="620">
        <v>184.97999999999996</v>
      </c>
    </row>
    <row r="454" spans="1:14" ht="14.4" customHeight="1" x14ac:dyDescent="0.3">
      <c r="A454" s="615" t="s">
        <v>479</v>
      </c>
      <c r="B454" s="616" t="s">
        <v>2514</v>
      </c>
      <c r="C454" s="617" t="s">
        <v>484</v>
      </c>
      <c r="D454" s="618" t="s">
        <v>2515</v>
      </c>
      <c r="E454" s="617" t="s">
        <v>489</v>
      </c>
      <c r="F454" s="618" t="s">
        <v>2516</v>
      </c>
      <c r="G454" s="617" t="s">
        <v>1836</v>
      </c>
      <c r="H454" s="617" t="s">
        <v>1997</v>
      </c>
      <c r="I454" s="617" t="s">
        <v>1998</v>
      </c>
      <c r="J454" s="617" t="s">
        <v>1922</v>
      </c>
      <c r="K454" s="617" t="s">
        <v>1999</v>
      </c>
      <c r="L454" s="619">
        <v>368.25</v>
      </c>
      <c r="M454" s="619">
        <v>1</v>
      </c>
      <c r="N454" s="620">
        <v>368.25</v>
      </c>
    </row>
    <row r="455" spans="1:14" ht="14.4" customHeight="1" x14ac:dyDescent="0.3">
      <c r="A455" s="615" t="s">
        <v>479</v>
      </c>
      <c r="B455" s="616" t="s">
        <v>2514</v>
      </c>
      <c r="C455" s="617" t="s">
        <v>484</v>
      </c>
      <c r="D455" s="618" t="s">
        <v>2515</v>
      </c>
      <c r="E455" s="617" t="s">
        <v>489</v>
      </c>
      <c r="F455" s="618" t="s">
        <v>2516</v>
      </c>
      <c r="G455" s="617" t="s">
        <v>1836</v>
      </c>
      <c r="H455" s="617" t="s">
        <v>2000</v>
      </c>
      <c r="I455" s="617" t="s">
        <v>2001</v>
      </c>
      <c r="J455" s="617" t="s">
        <v>2002</v>
      </c>
      <c r="K455" s="617" t="s">
        <v>2003</v>
      </c>
      <c r="L455" s="619">
        <v>174.61</v>
      </c>
      <c r="M455" s="619">
        <v>1</v>
      </c>
      <c r="N455" s="620">
        <v>174.61</v>
      </c>
    </row>
    <row r="456" spans="1:14" ht="14.4" customHeight="1" x14ac:dyDescent="0.3">
      <c r="A456" s="615" t="s">
        <v>479</v>
      </c>
      <c r="B456" s="616" t="s">
        <v>2514</v>
      </c>
      <c r="C456" s="617" t="s">
        <v>484</v>
      </c>
      <c r="D456" s="618" t="s">
        <v>2515</v>
      </c>
      <c r="E456" s="617" t="s">
        <v>489</v>
      </c>
      <c r="F456" s="618" t="s">
        <v>2516</v>
      </c>
      <c r="G456" s="617" t="s">
        <v>1836</v>
      </c>
      <c r="H456" s="617" t="s">
        <v>2004</v>
      </c>
      <c r="I456" s="617" t="s">
        <v>2005</v>
      </c>
      <c r="J456" s="617" t="s">
        <v>1866</v>
      </c>
      <c r="K456" s="617" t="s">
        <v>2006</v>
      </c>
      <c r="L456" s="619">
        <v>50.683030950570462</v>
      </c>
      <c r="M456" s="619">
        <v>6</v>
      </c>
      <c r="N456" s="620">
        <v>304.09818570342276</v>
      </c>
    </row>
    <row r="457" spans="1:14" ht="14.4" customHeight="1" x14ac:dyDescent="0.3">
      <c r="A457" s="615" t="s">
        <v>479</v>
      </c>
      <c r="B457" s="616" t="s">
        <v>2514</v>
      </c>
      <c r="C457" s="617" t="s">
        <v>484</v>
      </c>
      <c r="D457" s="618" t="s">
        <v>2515</v>
      </c>
      <c r="E457" s="617" t="s">
        <v>489</v>
      </c>
      <c r="F457" s="618" t="s">
        <v>2516</v>
      </c>
      <c r="G457" s="617" t="s">
        <v>1836</v>
      </c>
      <c r="H457" s="617" t="s">
        <v>2007</v>
      </c>
      <c r="I457" s="617" t="s">
        <v>2008</v>
      </c>
      <c r="J457" s="617" t="s">
        <v>1904</v>
      </c>
      <c r="K457" s="617" t="s">
        <v>2009</v>
      </c>
      <c r="L457" s="619">
        <v>80.52</v>
      </c>
      <c r="M457" s="619">
        <v>1</v>
      </c>
      <c r="N457" s="620">
        <v>80.52</v>
      </c>
    </row>
    <row r="458" spans="1:14" ht="14.4" customHeight="1" x14ac:dyDescent="0.3">
      <c r="A458" s="615" t="s">
        <v>479</v>
      </c>
      <c r="B458" s="616" t="s">
        <v>2514</v>
      </c>
      <c r="C458" s="617" t="s">
        <v>484</v>
      </c>
      <c r="D458" s="618" t="s">
        <v>2515</v>
      </c>
      <c r="E458" s="617" t="s">
        <v>489</v>
      </c>
      <c r="F458" s="618" t="s">
        <v>2516</v>
      </c>
      <c r="G458" s="617" t="s">
        <v>1836</v>
      </c>
      <c r="H458" s="617" t="s">
        <v>2010</v>
      </c>
      <c r="I458" s="617" t="s">
        <v>2011</v>
      </c>
      <c r="J458" s="617" t="s">
        <v>2012</v>
      </c>
      <c r="K458" s="617" t="s">
        <v>2013</v>
      </c>
      <c r="L458" s="619">
        <v>126.88885111231643</v>
      </c>
      <c r="M458" s="619">
        <v>1</v>
      </c>
      <c r="N458" s="620">
        <v>126.88885111231643</v>
      </c>
    </row>
    <row r="459" spans="1:14" ht="14.4" customHeight="1" x14ac:dyDescent="0.3">
      <c r="A459" s="615" t="s">
        <v>479</v>
      </c>
      <c r="B459" s="616" t="s">
        <v>2514</v>
      </c>
      <c r="C459" s="617" t="s">
        <v>484</v>
      </c>
      <c r="D459" s="618" t="s">
        <v>2515</v>
      </c>
      <c r="E459" s="617" t="s">
        <v>489</v>
      </c>
      <c r="F459" s="618" t="s">
        <v>2516</v>
      </c>
      <c r="G459" s="617" t="s">
        <v>1836</v>
      </c>
      <c r="H459" s="617" t="s">
        <v>2014</v>
      </c>
      <c r="I459" s="617" t="s">
        <v>2015</v>
      </c>
      <c r="J459" s="617" t="s">
        <v>2016</v>
      </c>
      <c r="K459" s="617" t="s">
        <v>787</v>
      </c>
      <c r="L459" s="619">
        <v>213.24</v>
      </c>
      <c r="M459" s="619">
        <v>1</v>
      </c>
      <c r="N459" s="620">
        <v>213.24</v>
      </c>
    </row>
    <row r="460" spans="1:14" ht="14.4" customHeight="1" x14ac:dyDescent="0.3">
      <c r="A460" s="615" t="s">
        <v>479</v>
      </c>
      <c r="B460" s="616" t="s">
        <v>2514</v>
      </c>
      <c r="C460" s="617" t="s">
        <v>484</v>
      </c>
      <c r="D460" s="618" t="s">
        <v>2515</v>
      </c>
      <c r="E460" s="617" t="s">
        <v>489</v>
      </c>
      <c r="F460" s="618" t="s">
        <v>2516</v>
      </c>
      <c r="G460" s="617" t="s">
        <v>1836</v>
      </c>
      <c r="H460" s="617" t="s">
        <v>2017</v>
      </c>
      <c r="I460" s="617" t="s">
        <v>2017</v>
      </c>
      <c r="J460" s="617" t="s">
        <v>2018</v>
      </c>
      <c r="K460" s="617" t="s">
        <v>1218</v>
      </c>
      <c r="L460" s="619">
        <v>135.64316860865983</v>
      </c>
      <c r="M460" s="619">
        <v>3</v>
      </c>
      <c r="N460" s="620">
        <v>406.9295058259795</v>
      </c>
    </row>
    <row r="461" spans="1:14" ht="14.4" customHeight="1" x14ac:dyDescent="0.3">
      <c r="A461" s="615" t="s">
        <v>479</v>
      </c>
      <c r="B461" s="616" t="s">
        <v>2514</v>
      </c>
      <c r="C461" s="617" t="s">
        <v>484</v>
      </c>
      <c r="D461" s="618" t="s">
        <v>2515</v>
      </c>
      <c r="E461" s="617" t="s">
        <v>489</v>
      </c>
      <c r="F461" s="618" t="s">
        <v>2516</v>
      </c>
      <c r="G461" s="617" t="s">
        <v>1836</v>
      </c>
      <c r="H461" s="617" t="s">
        <v>2019</v>
      </c>
      <c r="I461" s="617" t="s">
        <v>2020</v>
      </c>
      <c r="J461" s="617" t="s">
        <v>2021</v>
      </c>
      <c r="K461" s="617" t="s">
        <v>2022</v>
      </c>
      <c r="L461" s="619">
        <v>1374.9999896306554</v>
      </c>
      <c r="M461" s="619">
        <v>100</v>
      </c>
      <c r="N461" s="620">
        <v>137499.99896306553</v>
      </c>
    </row>
    <row r="462" spans="1:14" ht="14.4" customHeight="1" x14ac:dyDescent="0.3">
      <c r="A462" s="615" t="s">
        <v>479</v>
      </c>
      <c r="B462" s="616" t="s">
        <v>2514</v>
      </c>
      <c r="C462" s="617" t="s">
        <v>484</v>
      </c>
      <c r="D462" s="618" t="s">
        <v>2515</v>
      </c>
      <c r="E462" s="617" t="s">
        <v>489</v>
      </c>
      <c r="F462" s="618" t="s">
        <v>2516</v>
      </c>
      <c r="G462" s="617" t="s">
        <v>1836</v>
      </c>
      <c r="H462" s="617" t="s">
        <v>2023</v>
      </c>
      <c r="I462" s="617" t="s">
        <v>2023</v>
      </c>
      <c r="J462" s="617" t="s">
        <v>2024</v>
      </c>
      <c r="K462" s="617" t="s">
        <v>2025</v>
      </c>
      <c r="L462" s="619">
        <v>115.22999999999996</v>
      </c>
      <c r="M462" s="619">
        <v>1</v>
      </c>
      <c r="N462" s="620">
        <v>115.22999999999996</v>
      </c>
    </row>
    <row r="463" spans="1:14" ht="14.4" customHeight="1" x14ac:dyDescent="0.3">
      <c r="A463" s="615" t="s">
        <v>479</v>
      </c>
      <c r="B463" s="616" t="s">
        <v>2514</v>
      </c>
      <c r="C463" s="617" t="s">
        <v>484</v>
      </c>
      <c r="D463" s="618" t="s">
        <v>2515</v>
      </c>
      <c r="E463" s="617" t="s">
        <v>489</v>
      </c>
      <c r="F463" s="618" t="s">
        <v>2516</v>
      </c>
      <c r="G463" s="617" t="s">
        <v>1836</v>
      </c>
      <c r="H463" s="617" t="s">
        <v>2026</v>
      </c>
      <c r="I463" s="617" t="s">
        <v>2026</v>
      </c>
      <c r="J463" s="617" t="s">
        <v>2027</v>
      </c>
      <c r="K463" s="617" t="s">
        <v>2028</v>
      </c>
      <c r="L463" s="619">
        <v>251.98</v>
      </c>
      <c r="M463" s="619">
        <v>3</v>
      </c>
      <c r="N463" s="620">
        <v>755.93999999999994</v>
      </c>
    </row>
    <row r="464" spans="1:14" ht="14.4" customHeight="1" x14ac:dyDescent="0.3">
      <c r="A464" s="615" t="s">
        <v>479</v>
      </c>
      <c r="B464" s="616" t="s">
        <v>2514</v>
      </c>
      <c r="C464" s="617" t="s">
        <v>484</v>
      </c>
      <c r="D464" s="618" t="s">
        <v>2515</v>
      </c>
      <c r="E464" s="617" t="s">
        <v>489</v>
      </c>
      <c r="F464" s="618" t="s">
        <v>2516</v>
      </c>
      <c r="G464" s="617" t="s">
        <v>1836</v>
      </c>
      <c r="H464" s="617" t="s">
        <v>2029</v>
      </c>
      <c r="I464" s="617" t="s">
        <v>2030</v>
      </c>
      <c r="J464" s="617" t="s">
        <v>2031</v>
      </c>
      <c r="K464" s="617" t="s">
        <v>2032</v>
      </c>
      <c r="L464" s="619">
        <v>690.42003663505295</v>
      </c>
      <c r="M464" s="619">
        <v>94</v>
      </c>
      <c r="N464" s="620">
        <v>64899.483443694975</v>
      </c>
    </row>
    <row r="465" spans="1:14" ht="14.4" customHeight="1" x14ac:dyDescent="0.3">
      <c r="A465" s="615" t="s">
        <v>479</v>
      </c>
      <c r="B465" s="616" t="s">
        <v>2514</v>
      </c>
      <c r="C465" s="617" t="s">
        <v>484</v>
      </c>
      <c r="D465" s="618" t="s">
        <v>2515</v>
      </c>
      <c r="E465" s="617" t="s">
        <v>489</v>
      </c>
      <c r="F465" s="618" t="s">
        <v>2516</v>
      </c>
      <c r="G465" s="617" t="s">
        <v>1836</v>
      </c>
      <c r="H465" s="617" t="s">
        <v>2033</v>
      </c>
      <c r="I465" s="617" t="s">
        <v>2034</v>
      </c>
      <c r="J465" s="617" t="s">
        <v>2035</v>
      </c>
      <c r="K465" s="617" t="s">
        <v>2036</v>
      </c>
      <c r="L465" s="619">
        <v>960.25000000000011</v>
      </c>
      <c r="M465" s="619">
        <v>13</v>
      </c>
      <c r="N465" s="620">
        <v>12483.250000000002</v>
      </c>
    </row>
    <row r="466" spans="1:14" ht="14.4" customHeight="1" x14ac:dyDescent="0.3">
      <c r="A466" s="615" t="s">
        <v>479</v>
      </c>
      <c r="B466" s="616" t="s">
        <v>2514</v>
      </c>
      <c r="C466" s="617" t="s">
        <v>484</v>
      </c>
      <c r="D466" s="618" t="s">
        <v>2515</v>
      </c>
      <c r="E466" s="617" t="s">
        <v>489</v>
      </c>
      <c r="F466" s="618" t="s">
        <v>2516</v>
      </c>
      <c r="G466" s="617" t="s">
        <v>1836</v>
      </c>
      <c r="H466" s="617" t="s">
        <v>2037</v>
      </c>
      <c r="I466" s="617" t="s">
        <v>2037</v>
      </c>
      <c r="J466" s="617" t="s">
        <v>2038</v>
      </c>
      <c r="K466" s="617" t="s">
        <v>2039</v>
      </c>
      <c r="L466" s="619">
        <v>330.98988392952174</v>
      </c>
      <c r="M466" s="619">
        <v>2</v>
      </c>
      <c r="N466" s="620">
        <v>661.97976785904348</v>
      </c>
    </row>
    <row r="467" spans="1:14" ht="14.4" customHeight="1" x14ac:dyDescent="0.3">
      <c r="A467" s="615" t="s">
        <v>479</v>
      </c>
      <c r="B467" s="616" t="s">
        <v>2514</v>
      </c>
      <c r="C467" s="617" t="s">
        <v>484</v>
      </c>
      <c r="D467" s="618" t="s">
        <v>2515</v>
      </c>
      <c r="E467" s="617" t="s">
        <v>489</v>
      </c>
      <c r="F467" s="618" t="s">
        <v>2516</v>
      </c>
      <c r="G467" s="617" t="s">
        <v>1836</v>
      </c>
      <c r="H467" s="617" t="s">
        <v>2040</v>
      </c>
      <c r="I467" s="617" t="s">
        <v>2041</v>
      </c>
      <c r="J467" s="617" t="s">
        <v>2042</v>
      </c>
      <c r="K467" s="617" t="s">
        <v>2043</v>
      </c>
      <c r="L467" s="619">
        <v>64.92</v>
      </c>
      <c r="M467" s="619">
        <v>1</v>
      </c>
      <c r="N467" s="620">
        <v>64.92</v>
      </c>
    </row>
    <row r="468" spans="1:14" ht="14.4" customHeight="1" x14ac:dyDescent="0.3">
      <c r="A468" s="615" t="s">
        <v>479</v>
      </c>
      <c r="B468" s="616" t="s">
        <v>2514</v>
      </c>
      <c r="C468" s="617" t="s">
        <v>484</v>
      </c>
      <c r="D468" s="618" t="s">
        <v>2515</v>
      </c>
      <c r="E468" s="617" t="s">
        <v>489</v>
      </c>
      <c r="F468" s="618" t="s">
        <v>2516</v>
      </c>
      <c r="G468" s="617" t="s">
        <v>1836</v>
      </c>
      <c r="H468" s="617" t="s">
        <v>2044</v>
      </c>
      <c r="I468" s="617" t="s">
        <v>2044</v>
      </c>
      <c r="J468" s="617" t="s">
        <v>2045</v>
      </c>
      <c r="K468" s="617" t="s">
        <v>2046</v>
      </c>
      <c r="L468" s="619">
        <v>680.1</v>
      </c>
      <c r="M468" s="619">
        <v>1</v>
      </c>
      <c r="N468" s="620">
        <v>680.1</v>
      </c>
    </row>
    <row r="469" spans="1:14" ht="14.4" customHeight="1" x14ac:dyDescent="0.3">
      <c r="A469" s="615" t="s">
        <v>479</v>
      </c>
      <c r="B469" s="616" t="s">
        <v>2514</v>
      </c>
      <c r="C469" s="617" t="s">
        <v>484</v>
      </c>
      <c r="D469" s="618" t="s">
        <v>2515</v>
      </c>
      <c r="E469" s="617" t="s">
        <v>489</v>
      </c>
      <c r="F469" s="618" t="s">
        <v>2516</v>
      </c>
      <c r="G469" s="617" t="s">
        <v>1836</v>
      </c>
      <c r="H469" s="617" t="s">
        <v>2047</v>
      </c>
      <c r="I469" s="617" t="s">
        <v>2048</v>
      </c>
      <c r="J469" s="617" t="s">
        <v>2049</v>
      </c>
      <c r="K469" s="617" t="s">
        <v>2050</v>
      </c>
      <c r="L469" s="619">
        <v>54.780000000000015</v>
      </c>
      <c r="M469" s="619">
        <v>1</v>
      </c>
      <c r="N469" s="620">
        <v>54.780000000000015</v>
      </c>
    </row>
    <row r="470" spans="1:14" ht="14.4" customHeight="1" x14ac:dyDescent="0.3">
      <c r="A470" s="615" t="s">
        <v>479</v>
      </c>
      <c r="B470" s="616" t="s">
        <v>2514</v>
      </c>
      <c r="C470" s="617" t="s">
        <v>484</v>
      </c>
      <c r="D470" s="618" t="s">
        <v>2515</v>
      </c>
      <c r="E470" s="617" t="s">
        <v>489</v>
      </c>
      <c r="F470" s="618" t="s">
        <v>2516</v>
      </c>
      <c r="G470" s="617" t="s">
        <v>1836</v>
      </c>
      <c r="H470" s="617" t="s">
        <v>2051</v>
      </c>
      <c r="I470" s="617" t="s">
        <v>2051</v>
      </c>
      <c r="J470" s="617" t="s">
        <v>2052</v>
      </c>
      <c r="K470" s="617" t="s">
        <v>2053</v>
      </c>
      <c r="L470" s="619">
        <v>950.72889483155063</v>
      </c>
      <c r="M470" s="619">
        <v>2</v>
      </c>
      <c r="N470" s="620">
        <v>1901.4577896631013</v>
      </c>
    </row>
    <row r="471" spans="1:14" ht="14.4" customHeight="1" x14ac:dyDescent="0.3">
      <c r="A471" s="615" t="s">
        <v>479</v>
      </c>
      <c r="B471" s="616" t="s">
        <v>2514</v>
      </c>
      <c r="C471" s="617" t="s">
        <v>484</v>
      </c>
      <c r="D471" s="618" t="s">
        <v>2515</v>
      </c>
      <c r="E471" s="617" t="s">
        <v>489</v>
      </c>
      <c r="F471" s="618" t="s">
        <v>2516</v>
      </c>
      <c r="G471" s="617" t="s">
        <v>1836</v>
      </c>
      <c r="H471" s="617" t="s">
        <v>2054</v>
      </c>
      <c r="I471" s="617" t="s">
        <v>2055</v>
      </c>
      <c r="J471" s="617" t="s">
        <v>2056</v>
      </c>
      <c r="K471" s="617" t="s">
        <v>2057</v>
      </c>
      <c r="L471" s="619">
        <v>70.039999999999935</v>
      </c>
      <c r="M471" s="619">
        <v>1</v>
      </c>
      <c r="N471" s="620">
        <v>70.039999999999935</v>
      </c>
    </row>
    <row r="472" spans="1:14" ht="14.4" customHeight="1" x14ac:dyDescent="0.3">
      <c r="A472" s="615" t="s">
        <v>479</v>
      </c>
      <c r="B472" s="616" t="s">
        <v>2514</v>
      </c>
      <c r="C472" s="617" t="s">
        <v>484</v>
      </c>
      <c r="D472" s="618" t="s">
        <v>2515</v>
      </c>
      <c r="E472" s="617" t="s">
        <v>489</v>
      </c>
      <c r="F472" s="618" t="s">
        <v>2516</v>
      </c>
      <c r="G472" s="617" t="s">
        <v>1836</v>
      </c>
      <c r="H472" s="617" t="s">
        <v>2058</v>
      </c>
      <c r="I472" s="617" t="s">
        <v>2058</v>
      </c>
      <c r="J472" s="617" t="s">
        <v>2059</v>
      </c>
      <c r="K472" s="617" t="s">
        <v>2060</v>
      </c>
      <c r="L472" s="619">
        <v>773.31</v>
      </c>
      <c r="M472" s="619">
        <v>1</v>
      </c>
      <c r="N472" s="620">
        <v>773.31</v>
      </c>
    </row>
    <row r="473" spans="1:14" ht="14.4" customHeight="1" x14ac:dyDescent="0.3">
      <c r="A473" s="615" t="s">
        <v>479</v>
      </c>
      <c r="B473" s="616" t="s">
        <v>2514</v>
      </c>
      <c r="C473" s="617" t="s">
        <v>484</v>
      </c>
      <c r="D473" s="618" t="s">
        <v>2515</v>
      </c>
      <c r="E473" s="617" t="s">
        <v>489</v>
      </c>
      <c r="F473" s="618" t="s">
        <v>2516</v>
      </c>
      <c r="G473" s="617" t="s">
        <v>1836</v>
      </c>
      <c r="H473" s="617" t="s">
        <v>2061</v>
      </c>
      <c r="I473" s="617" t="s">
        <v>2061</v>
      </c>
      <c r="J473" s="617" t="s">
        <v>2062</v>
      </c>
      <c r="K473" s="617" t="s">
        <v>2063</v>
      </c>
      <c r="L473" s="619">
        <v>48.82988733587856</v>
      </c>
      <c r="M473" s="619">
        <v>3</v>
      </c>
      <c r="N473" s="620">
        <v>146.48966200763567</v>
      </c>
    </row>
    <row r="474" spans="1:14" ht="14.4" customHeight="1" x14ac:dyDescent="0.3">
      <c r="A474" s="615" t="s">
        <v>479</v>
      </c>
      <c r="B474" s="616" t="s">
        <v>2514</v>
      </c>
      <c r="C474" s="617" t="s">
        <v>484</v>
      </c>
      <c r="D474" s="618" t="s">
        <v>2515</v>
      </c>
      <c r="E474" s="617" t="s">
        <v>489</v>
      </c>
      <c r="F474" s="618" t="s">
        <v>2516</v>
      </c>
      <c r="G474" s="617" t="s">
        <v>1836</v>
      </c>
      <c r="H474" s="617" t="s">
        <v>2064</v>
      </c>
      <c r="I474" s="617" t="s">
        <v>2064</v>
      </c>
      <c r="J474" s="617" t="s">
        <v>2065</v>
      </c>
      <c r="K474" s="617" t="s">
        <v>2066</v>
      </c>
      <c r="L474" s="619">
        <v>670.67000000000019</v>
      </c>
      <c r="M474" s="619">
        <v>1</v>
      </c>
      <c r="N474" s="620">
        <v>670.67000000000019</v>
      </c>
    </row>
    <row r="475" spans="1:14" ht="14.4" customHeight="1" x14ac:dyDescent="0.3">
      <c r="A475" s="615" t="s">
        <v>479</v>
      </c>
      <c r="B475" s="616" t="s">
        <v>2514</v>
      </c>
      <c r="C475" s="617" t="s">
        <v>484</v>
      </c>
      <c r="D475" s="618" t="s">
        <v>2515</v>
      </c>
      <c r="E475" s="617" t="s">
        <v>489</v>
      </c>
      <c r="F475" s="618" t="s">
        <v>2516</v>
      </c>
      <c r="G475" s="617" t="s">
        <v>1836</v>
      </c>
      <c r="H475" s="617" t="s">
        <v>2067</v>
      </c>
      <c r="I475" s="617" t="s">
        <v>2067</v>
      </c>
      <c r="J475" s="617" t="s">
        <v>2068</v>
      </c>
      <c r="K475" s="617" t="s">
        <v>2069</v>
      </c>
      <c r="L475" s="619">
        <v>93.410000000000053</v>
      </c>
      <c r="M475" s="619">
        <v>2</v>
      </c>
      <c r="N475" s="620">
        <v>186.82000000000011</v>
      </c>
    </row>
    <row r="476" spans="1:14" ht="14.4" customHeight="1" x14ac:dyDescent="0.3">
      <c r="A476" s="615" t="s">
        <v>479</v>
      </c>
      <c r="B476" s="616" t="s">
        <v>2514</v>
      </c>
      <c r="C476" s="617" t="s">
        <v>484</v>
      </c>
      <c r="D476" s="618" t="s">
        <v>2515</v>
      </c>
      <c r="E476" s="617" t="s">
        <v>489</v>
      </c>
      <c r="F476" s="618" t="s">
        <v>2516</v>
      </c>
      <c r="G476" s="617" t="s">
        <v>1836</v>
      </c>
      <c r="H476" s="617" t="s">
        <v>2070</v>
      </c>
      <c r="I476" s="617" t="s">
        <v>2070</v>
      </c>
      <c r="J476" s="617" t="s">
        <v>2071</v>
      </c>
      <c r="K476" s="617" t="s">
        <v>2072</v>
      </c>
      <c r="L476" s="619">
        <v>113.05000000000007</v>
      </c>
      <c r="M476" s="619">
        <v>2</v>
      </c>
      <c r="N476" s="620">
        <v>226.10000000000014</v>
      </c>
    </row>
    <row r="477" spans="1:14" ht="14.4" customHeight="1" x14ac:dyDescent="0.3">
      <c r="A477" s="615" t="s">
        <v>479</v>
      </c>
      <c r="B477" s="616" t="s">
        <v>2514</v>
      </c>
      <c r="C477" s="617" t="s">
        <v>484</v>
      </c>
      <c r="D477" s="618" t="s">
        <v>2515</v>
      </c>
      <c r="E477" s="617" t="s">
        <v>489</v>
      </c>
      <c r="F477" s="618" t="s">
        <v>2516</v>
      </c>
      <c r="G477" s="617" t="s">
        <v>1836</v>
      </c>
      <c r="H477" s="617" t="s">
        <v>2073</v>
      </c>
      <c r="I477" s="617" t="s">
        <v>2073</v>
      </c>
      <c r="J477" s="617" t="s">
        <v>2074</v>
      </c>
      <c r="K477" s="617" t="s">
        <v>2075</v>
      </c>
      <c r="L477" s="619">
        <v>273.89999999999998</v>
      </c>
      <c r="M477" s="619">
        <v>7</v>
      </c>
      <c r="N477" s="620">
        <v>1917.3</v>
      </c>
    </row>
    <row r="478" spans="1:14" ht="14.4" customHeight="1" x14ac:dyDescent="0.3">
      <c r="A478" s="615" t="s">
        <v>479</v>
      </c>
      <c r="B478" s="616" t="s">
        <v>2514</v>
      </c>
      <c r="C478" s="617" t="s">
        <v>484</v>
      </c>
      <c r="D478" s="618" t="s">
        <v>2515</v>
      </c>
      <c r="E478" s="617" t="s">
        <v>489</v>
      </c>
      <c r="F478" s="618" t="s">
        <v>2516</v>
      </c>
      <c r="G478" s="617" t="s">
        <v>1836</v>
      </c>
      <c r="H478" s="617" t="s">
        <v>2076</v>
      </c>
      <c r="I478" s="617" t="s">
        <v>2076</v>
      </c>
      <c r="J478" s="617" t="s">
        <v>2077</v>
      </c>
      <c r="K478" s="617" t="s">
        <v>2078</v>
      </c>
      <c r="L478" s="619">
        <v>1106.26</v>
      </c>
      <c r="M478" s="619">
        <v>1</v>
      </c>
      <c r="N478" s="620">
        <v>1106.26</v>
      </c>
    </row>
    <row r="479" spans="1:14" ht="14.4" customHeight="1" x14ac:dyDescent="0.3">
      <c r="A479" s="615" t="s">
        <v>479</v>
      </c>
      <c r="B479" s="616" t="s">
        <v>2514</v>
      </c>
      <c r="C479" s="617" t="s">
        <v>484</v>
      </c>
      <c r="D479" s="618" t="s">
        <v>2515</v>
      </c>
      <c r="E479" s="617" t="s">
        <v>489</v>
      </c>
      <c r="F479" s="618" t="s">
        <v>2516</v>
      </c>
      <c r="G479" s="617" t="s">
        <v>1836</v>
      </c>
      <c r="H479" s="617" t="s">
        <v>2079</v>
      </c>
      <c r="I479" s="617" t="s">
        <v>2079</v>
      </c>
      <c r="J479" s="617" t="s">
        <v>1886</v>
      </c>
      <c r="K479" s="617" t="s">
        <v>1887</v>
      </c>
      <c r="L479" s="619">
        <v>3299.9994637695177</v>
      </c>
      <c r="M479" s="619">
        <v>31</v>
      </c>
      <c r="N479" s="620">
        <v>102299.98337685505</v>
      </c>
    </row>
    <row r="480" spans="1:14" ht="14.4" customHeight="1" x14ac:dyDescent="0.3">
      <c r="A480" s="615" t="s">
        <v>479</v>
      </c>
      <c r="B480" s="616" t="s">
        <v>2514</v>
      </c>
      <c r="C480" s="617" t="s">
        <v>484</v>
      </c>
      <c r="D480" s="618" t="s">
        <v>2515</v>
      </c>
      <c r="E480" s="617" t="s">
        <v>489</v>
      </c>
      <c r="F480" s="618" t="s">
        <v>2516</v>
      </c>
      <c r="G480" s="617" t="s">
        <v>1836</v>
      </c>
      <c r="H480" s="617" t="s">
        <v>2080</v>
      </c>
      <c r="I480" s="617" t="s">
        <v>2080</v>
      </c>
      <c r="J480" s="617" t="s">
        <v>2081</v>
      </c>
      <c r="K480" s="617" t="s">
        <v>2082</v>
      </c>
      <c r="L480" s="619">
        <v>408.94846053152173</v>
      </c>
      <c r="M480" s="619">
        <v>25</v>
      </c>
      <c r="N480" s="620">
        <v>10223.711513288043</v>
      </c>
    </row>
    <row r="481" spans="1:14" ht="14.4" customHeight="1" x14ac:dyDescent="0.3">
      <c r="A481" s="615" t="s">
        <v>479</v>
      </c>
      <c r="B481" s="616" t="s">
        <v>2514</v>
      </c>
      <c r="C481" s="617" t="s">
        <v>484</v>
      </c>
      <c r="D481" s="618" t="s">
        <v>2515</v>
      </c>
      <c r="E481" s="617" t="s">
        <v>489</v>
      </c>
      <c r="F481" s="618" t="s">
        <v>2516</v>
      </c>
      <c r="G481" s="617" t="s">
        <v>1836</v>
      </c>
      <c r="H481" s="617" t="s">
        <v>2083</v>
      </c>
      <c r="I481" s="617" t="s">
        <v>2083</v>
      </c>
      <c r="J481" s="617" t="s">
        <v>2084</v>
      </c>
      <c r="K481" s="617" t="s">
        <v>2085</v>
      </c>
      <c r="L481" s="619">
        <v>67.80684869754738</v>
      </c>
      <c r="M481" s="619">
        <v>2820</v>
      </c>
      <c r="N481" s="620">
        <v>191215.3133270836</v>
      </c>
    </row>
    <row r="482" spans="1:14" ht="14.4" customHeight="1" x14ac:dyDescent="0.3">
      <c r="A482" s="615" t="s">
        <v>479</v>
      </c>
      <c r="B482" s="616" t="s">
        <v>2514</v>
      </c>
      <c r="C482" s="617" t="s">
        <v>484</v>
      </c>
      <c r="D482" s="618" t="s">
        <v>2515</v>
      </c>
      <c r="E482" s="617" t="s">
        <v>489</v>
      </c>
      <c r="F482" s="618" t="s">
        <v>2516</v>
      </c>
      <c r="G482" s="617" t="s">
        <v>1836</v>
      </c>
      <c r="H482" s="617" t="s">
        <v>2086</v>
      </c>
      <c r="I482" s="617" t="s">
        <v>2086</v>
      </c>
      <c r="J482" s="617" t="s">
        <v>2081</v>
      </c>
      <c r="K482" s="617" t="s">
        <v>2087</v>
      </c>
      <c r="L482" s="619">
        <v>301.47000000000003</v>
      </c>
      <c r="M482" s="619">
        <v>10</v>
      </c>
      <c r="N482" s="620">
        <v>3014.7000000000003</v>
      </c>
    </row>
    <row r="483" spans="1:14" ht="14.4" customHeight="1" x14ac:dyDescent="0.3">
      <c r="A483" s="615" t="s">
        <v>479</v>
      </c>
      <c r="B483" s="616" t="s">
        <v>2514</v>
      </c>
      <c r="C483" s="617" t="s">
        <v>484</v>
      </c>
      <c r="D483" s="618" t="s">
        <v>2515</v>
      </c>
      <c r="E483" s="617" t="s">
        <v>489</v>
      </c>
      <c r="F483" s="618" t="s">
        <v>2516</v>
      </c>
      <c r="G483" s="617" t="s">
        <v>1836</v>
      </c>
      <c r="H483" s="617" t="s">
        <v>2088</v>
      </c>
      <c r="I483" s="617" t="s">
        <v>2088</v>
      </c>
      <c r="J483" s="617" t="s">
        <v>2081</v>
      </c>
      <c r="K483" s="617" t="s">
        <v>2078</v>
      </c>
      <c r="L483" s="619">
        <v>630.66</v>
      </c>
      <c r="M483" s="619">
        <v>9</v>
      </c>
      <c r="N483" s="620">
        <v>5675.94</v>
      </c>
    </row>
    <row r="484" spans="1:14" ht="14.4" customHeight="1" x14ac:dyDescent="0.3">
      <c r="A484" s="615" t="s">
        <v>479</v>
      </c>
      <c r="B484" s="616" t="s">
        <v>2514</v>
      </c>
      <c r="C484" s="617" t="s">
        <v>484</v>
      </c>
      <c r="D484" s="618" t="s">
        <v>2515</v>
      </c>
      <c r="E484" s="617" t="s">
        <v>489</v>
      </c>
      <c r="F484" s="618" t="s">
        <v>2516</v>
      </c>
      <c r="G484" s="617" t="s">
        <v>1836</v>
      </c>
      <c r="H484" s="617" t="s">
        <v>2089</v>
      </c>
      <c r="I484" s="617" t="s">
        <v>2089</v>
      </c>
      <c r="J484" s="617" t="s">
        <v>1866</v>
      </c>
      <c r="K484" s="617" t="s">
        <v>1867</v>
      </c>
      <c r="L484" s="619">
        <v>161.69</v>
      </c>
      <c r="M484" s="619">
        <v>1</v>
      </c>
      <c r="N484" s="620">
        <v>161.69</v>
      </c>
    </row>
    <row r="485" spans="1:14" ht="14.4" customHeight="1" x14ac:dyDescent="0.3">
      <c r="A485" s="615" t="s">
        <v>479</v>
      </c>
      <c r="B485" s="616" t="s">
        <v>2514</v>
      </c>
      <c r="C485" s="617" t="s">
        <v>484</v>
      </c>
      <c r="D485" s="618" t="s">
        <v>2515</v>
      </c>
      <c r="E485" s="617" t="s">
        <v>489</v>
      </c>
      <c r="F485" s="618" t="s">
        <v>2516</v>
      </c>
      <c r="G485" s="617" t="s">
        <v>1836</v>
      </c>
      <c r="H485" s="617" t="s">
        <v>2090</v>
      </c>
      <c r="I485" s="617" t="s">
        <v>2090</v>
      </c>
      <c r="J485" s="617" t="s">
        <v>2091</v>
      </c>
      <c r="K485" s="617" t="s">
        <v>2092</v>
      </c>
      <c r="L485" s="619">
        <v>154.30999999999997</v>
      </c>
      <c r="M485" s="619">
        <v>1</v>
      </c>
      <c r="N485" s="620">
        <v>154.30999999999997</v>
      </c>
    </row>
    <row r="486" spans="1:14" ht="14.4" customHeight="1" x14ac:dyDescent="0.3">
      <c r="A486" s="615" t="s">
        <v>479</v>
      </c>
      <c r="B486" s="616" t="s">
        <v>2514</v>
      </c>
      <c r="C486" s="617" t="s">
        <v>484</v>
      </c>
      <c r="D486" s="618" t="s">
        <v>2515</v>
      </c>
      <c r="E486" s="617" t="s">
        <v>489</v>
      </c>
      <c r="F486" s="618" t="s">
        <v>2516</v>
      </c>
      <c r="G486" s="617" t="s">
        <v>1836</v>
      </c>
      <c r="H486" s="617" t="s">
        <v>2093</v>
      </c>
      <c r="I486" s="617" t="s">
        <v>2093</v>
      </c>
      <c r="J486" s="617" t="s">
        <v>2094</v>
      </c>
      <c r="K486" s="617" t="s">
        <v>2095</v>
      </c>
      <c r="L486" s="619">
        <v>63.036047439885884</v>
      </c>
      <c r="M486" s="619">
        <v>10</v>
      </c>
      <c r="N486" s="620">
        <v>630.36047439885886</v>
      </c>
    </row>
    <row r="487" spans="1:14" ht="14.4" customHeight="1" x14ac:dyDescent="0.3">
      <c r="A487" s="615" t="s">
        <v>479</v>
      </c>
      <c r="B487" s="616" t="s">
        <v>2514</v>
      </c>
      <c r="C487" s="617" t="s">
        <v>484</v>
      </c>
      <c r="D487" s="618" t="s">
        <v>2515</v>
      </c>
      <c r="E487" s="617" t="s">
        <v>489</v>
      </c>
      <c r="F487" s="618" t="s">
        <v>2516</v>
      </c>
      <c r="G487" s="617" t="s">
        <v>1836</v>
      </c>
      <c r="H487" s="617" t="s">
        <v>2096</v>
      </c>
      <c r="I487" s="617" t="s">
        <v>2096</v>
      </c>
      <c r="J487" s="617" t="s">
        <v>2097</v>
      </c>
      <c r="K487" s="617" t="s">
        <v>1218</v>
      </c>
      <c r="L487" s="619">
        <v>214.09053147016326</v>
      </c>
      <c r="M487" s="619">
        <v>1</v>
      </c>
      <c r="N487" s="620">
        <v>214.09053147016326</v>
      </c>
    </row>
    <row r="488" spans="1:14" ht="14.4" customHeight="1" x14ac:dyDescent="0.3">
      <c r="A488" s="615" t="s">
        <v>479</v>
      </c>
      <c r="B488" s="616" t="s">
        <v>2514</v>
      </c>
      <c r="C488" s="617" t="s">
        <v>484</v>
      </c>
      <c r="D488" s="618" t="s">
        <v>2515</v>
      </c>
      <c r="E488" s="617" t="s">
        <v>489</v>
      </c>
      <c r="F488" s="618" t="s">
        <v>2516</v>
      </c>
      <c r="G488" s="617" t="s">
        <v>1836</v>
      </c>
      <c r="H488" s="617" t="s">
        <v>2098</v>
      </c>
      <c r="I488" s="617" t="s">
        <v>2098</v>
      </c>
      <c r="J488" s="617" t="s">
        <v>2099</v>
      </c>
      <c r="K488" s="617" t="s">
        <v>2100</v>
      </c>
      <c r="L488" s="619">
        <v>66.089993411815612</v>
      </c>
      <c r="M488" s="619">
        <v>3</v>
      </c>
      <c r="N488" s="620">
        <v>198.26998023544684</v>
      </c>
    </row>
    <row r="489" spans="1:14" ht="14.4" customHeight="1" x14ac:dyDescent="0.3">
      <c r="A489" s="615" t="s">
        <v>479</v>
      </c>
      <c r="B489" s="616" t="s">
        <v>2514</v>
      </c>
      <c r="C489" s="617" t="s">
        <v>484</v>
      </c>
      <c r="D489" s="618" t="s">
        <v>2515</v>
      </c>
      <c r="E489" s="617" t="s">
        <v>489</v>
      </c>
      <c r="F489" s="618" t="s">
        <v>2516</v>
      </c>
      <c r="G489" s="617" t="s">
        <v>1836</v>
      </c>
      <c r="H489" s="617" t="s">
        <v>2101</v>
      </c>
      <c r="I489" s="617" t="s">
        <v>2101</v>
      </c>
      <c r="J489" s="617" t="s">
        <v>2102</v>
      </c>
      <c r="K489" s="617" t="s">
        <v>2103</v>
      </c>
      <c r="L489" s="619">
        <v>67.319999999999993</v>
      </c>
      <c r="M489" s="619">
        <v>1</v>
      </c>
      <c r="N489" s="620">
        <v>67.319999999999993</v>
      </c>
    </row>
    <row r="490" spans="1:14" ht="14.4" customHeight="1" x14ac:dyDescent="0.3">
      <c r="A490" s="615" t="s">
        <v>479</v>
      </c>
      <c r="B490" s="616" t="s">
        <v>2514</v>
      </c>
      <c r="C490" s="617" t="s">
        <v>484</v>
      </c>
      <c r="D490" s="618" t="s">
        <v>2515</v>
      </c>
      <c r="E490" s="617" t="s">
        <v>2104</v>
      </c>
      <c r="F490" s="618" t="s">
        <v>2517</v>
      </c>
      <c r="G490" s="617"/>
      <c r="H490" s="617" t="s">
        <v>2105</v>
      </c>
      <c r="I490" s="617" t="s">
        <v>2106</v>
      </c>
      <c r="J490" s="617" t="s">
        <v>2107</v>
      </c>
      <c r="K490" s="617"/>
      <c r="L490" s="619">
        <v>183.20249999999999</v>
      </c>
      <c r="M490" s="619">
        <v>3</v>
      </c>
      <c r="N490" s="620">
        <v>549.60749999999996</v>
      </c>
    </row>
    <row r="491" spans="1:14" ht="14.4" customHeight="1" x14ac:dyDescent="0.3">
      <c r="A491" s="615" t="s">
        <v>479</v>
      </c>
      <c r="B491" s="616" t="s">
        <v>2514</v>
      </c>
      <c r="C491" s="617" t="s">
        <v>484</v>
      </c>
      <c r="D491" s="618" t="s">
        <v>2515</v>
      </c>
      <c r="E491" s="617" t="s">
        <v>2104</v>
      </c>
      <c r="F491" s="618" t="s">
        <v>2517</v>
      </c>
      <c r="G491" s="617"/>
      <c r="H491" s="617" t="s">
        <v>2108</v>
      </c>
      <c r="I491" s="617" t="s">
        <v>2108</v>
      </c>
      <c r="J491" s="617" t="s">
        <v>2109</v>
      </c>
      <c r="K491" s="617" t="s">
        <v>2110</v>
      </c>
      <c r="L491" s="619">
        <v>900.29</v>
      </c>
      <c r="M491" s="619">
        <v>0.33339999999999997</v>
      </c>
      <c r="N491" s="620">
        <v>300.15668599999998</v>
      </c>
    </row>
    <row r="492" spans="1:14" ht="14.4" customHeight="1" x14ac:dyDescent="0.3">
      <c r="A492" s="615" t="s">
        <v>479</v>
      </c>
      <c r="B492" s="616" t="s">
        <v>2514</v>
      </c>
      <c r="C492" s="617" t="s">
        <v>484</v>
      </c>
      <c r="D492" s="618" t="s">
        <v>2515</v>
      </c>
      <c r="E492" s="617" t="s">
        <v>2104</v>
      </c>
      <c r="F492" s="618" t="s">
        <v>2517</v>
      </c>
      <c r="G492" s="617"/>
      <c r="H492" s="617" t="s">
        <v>2111</v>
      </c>
      <c r="I492" s="617" t="s">
        <v>2111</v>
      </c>
      <c r="J492" s="617" t="s">
        <v>2112</v>
      </c>
      <c r="K492" s="617" t="s">
        <v>2113</v>
      </c>
      <c r="L492" s="619">
        <v>27.198500531341107</v>
      </c>
      <c r="M492" s="619">
        <v>22</v>
      </c>
      <c r="N492" s="620">
        <v>598.36701168950435</v>
      </c>
    </row>
    <row r="493" spans="1:14" ht="14.4" customHeight="1" x14ac:dyDescent="0.3">
      <c r="A493" s="615" t="s">
        <v>479</v>
      </c>
      <c r="B493" s="616" t="s">
        <v>2514</v>
      </c>
      <c r="C493" s="617" t="s">
        <v>484</v>
      </c>
      <c r="D493" s="618" t="s">
        <v>2515</v>
      </c>
      <c r="E493" s="617" t="s">
        <v>2104</v>
      </c>
      <c r="F493" s="618" t="s">
        <v>2517</v>
      </c>
      <c r="G493" s="617"/>
      <c r="H493" s="617" t="s">
        <v>2114</v>
      </c>
      <c r="I493" s="617" t="s">
        <v>2114</v>
      </c>
      <c r="J493" s="617" t="s">
        <v>2115</v>
      </c>
      <c r="K493" s="617" t="s">
        <v>2113</v>
      </c>
      <c r="L493" s="619">
        <v>27.195260592275915</v>
      </c>
      <c r="M493" s="619">
        <v>36</v>
      </c>
      <c r="N493" s="620">
        <v>979.02938132193287</v>
      </c>
    </row>
    <row r="494" spans="1:14" ht="14.4" customHeight="1" x14ac:dyDescent="0.3">
      <c r="A494" s="615" t="s">
        <v>479</v>
      </c>
      <c r="B494" s="616" t="s">
        <v>2514</v>
      </c>
      <c r="C494" s="617" t="s">
        <v>484</v>
      </c>
      <c r="D494" s="618" t="s">
        <v>2515</v>
      </c>
      <c r="E494" s="617" t="s">
        <v>2104</v>
      </c>
      <c r="F494" s="618" t="s">
        <v>2517</v>
      </c>
      <c r="G494" s="617"/>
      <c r="H494" s="617" t="s">
        <v>2116</v>
      </c>
      <c r="I494" s="617" t="s">
        <v>2116</v>
      </c>
      <c r="J494" s="617" t="s">
        <v>2117</v>
      </c>
      <c r="K494" s="617" t="s">
        <v>2113</v>
      </c>
      <c r="L494" s="619">
        <v>27.197489425379246</v>
      </c>
      <c r="M494" s="619">
        <v>27</v>
      </c>
      <c r="N494" s="620">
        <v>734.33221448523966</v>
      </c>
    </row>
    <row r="495" spans="1:14" ht="14.4" customHeight="1" x14ac:dyDescent="0.3">
      <c r="A495" s="615" t="s">
        <v>479</v>
      </c>
      <c r="B495" s="616" t="s">
        <v>2514</v>
      </c>
      <c r="C495" s="617" t="s">
        <v>484</v>
      </c>
      <c r="D495" s="618" t="s">
        <v>2515</v>
      </c>
      <c r="E495" s="617" t="s">
        <v>2104</v>
      </c>
      <c r="F495" s="618" t="s">
        <v>2517</v>
      </c>
      <c r="G495" s="617"/>
      <c r="H495" s="617" t="s">
        <v>2118</v>
      </c>
      <c r="I495" s="617" t="s">
        <v>2118</v>
      </c>
      <c r="J495" s="617" t="s">
        <v>2119</v>
      </c>
      <c r="K495" s="617" t="s">
        <v>2113</v>
      </c>
      <c r="L495" s="619">
        <v>27.194444444444446</v>
      </c>
      <c r="M495" s="619">
        <v>18</v>
      </c>
      <c r="N495" s="620">
        <v>489.50000000000006</v>
      </c>
    </row>
    <row r="496" spans="1:14" ht="14.4" customHeight="1" x14ac:dyDescent="0.3">
      <c r="A496" s="615" t="s">
        <v>479</v>
      </c>
      <c r="B496" s="616" t="s">
        <v>2514</v>
      </c>
      <c r="C496" s="617" t="s">
        <v>484</v>
      </c>
      <c r="D496" s="618" t="s">
        <v>2515</v>
      </c>
      <c r="E496" s="617" t="s">
        <v>2104</v>
      </c>
      <c r="F496" s="618" t="s">
        <v>2517</v>
      </c>
      <c r="G496" s="617" t="s">
        <v>551</v>
      </c>
      <c r="H496" s="617" t="s">
        <v>2120</v>
      </c>
      <c r="I496" s="617" t="s">
        <v>885</v>
      </c>
      <c r="J496" s="617" t="s">
        <v>2121</v>
      </c>
      <c r="K496" s="617"/>
      <c r="L496" s="619">
        <v>1161.0996116942174</v>
      </c>
      <c r="M496" s="619">
        <v>3.33</v>
      </c>
      <c r="N496" s="620">
        <v>3866.4617069417441</v>
      </c>
    </row>
    <row r="497" spans="1:14" ht="14.4" customHeight="1" x14ac:dyDescent="0.3">
      <c r="A497" s="615" t="s">
        <v>479</v>
      </c>
      <c r="B497" s="616" t="s">
        <v>2514</v>
      </c>
      <c r="C497" s="617" t="s">
        <v>484</v>
      </c>
      <c r="D497" s="618" t="s">
        <v>2515</v>
      </c>
      <c r="E497" s="617" t="s">
        <v>2104</v>
      </c>
      <c r="F497" s="618" t="s">
        <v>2517</v>
      </c>
      <c r="G497" s="617" t="s">
        <v>551</v>
      </c>
      <c r="H497" s="617" t="s">
        <v>2122</v>
      </c>
      <c r="I497" s="617" t="s">
        <v>885</v>
      </c>
      <c r="J497" s="617" t="s">
        <v>2123</v>
      </c>
      <c r="K497" s="617" t="s">
        <v>2124</v>
      </c>
      <c r="L497" s="619">
        <v>185.64032632986351</v>
      </c>
      <c r="M497" s="619">
        <v>42</v>
      </c>
      <c r="N497" s="620">
        <v>7796.893705854267</v>
      </c>
    </row>
    <row r="498" spans="1:14" ht="14.4" customHeight="1" x14ac:dyDescent="0.3">
      <c r="A498" s="615" t="s">
        <v>479</v>
      </c>
      <c r="B498" s="616" t="s">
        <v>2514</v>
      </c>
      <c r="C498" s="617" t="s">
        <v>484</v>
      </c>
      <c r="D498" s="618" t="s">
        <v>2515</v>
      </c>
      <c r="E498" s="617" t="s">
        <v>2104</v>
      </c>
      <c r="F498" s="618" t="s">
        <v>2517</v>
      </c>
      <c r="G498" s="617" t="s">
        <v>551</v>
      </c>
      <c r="H498" s="617" t="s">
        <v>2125</v>
      </c>
      <c r="I498" s="617" t="s">
        <v>885</v>
      </c>
      <c r="J498" s="617" t="s">
        <v>2126</v>
      </c>
      <c r="K498" s="617"/>
      <c r="L498" s="619">
        <v>253.75998052497718</v>
      </c>
      <c r="M498" s="619">
        <v>108</v>
      </c>
      <c r="N498" s="620">
        <v>27406.077896697534</v>
      </c>
    </row>
    <row r="499" spans="1:14" ht="14.4" customHeight="1" x14ac:dyDescent="0.3">
      <c r="A499" s="615" t="s">
        <v>479</v>
      </c>
      <c r="B499" s="616" t="s">
        <v>2514</v>
      </c>
      <c r="C499" s="617" t="s">
        <v>484</v>
      </c>
      <c r="D499" s="618" t="s">
        <v>2515</v>
      </c>
      <c r="E499" s="617" t="s">
        <v>2104</v>
      </c>
      <c r="F499" s="618" t="s">
        <v>2517</v>
      </c>
      <c r="G499" s="617" t="s">
        <v>551</v>
      </c>
      <c r="H499" s="617" t="s">
        <v>2127</v>
      </c>
      <c r="I499" s="617" t="s">
        <v>885</v>
      </c>
      <c r="J499" s="617" t="s">
        <v>2128</v>
      </c>
      <c r="K499" s="617"/>
      <c r="L499" s="619">
        <v>221.68966721645231</v>
      </c>
      <c r="M499" s="619">
        <v>75</v>
      </c>
      <c r="N499" s="620">
        <v>16626.725041233924</v>
      </c>
    </row>
    <row r="500" spans="1:14" ht="14.4" customHeight="1" x14ac:dyDescent="0.3">
      <c r="A500" s="615" t="s">
        <v>479</v>
      </c>
      <c r="B500" s="616" t="s">
        <v>2514</v>
      </c>
      <c r="C500" s="617" t="s">
        <v>484</v>
      </c>
      <c r="D500" s="618" t="s">
        <v>2515</v>
      </c>
      <c r="E500" s="617" t="s">
        <v>2104</v>
      </c>
      <c r="F500" s="618" t="s">
        <v>2517</v>
      </c>
      <c r="G500" s="617" t="s">
        <v>551</v>
      </c>
      <c r="H500" s="617" t="s">
        <v>2129</v>
      </c>
      <c r="I500" s="617" t="s">
        <v>885</v>
      </c>
      <c r="J500" s="617" t="s">
        <v>2130</v>
      </c>
      <c r="K500" s="617"/>
      <c r="L500" s="619">
        <v>180.3309696969697</v>
      </c>
      <c r="M500" s="619">
        <v>55</v>
      </c>
      <c r="N500" s="620">
        <v>9918.2033333333329</v>
      </c>
    </row>
    <row r="501" spans="1:14" ht="14.4" customHeight="1" x14ac:dyDescent="0.3">
      <c r="A501" s="615" t="s">
        <v>479</v>
      </c>
      <c r="B501" s="616" t="s">
        <v>2514</v>
      </c>
      <c r="C501" s="617" t="s">
        <v>484</v>
      </c>
      <c r="D501" s="618" t="s">
        <v>2515</v>
      </c>
      <c r="E501" s="617" t="s">
        <v>2104</v>
      </c>
      <c r="F501" s="618" t="s">
        <v>2517</v>
      </c>
      <c r="G501" s="617" t="s">
        <v>551</v>
      </c>
      <c r="H501" s="617" t="s">
        <v>2131</v>
      </c>
      <c r="I501" s="617" t="s">
        <v>885</v>
      </c>
      <c r="J501" s="617" t="s">
        <v>2132</v>
      </c>
      <c r="K501" s="617"/>
      <c r="L501" s="619">
        <v>84.41</v>
      </c>
      <c r="M501" s="619">
        <v>8</v>
      </c>
      <c r="N501" s="620">
        <v>675.28</v>
      </c>
    </row>
    <row r="502" spans="1:14" ht="14.4" customHeight="1" x14ac:dyDescent="0.3">
      <c r="A502" s="615" t="s">
        <v>479</v>
      </c>
      <c r="B502" s="616" t="s">
        <v>2514</v>
      </c>
      <c r="C502" s="617" t="s">
        <v>484</v>
      </c>
      <c r="D502" s="618" t="s">
        <v>2515</v>
      </c>
      <c r="E502" s="617" t="s">
        <v>2104</v>
      </c>
      <c r="F502" s="618" t="s">
        <v>2517</v>
      </c>
      <c r="G502" s="617" t="s">
        <v>551</v>
      </c>
      <c r="H502" s="617" t="s">
        <v>2133</v>
      </c>
      <c r="I502" s="617" t="s">
        <v>2133</v>
      </c>
      <c r="J502" s="617" t="s">
        <v>2134</v>
      </c>
      <c r="K502" s="617" t="s">
        <v>2113</v>
      </c>
      <c r="L502" s="619">
        <v>33.349999999999994</v>
      </c>
      <c r="M502" s="619">
        <v>18</v>
      </c>
      <c r="N502" s="620">
        <v>600.29999999999995</v>
      </c>
    </row>
    <row r="503" spans="1:14" ht="14.4" customHeight="1" x14ac:dyDescent="0.3">
      <c r="A503" s="615" t="s">
        <v>479</v>
      </c>
      <c r="B503" s="616" t="s">
        <v>2514</v>
      </c>
      <c r="C503" s="617" t="s">
        <v>484</v>
      </c>
      <c r="D503" s="618" t="s">
        <v>2515</v>
      </c>
      <c r="E503" s="617" t="s">
        <v>2104</v>
      </c>
      <c r="F503" s="618" t="s">
        <v>2517</v>
      </c>
      <c r="G503" s="617" t="s">
        <v>551</v>
      </c>
      <c r="H503" s="617" t="s">
        <v>2135</v>
      </c>
      <c r="I503" s="617" t="s">
        <v>2135</v>
      </c>
      <c r="J503" s="617" t="s">
        <v>2136</v>
      </c>
      <c r="K503" s="617" t="s">
        <v>2113</v>
      </c>
      <c r="L503" s="619">
        <v>21.85</v>
      </c>
      <c r="M503" s="619">
        <v>18</v>
      </c>
      <c r="N503" s="620">
        <v>393.3</v>
      </c>
    </row>
    <row r="504" spans="1:14" ht="14.4" customHeight="1" x14ac:dyDescent="0.3">
      <c r="A504" s="615" t="s">
        <v>479</v>
      </c>
      <c r="B504" s="616" t="s">
        <v>2514</v>
      </c>
      <c r="C504" s="617" t="s">
        <v>484</v>
      </c>
      <c r="D504" s="618" t="s">
        <v>2515</v>
      </c>
      <c r="E504" s="617" t="s">
        <v>2104</v>
      </c>
      <c r="F504" s="618" t="s">
        <v>2517</v>
      </c>
      <c r="G504" s="617" t="s">
        <v>551</v>
      </c>
      <c r="H504" s="617" t="s">
        <v>2137</v>
      </c>
      <c r="I504" s="617" t="s">
        <v>885</v>
      </c>
      <c r="J504" s="617" t="s">
        <v>2138</v>
      </c>
      <c r="K504" s="617" t="s">
        <v>2139</v>
      </c>
      <c r="L504" s="619">
        <v>996.75</v>
      </c>
      <c r="M504" s="619">
        <v>8</v>
      </c>
      <c r="N504" s="620">
        <v>7974</v>
      </c>
    </row>
    <row r="505" spans="1:14" ht="14.4" customHeight="1" x14ac:dyDescent="0.3">
      <c r="A505" s="615" t="s">
        <v>479</v>
      </c>
      <c r="B505" s="616" t="s">
        <v>2514</v>
      </c>
      <c r="C505" s="617" t="s">
        <v>484</v>
      </c>
      <c r="D505" s="618" t="s">
        <v>2515</v>
      </c>
      <c r="E505" s="617" t="s">
        <v>2104</v>
      </c>
      <c r="F505" s="618" t="s">
        <v>2517</v>
      </c>
      <c r="G505" s="617" t="s">
        <v>551</v>
      </c>
      <c r="H505" s="617" t="s">
        <v>2140</v>
      </c>
      <c r="I505" s="617" t="s">
        <v>885</v>
      </c>
      <c r="J505" s="617" t="s">
        <v>2141</v>
      </c>
      <c r="K505" s="617"/>
      <c r="L505" s="619">
        <v>732.81</v>
      </c>
      <c r="M505" s="619">
        <v>3</v>
      </c>
      <c r="N505" s="620">
        <v>2198.4299999999998</v>
      </c>
    </row>
    <row r="506" spans="1:14" ht="14.4" customHeight="1" x14ac:dyDescent="0.3">
      <c r="A506" s="615" t="s">
        <v>479</v>
      </c>
      <c r="B506" s="616" t="s">
        <v>2514</v>
      </c>
      <c r="C506" s="617" t="s">
        <v>484</v>
      </c>
      <c r="D506" s="618" t="s">
        <v>2515</v>
      </c>
      <c r="E506" s="617" t="s">
        <v>2104</v>
      </c>
      <c r="F506" s="618" t="s">
        <v>2517</v>
      </c>
      <c r="G506" s="617" t="s">
        <v>551</v>
      </c>
      <c r="H506" s="617" t="s">
        <v>2142</v>
      </c>
      <c r="I506" s="617" t="s">
        <v>2142</v>
      </c>
      <c r="J506" s="617" t="s">
        <v>2143</v>
      </c>
      <c r="K506" s="617" t="s">
        <v>2144</v>
      </c>
      <c r="L506" s="619">
        <v>1109.039</v>
      </c>
      <c r="M506" s="619">
        <v>15</v>
      </c>
      <c r="N506" s="620">
        <v>16635.584999999999</v>
      </c>
    </row>
    <row r="507" spans="1:14" ht="14.4" customHeight="1" x14ac:dyDescent="0.3">
      <c r="A507" s="615" t="s">
        <v>479</v>
      </c>
      <c r="B507" s="616" t="s">
        <v>2514</v>
      </c>
      <c r="C507" s="617" t="s">
        <v>484</v>
      </c>
      <c r="D507" s="618" t="s">
        <v>2515</v>
      </c>
      <c r="E507" s="617" t="s">
        <v>2104</v>
      </c>
      <c r="F507" s="618" t="s">
        <v>2517</v>
      </c>
      <c r="G507" s="617" t="s">
        <v>551</v>
      </c>
      <c r="H507" s="617" t="s">
        <v>2145</v>
      </c>
      <c r="I507" s="617" t="s">
        <v>2145</v>
      </c>
      <c r="J507" s="617" t="s">
        <v>2146</v>
      </c>
      <c r="K507" s="617" t="s">
        <v>2147</v>
      </c>
      <c r="L507" s="619">
        <v>1735.29</v>
      </c>
      <c r="M507" s="619">
        <v>2</v>
      </c>
      <c r="N507" s="620">
        <v>3470.58</v>
      </c>
    </row>
    <row r="508" spans="1:14" ht="14.4" customHeight="1" x14ac:dyDescent="0.3">
      <c r="A508" s="615" t="s">
        <v>479</v>
      </c>
      <c r="B508" s="616" t="s">
        <v>2514</v>
      </c>
      <c r="C508" s="617" t="s">
        <v>484</v>
      </c>
      <c r="D508" s="618" t="s">
        <v>2515</v>
      </c>
      <c r="E508" s="617" t="s">
        <v>2104</v>
      </c>
      <c r="F508" s="618" t="s">
        <v>2517</v>
      </c>
      <c r="G508" s="617" t="s">
        <v>1836</v>
      </c>
      <c r="H508" s="617" t="s">
        <v>2148</v>
      </c>
      <c r="I508" s="617" t="s">
        <v>2149</v>
      </c>
      <c r="J508" s="617" t="s">
        <v>2150</v>
      </c>
      <c r="K508" s="617" t="s">
        <v>2113</v>
      </c>
      <c r="L508" s="619">
        <v>40.92</v>
      </c>
      <c r="M508" s="619">
        <v>60</v>
      </c>
      <c r="N508" s="620">
        <v>2455.2000000000003</v>
      </c>
    </row>
    <row r="509" spans="1:14" ht="14.4" customHeight="1" x14ac:dyDescent="0.3">
      <c r="A509" s="615" t="s">
        <v>479</v>
      </c>
      <c r="B509" s="616" t="s">
        <v>2514</v>
      </c>
      <c r="C509" s="617" t="s">
        <v>484</v>
      </c>
      <c r="D509" s="618" t="s">
        <v>2515</v>
      </c>
      <c r="E509" s="617" t="s">
        <v>2104</v>
      </c>
      <c r="F509" s="618" t="s">
        <v>2517</v>
      </c>
      <c r="G509" s="617" t="s">
        <v>1836</v>
      </c>
      <c r="H509" s="617" t="s">
        <v>2151</v>
      </c>
      <c r="I509" s="617" t="s">
        <v>2152</v>
      </c>
      <c r="J509" s="617" t="s">
        <v>2153</v>
      </c>
      <c r="K509" s="617" t="s">
        <v>2113</v>
      </c>
      <c r="L509" s="619">
        <v>40.919980065074505</v>
      </c>
      <c r="M509" s="619">
        <v>136</v>
      </c>
      <c r="N509" s="620">
        <v>5565.1172888501324</v>
      </c>
    </row>
    <row r="510" spans="1:14" ht="14.4" customHeight="1" x14ac:dyDescent="0.3">
      <c r="A510" s="615" t="s">
        <v>479</v>
      </c>
      <c r="B510" s="616" t="s">
        <v>2514</v>
      </c>
      <c r="C510" s="617" t="s">
        <v>484</v>
      </c>
      <c r="D510" s="618" t="s">
        <v>2515</v>
      </c>
      <c r="E510" s="617" t="s">
        <v>2104</v>
      </c>
      <c r="F510" s="618" t="s">
        <v>2517</v>
      </c>
      <c r="G510" s="617" t="s">
        <v>1836</v>
      </c>
      <c r="H510" s="617" t="s">
        <v>2154</v>
      </c>
      <c r="I510" s="617" t="s">
        <v>2155</v>
      </c>
      <c r="J510" s="617" t="s">
        <v>2156</v>
      </c>
      <c r="K510" s="617" t="s">
        <v>2113</v>
      </c>
      <c r="L510" s="619">
        <v>41.18</v>
      </c>
      <c r="M510" s="619">
        <v>37</v>
      </c>
      <c r="N510" s="620">
        <v>1523.66</v>
      </c>
    </row>
    <row r="511" spans="1:14" ht="14.4" customHeight="1" x14ac:dyDescent="0.3">
      <c r="A511" s="615" t="s">
        <v>479</v>
      </c>
      <c r="B511" s="616" t="s">
        <v>2514</v>
      </c>
      <c r="C511" s="617" t="s">
        <v>484</v>
      </c>
      <c r="D511" s="618" t="s">
        <v>2515</v>
      </c>
      <c r="E511" s="617" t="s">
        <v>2104</v>
      </c>
      <c r="F511" s="618" t="s">
        <v>2517</v>
      </c>
      <c r="G511" s="617" t="s">
        <v>1836</v>
      </c>
      <c r="H511" s="617" t="s">
        <v>2157</v>
      </c>
      <c r="I511" s="617" t="s">
        <v>2158</v>
      </c>
      <c r="J511" s="617" t="s">
        <v>2159</v>
      </c>
      <c r="K511" s="617" t="s">
        <v>2113</v>
      </c>
      <c r="L511" s="619">
        <v>41.18</v>
      </c>
      <c r="M511" s="619">
        <v>36</v>
      </c>
      <c r="N511" s="620">
        <v>1482.48</v>
      </c>
    </row>
    <row r="512" spans="1:14" ht="14.4" customHeight="1" x14ac:dyDescent="0.3">
      <c r="A512" s="615" t="s">
        <v>479</v>
      </c>
      <c r="B512" s="616" t="s">
        <v>2514</v>
      </c>
      <c r="C512" s="617" t="s">
        <v>484</v>
      </c>
      <c r="D512" s="618" t="s">
        <v>2515</v>
      </c>
      <c r="E512" s="617" t="s">
        <v>2104</v>
      </c>
      <c r="F512" s="618" t="s">
        <v>2517</v>
      </c>
      <c r="G512" s="617" t="s">
        <v>1836</v>
      </c>
      <c r="H512" s="617" t="s">
        <v>2160</v>
      </c>
      <c r="I512" s="617" t="s">
        <v>2160</v>
      </c>
      <c r="J512" s="617" t="s">
        <v>2161</v>
      </c>
      <c r="K512" s="617" t="s">
        <v>2162</v>
      </c>
      <c r="L512" s="619">
        <v>148.96</v>
      </c>
      <c r="M512" s="619">
        <v>1</v>
      </c>
      <c r="N512" s="620">
        <v>148.96</v>
      </c>
    </row>
    <row r="513" spans="1:14" ht="14.4" customHeight="1" x14ac:dyDescent="0.3">
      <c r="A513" s="615" t="s">
        <v>479</v>
      </c>
      <c r="B513" s="616" t="s">
        <v>2514</v>
      </c>
      <c r="C513" s="617" t="s">
        <v>484</v>
      </c>
      <c r="D513" s="618" t="s">
        <v>2515</v>
      </c>
      <c r="E513" s="617" t="s">
        <v>2104</v>
      </c>
      <c r="F513" s="618" t="s">
        <v>2517</v>
      </c>
      <c r="G513" s="617" t="s">
        <v>1836</v>
      </c>
      <c r="H513" s="617" t="s">
        <v>2163</v>
      </c>
      <c r="I513" s="617" t="s">
        <v>2163</v>
      </c>
      <c r="J513" s="617" t="s">
        <v>2143</v>
      </c>
      <c r="K513" s="617" t="s">
        <v>2164</v>
      </c>
      <c r="L513" s="619">
        <v>54.379981317925619</v>
      </c>
      <c r="M513" s="619">
        <v>16</v>
      </c>
      <c r="N513" s="620">
        <v>870.07970108680991</v>
      </c>
    </row>
    <row r="514" spans="1:14" ht="14.4" customHeight="1" x14ac:dyDescent="0.3">
      <c r="A514" s="615" t="s">
        <v>479</v>
      </c>
      <c r="B514" s="616" t="s">
        <v>2514</v>
      </c>
      <c r="C514" s="617" t="s">
        <v>484</v>
      </c>
      <c r="D514" s="618" t="s">
        <v>2515</v>
      </c>
      <c r="E514" s="617" t="s">
        <v>2104</v>
      </c>
      <c r="F514" s="618" t="s">
        <v>2517</v>
      </c>
      <c r="G514" s="617" t="s">
        <v>1836</v>
      </c>
      <c r="H514" s="617" t="s">
        <v>2165</v>
      </c>
      <c r="I514" s="617" t="s">
        <v>2166</v>
      </c>
      <c r="J514" s="617" t="s">
        <v>2167</v>
      </c>
      <c r="K514" s="617" t="s">
        <v>2168</v>
      </c>
      <c r="L514" s="619">
        <v>216.90999999999997</v>
      </c>
      <c r="M514" s="619">
        <v>72</v>
      </c>
      <c r="N514" s="620">
        <v>15617.519999999997</v>
      </c>
    </row>
    <row r="515" spans="1:14" ht="14.4" customHeight="1" x14ac:dyDescent="0.3">
      <c r="A515" s="615" t="s">
        <v>479</v>
      </c>
      <c r="B515" s="616" t="s">
        <v>2514</v>
      </c>
      <c r="C515" s="617" t="s">
        <v>484</v>
      </c>
      <c r="D515" s="618" t="s">
        <v>2515</v>
      </c>
      <c r="E515" s="617" t="s">
        <v>2104</v>
      </c>
      <c r="F515" s="618" t="s">
        <v>2517</v>
      </c>
      <c r="G515" s="617" t="s">
        <v>1836</v>
      </c>
      <c r="H515" s="617" t="s">
        <v>2169</v>
      </c>
      <c r="I515" s="617" t="s">
        <v>2170</v>
      </c>
      <c r="J515" s="617" t="s">
        <v>2171</v>
      </c>
      <c r="K515" s="617" t="s">
        <v>2172</v>
      </c>
      <c r="L515" s="619">
        <v>198.89</v>
      </c>
      <c r="M515" s="619">
        <v>1</v>
      </c>
      <c r="N515" s="620">
        <v>198.89</v>
      </c>
    </row>
    <row r="516" spans="1:14" ht="14.4" customHeight="1" x14ac:dyDescent="0.3">
      <c r="A516" s="615" t="s">
        <v>479</v>
      </c>
      <c r="B516" s="616" t="s">
        <v>2514</v>
      </c>
      <c r="C516" s="617" t="s">
        <v>484</v>
      </c>
      <c r="D516" s="618" t="s">
        <v>2515</v>
      </c>
      <c r="E516" s="617" t="s">
        <v>2104</v>
      </c>
      <c r="F516" s="618" t="s">
        <v>2517</v>
      </c>
      <c r="G516" s="617" t="s">
        <v>1836</v>
      </c>
      <c r="H516" s="617" t="s">
        <v>2173</v>
      </c>
      <c r="I516" s="617" t="s">
        <v>2173</v>
      </c>
      <c r="J516" s="617" t="s">
        <v>2143</v>
      </c>
      <c r="K516" s="617" t="s">
        <v>2174</v>
      </c>
      <c r="L516" s="619">
        <v>138.63000293032908</v>
      </c>
      <c r="M516" s="619">
        <v>144</v>
      </c>
      <c r="N516" s="620">
        <v>19962.720421967388</v>
      </c>
    </row>
    <row r="517" spans="1:14" ht="14.4" customHeight="1" x14ac:dyDescent="0.3">
      <c r="A517" s="615" t="s">
        <v>479</v>
      </c>
      <c r="B517" s="616" t="s">
        <v>2514</v>
      </c>
      <c r="C517" s="617" t="s">
        <v>484</v>
      </c>
      <c r="D517" s="618" t="s">
        <v>2515</v>
      </c>
      <c r="E517" s="617" t="s">
        <v>2104</v>
      </c>
      <c r="F517" s="618" t="s">
        <v>2517</v>
      </c>
      <c r="G517" s="617" t="s">
        <v>1836</v>
      </c>
      <c r="H517" s="617" t="s">
        <v>2175</v>
      </c>
      <c r="I517" s="617" t="s">
        <v>2175</v>
      </c>
      <c r="J517" s="617" t="s">
        <v>2176</v>
      </c>
      <c r="K517" s="617" t="s">
        <v>2177</v>
      </c>
      <c r="L517" s="619">
        <v>111.95004071348616</v>
      </c>
      <c r="M517" s="619">
        <v>17</v>
      </c>
      <c r="N517" s="620">
        <v>1903.1506921292648</v>
      </c>
    </row>
    <row r="518" spans="1:14" ht="14.4" customHeight="1" x14ac:dyDescent="0.3">
      <c r="A518" s="615" t="s">
        <v>479</v>
      </c>
      <c r="B518" s="616" t="s">
        <v>2514</v>
      </c>
      <c r="C518" s="617" t="s">
        <v>484</v>
      </c>
      <c r="D518" s="618" t="s">
        <v>2515</v>
      </c>
      <c r="E518" s="617" t="s">
        <v>2104</v>
      </c>
      <c r="F518" s="618" t="s">
        <v>2517</v>
      </c>
      <c r="G518" s="617" t="s">
        <v>1836</v>
      </c>
      <c r="H518" s="617" t="s">
        <v>2178</v>
      </c>
      <c r="I518" s="617" t="s">
        <v>2178</v>
      </c>
      <c r="J518" s="617" t="s">
        <v>2179</v>
      </c>
      <c r="K518" s="617" t="s">
        <v>2177</v>
      </c>
      <c r="L518" s="619">
        <v>111.94999099798785</v>
      </c>
      <c r="M518" s="619">
        <v>16</v>
      </c>
      <c r="N518" s="620">
        <v>1791.1998559678057</v>
      </c>
    </row>
    <row r="519" spans="1:14" ht="14.4" customHeight="1" x14ac:dyDescent="0.3">
      <c r="A519" s="615" t="s">
        <v>479</v>
      </c>
      <c r="B519" s="616" t="s">
        <v>2514</v>
      </c>
      <c r="C519" s="617" t="s">
        <v>484</v>
      </c>
      <c r="D519" s="618" t="s">
        <v>2515</v>
      </c>
      <c r="E519" s="617" t="s">
        <v>2104</v>
      </c>
      <c r="F519" s="618" t="s">
        <v>2517</v>
      </c>
      <c r="G519" s="617" t="s">
        <v>1836</v>
      </c>
      <c r="H519" s="617" t="s">
        <v>2180</v>
      </c>
      <c r="I519" s="617" t="s">
        <v>2181</v>
      </c>
      <c r="J519" s="617" t="s">
        <v>2182</v>
      </c>
      <c r="K519" s="617" t="s">
        <v>2183</v>
      </c>
      <c r="L519" s="619">
        <v>111.95000352653419</v>
      </c>
      <c r="M519" s="619">
        <v>14</v>
      </c>
      <c r="N519" s="620">
        <v>1567.3000493714787</v>
      </c>
    </row>
    <row r="520" spans="1:14" ht="14.4" customHeight="1" x14ac:dyDescent="0.3">
      <c r="A520" s="615" t="s">
        <v>479</v>
      </c>
      <c r="B520" s="616" t="s">
        <v>2514</v>
      </c>
      <c r="C520" s="617" t="s">
        <v>484</v>
      </c>
      <c r="D520" s="618" t="s">
        <v>2515</v>
      </c>
      <c r="E520" s="617" t="s">
        <v>2104</v>
      </c>
      <c r="F520" s="618" t="s">
        <v>2517</v>
      </c>
      <c r="G520" s="617" t="s">
        <v>1836</v>
      </c>
      <c r="H520" s="617" t="s">
        <v>2184</v>
      </c>
      <c r="I520" s="617" t="s">
        <v>2185</v>
      </c>
      <c r="J520" s="617" t="s">
        <v>2186</v>
      </c>
      <c r="K520" s="617" t="s">
        <v>2162</v>
      </c>
      <c r="L520" s="619">
        <v>135.59985115760887</v>
      </c>
      <c r="M520" s="619">
        <v>12</v>
      </c>
      <c r="N520" s="620">
        <v>1627.1982138913063</v>
      </c>
    </row>
    <row r="521" spans="1:14" ht="14.4" customHeight="1" x14ac:dyDescent="0.3">
      <c r="A521" s="615" t="s">
        <v>479</v>
      </c>
      <c r="B521" s="616" t="s">
        <v>2514</v>
      </c>
      <c r="C521" s="617" t="s">
        <v>484</v>
      </c>
      <c r="D521" s="618" t="s">
        <v>2515</v>
      </c>
      <c r="E521" s="617" t="s">
        <v>2104</v>
      </c>
      <c r="F521" s="618" t="s">
        <v>2517</v>
      </c>
      <c r="G521" s="617" t="s">
        <v>1836</v>
      </c>
      <c r="H521" s="617" t="s">
        <v>2187</v>
      </c>
      <c r="I521" s="617" t="s">
        <v>2188</v>
      </c>
      <c r="J521" s="617" t="s">
        <v>2189</v>
      </c>
      <c r="K521" s="617" t="s">
        <v>2177</v>
      </c>
      <c r="L521" s="619">
        <v>111.95002620621247</v>
      </c>
      <c r="M521" s="619">
        <v>20</v>
      </c>
      <c r="N521" s="620">
        <v>2239.0005241242493</v>
      </c>
    </row>
    <row r="522" spans="1:14" ht="14.4" customHeight="1" x14ac:dyDescent="0.3">
      <c r="A522" s="615" t="s">
        <v>479</v>
      </c>
      <c r="B522" s="616" t="s">
        <v>2514</v>
      </c>
      <c r="C522" s="617" t="s">
        <v>484</v>
      </c>
      <c r="D522" s="618" t="s">
        <v>2515</v>
      </c>
      <c r="E522" s="617" t="s">
        <v>2104</v>
      </c>
      <c r="F522" s="618" t="s">
        <v>2517</v>
      </c>
      <c r="G522" s="617" t="s">
        <v>1836</v>
      </c>
      <c r="H522" s="617" t="s">
        <v>2190</v>
      </c>
      <c r="I522" s="617" t="s">
        <v>2190</v>
      </c>
      <c r="J522" s="617" t="s">
        <v>2191</v>
      </c>
      <c r="K522" s="617" t="s">
        <v>2192</v>
      </c>
      <c r="L522" s="619">
        <v>122.6906733068889</v>
      </c>
      <c r="M522" s="619">
        <v>38</v>
      </c>
      <c r="N522" s="620">
        <v>4662.245585661778</v>
      </c>
    </row>
    <row r="523" spans="1:14" ht="14.4" customHeight="1" x14ac:dyDescent="0.3">
      <c r="A523" s="615" t="s">
        <v>479</v>
      </c>
      <c r="B523" s="616" t="s">
        <v>2514</v>
      </c>
      <c r="C523" s="617" t="s">
        <v>484</v>
      </c>
      <c r="D523" s="618" t="s">
        <v>2515</v>
      </c>
      <c r="E523" s="617" t="s">
        <v>2104</v>
      </c>
      <c r="F523" s="618" t="s">
        <v>2517</v>
      </c>
      <c r="G523" s="617" t="s">
        <v>1836</v>
      </c>
      <c r="H523" s="617" t="s">
        <v>2193</v>
      </c>
      <c r="I523" s="617" t="s">
        <v>2193</v>
      </c>
      <c r="J523" s="617" t="s">
        <v>2194</v>
      </c>
      <c r="K523" s="617" t="s">
        <v>2192</v>
      </c>
      <c r="L523" s="619">
        <v>122.69000000000001</v>
      </c>
      <c r="M523" s="619">
        <v>32</v>
      </c>
      <c r="N523" s="620">
        <v>3926.0800000000004</v>
      </c>
    </row>
    <row r="524" spans="1:14" ht="14.4" customHeight="1" x14ac:dyDescent="0.3">
      <c r="A524" s="615" t="s">
        <v>479</v>
      </c>
      <c r="B524" s="616" t="s">
        <v>2514</v>
      </c>
      <c r="C524" s="617" t="s">
        <v>484</v>
      </c>
      <c r="D524" s="618" t="s">
        <v>2515</v>
      </c>
      <c r="E524" s="617" t="s">
        <v>2104</v>
      </c>
      <c r="F524" s="618" t="s">
        <v>2517</v>
      </c>
      <c r="G524" s="617" t="s">
        <v>1836</v>
      </c>
      <c r="H524" s="617" t="s">
        <v>2195</v>
      </c>
      <c r="I524" s="617" t="s">
        <v>2195</v>
      </c>
      <c r="J524" s="617" t="s">
        <v>2196</v>
      </c>
      <c r="K524" s="617" t="s">
        <v>2192</v>
      </c>
      <c r="L524" s="619">
        <v>129.97000838974515</v>
      </c>
      <c r="M524" s="619">
        <v>44</v>
      </c>
      <c r="N524" s="620">
        <v>5718.6803691487867</v>
      </c>
    </row>
    <row r="525" spans="1:14" ht="14.4" customHeight="1" x14ac:dyDescent="0.3">
      <c r="A525" s="615" t="s">
        <v>479</v>
      </c>
      <c r="B525" s="616" t="s">
        <v>2514</v>
      </c>
      <c r="C525" s="617" t="s">
        <v>484</v>
      </c>
      <c r="D525" s="618" t="s">
        <v>2515</v>
      </c>
      <c r="E525" s="617" t="s">
        <v>2104</v>
      </c>
      <c r="F525" s="618" t="s">
        <v>2517</v>
      </c>
      <c r="G525" s="617" t="s">
        <v>1836</v>
      </c>
      <c r="H525" s="617" t="s">
        <v>2197</v>
      </c>
      <c r="I525" s="617" t="s">
        <v>2197</v>
      </c>
      <c r="J525" s="617" t="s">
        <v>2198</v>
      </c>
      <c r="K525" s="617" t="s">
        <v>2113</v>
      </c>
      <c r="L525" s="619">
        <v>30.67</v>
      </c>
      <c r="M525" s="619">
        <v>8</v>
      </c>
      <c r="N525" s="620">
        <v>245.36</v>
      </c>
    </row>
    <row r="526" spans="1:14" ht="14.4" customHeight="1" x14ac:dyDescent="0.3">
      <c r="A526" s="615" t="s">
        <v>479</v>
      </c>
      <c r="B526" s="616" t="s">
        <v>2514</v>
      </c>
      <c r="C526" s="617" t="s">
        <v>484</v>
      </c>
      <c r="D526" s="618" t="s">
        <v>2515</v>
      </c>
      <c r="E526" s="617" t="s">
        <v>2104</v>
      </c>
      <c r="F526" s="618" t="s">
        <v>2517</v>
      </c>
      <c r="G526" s="617" t="s">
        <v>1836</v>
      </c>
      <c r="H526" s="617" t="s">
        <v>2199</v>
      </c>
      <c r="I526" s="617" t="s">
        <v>2200</v>
      </c>
      <c r="J526" s="617" t="s">
        <v>2201</v>
      </c>
      <c r="K526" s="617" t="s">
        <v>2113</v>
      </c>
      <c r="L526" s="619">
        <v>30.670000000000005</v>
      </c>
      <c r="M526" s="619">
        <v>8</v>
      </c>
      <c r="N526" s="620">
        <v>245.36000000000004</v>
      </c>
    </row>
    <row r="527" spans="1:14" ht="14.4" customHeight="1" x14ac:dyDescent="0.3">
      <c r="A527" s="615" t="s">
        <v>479</v>
      </c>
      <c r="B527" s="616" t="s">
        <v>2514</v>
      </c>
      <c r="C527" s="617" t="s">
        <v>484</v>
      </c>
      <c r="D527" s="618" t="s">
        <v>2515</v>
      </c>
      <c r="E527" s="617" t="s">
        <v>2202</v>
      </c>
      <c r="F527" s="618" t="s">
        <v>2518</v>
      </c>
      <c r="G527" s="617" t="s">
        <v>551</v>
      </c>
      <c r="H527" s="617" t="s">
        <v>2203</v>
      </c>
      <c r="I527" s="617" t="s">
        <v>2204</v>
      </c>
      <c r="J527" s="617" t="s">
        <v>2205</v>
      </c>
      <c r="K527" s="617" t="s">
        <v>2206</v>
      </c>
      <c r="L527" s="619">
        <v>8812</v>
      </c>
      <c r="M527" s="619">
        <v>1</v>
      </c>
      <c r="N527" s="620">
        <v>8812</v>
      </c>
    </row>
    <row r="528" spans="1:14" ht="14.4" customHeight="1" x14ac:dyDescent="0.3">
      <c r="A528" s="615" t="s">
        <v>479</v>
      </c>
      <c r="B528" s="616" t="s">
        <v>2514</v>
      </c>
      <c r="C528" s="617" t="s">
        <v>484</v>
      </c>
      <c r="D528" s="618" t="s">
        <v>2515</v>
      </c>
      <c r="E528" s="617" t="s">
        <v>2207</v>
      </c>
      <c r="F528" s="618" t="s">
        <v>2519</v>
      </c>
      <c r="G528" s="617" t="s">
        <v>551</v>
      </c>
      <c r="H528" s="617" t="s">
        <v>2208</v>
      </c>
      <c r="I528" s="617" t="s">
        <v>2208</v>
      </c>
      <c r="J528" s="617" t="s">
        <v>2209</v>
      </c>
      <c r="K528" s="617" t="s">
        <v>2210</v>
      </c>
      <c r="L528" s="619">
        <v>60.507774518699513</v>
      </c>
      <c r="M528" s="619">
        <v>20.6</v>
      </c>
      <c r="N528" s="620">
        <v>1246.4601550852101</v>
      </c>
    </row>
    <row r="529" spans="1:14" ht="14.4" customHeight="1" x14ac:dyDescent="0.3">
      <c r="A529" s="615" t="s">
        <v>479</v>
      </c>
      <c r="B529" s="616" t="s">
        <v>2514</v>
      </c>
      <c r="C529" s="617" t="s">
        <v>484</v>
      </c>
      <c r="D529" s="618" t="s">
        <v>2515</v>
      </c>
      <c r="E529" s="617" t="s">
        <v>2207</v>
      </c>
      <c r="F529" s="618" t="s">
        <v>2519</v>
      </c>
      <c r="G529" s="617" t="s">
        <v>551</v>
      </c>
      <c r="H529" s="617" t="s">
        <v>2211</v>
      </c>
      <c r="I529" s="617" t="s">
        <v>2212</v>
      </c>
      <c r="J529" s="617" t="s">
        <v>2213</v>
      </c>
      <c r="K529" s="617" t="s">
        <v>2214</v>
      </c>
      <c r="L529" s="619">
        <v>41.982727272727274</v>
      </c>
      <c r="M529" s="619">
        <v>11</v>
      </c>
      <c r="N529" s="620">
        <v>461.81</v>
      </c>
    </row>
    <row r="530" spans="1:14" ht="14.4" customHeight="1" x14ac:dyDescent="0.3">
      <c r="A530" s="615" t="s">
        <v>479</v>
      </c>
      <c r="B530" s="616" t="s">
        <v>2514</v>
      </c>
      <c r="C530" s="617" t="s">
        <v>484</v>
      </c>
      <c r="D530" s="618" t="s">
        <v>2515</v>
      </c>
      <c r="E530" s="617" t="s">
        <v>2207</v>
      </c>
      <c r="F530" s="618" t="s">
        <v>2519</v>
      </c>
      <c r="G530" s="617" t="s">
        <v>551</v>
      </c>
      <c r="H530" s="617" t="s">
        <v>2215</v>
      </c>
      <c r="I530" s="617" t="s">
        <v>2216</v>
      </c>
      <c r="J530" s="617" t="s">
        <v>2217</v>
      </c>
      <c r="K530" s="617" t="s">
        <v>604</v>
      </c>
      <c r="L530" s="619">
        <v>67.794166666666669</v>
      </c>
      <c r="M530" s="619">
        <v>12</v>
      </c>
      <c r="N530" s="620">
        <v>813.53</v>
      </c>
    </row>
    <row r="531" spans="1:14" ht="14.4" customHeight="1" x14ac:dyDescent="0.3">
      <c r="A531" s="615" t="s">
        <v>479</v>
      </c>
      <c r="B531" s="616" t="s">
        <v>2514</v>
      </c>
      <c r="C531" s="617" t="s">
        <v>484</v>
      </c>
      <c r="D531" s="618" t="s">
        <v>2515</v>
      </c>
      <c r="E531" s="617" t="s">
        <v>2207</v>
      </c>
      <c r="F531" s="618" t="s">
        <v>2519</v>
      </c>
      <c r="G531" s="617" t="s">
        <v>551</v>
      </c>
      <c r="H531" s="617" t="s">
        <v>2218</v>
      </c>
      <c r="I531" s="617" t="s">
        <v>2219</v>
      </c>
      <c r="J531" s="617" t="s">
        <v>2220</v>
      </c>
      <c r="K531" s="617" t="s">
        <v>2221</v>
      </c>
      <c r="L531" s="619">
        <v>1746.3235294117644</v>
      </c>
      <c r="M531" s="619">
        <v>3.4000000000000004</v>
      </c>
      <c r="N531" s="620">
        <v>5937.5</v>
      </c>
    </row>
    <row r="532" spans="1:14" ht="14.4" customHeight="1" x14ac:dyDescent="0.3">
      <c r="A532" s="615" t="s">
        <v>479</v>
      </c>
      <c r="B532" s="616" t="s">
        <v>2514</v>
      </c>
      <c r="C532" s="617" t="s">
        <v>484</v>
      </c>
      <c r="D532" s="618" t="s">
        <v>2515</v>
      </c>
      <c r="E532" s="617" t="s">
        <v>2207</v>
      </c>
      <c r="F532" s="618" t="s">
        <v>2519</v>
      </c>
      <c r="G532" s="617" t="s">
        <v>551</v>
      </c>
      <c r="H532" s="617" t="s">
        <v>2222</v>
      </c>
      <c r="I532" s="617" t="s">
        <v>2223</v>
      </c>
      <c r="J532" s="617" t="s">
        <v>2224</v>
      </c>
      <c r="K532" s="617" t="s">
        <v>2225</v>
      </c>
      <c r="L532" s="619">
        <v>31.784000000000002</v>
      </c>
      <c r="M532" s="619">
        <v>5</v>
      </c>
      <c r="N532" s="620">
        <v>158.92000000000002</v>
      </c>
    </row>
    <row r="533" spans="1:14" ht="14.4" customHeight="1" x14ac:dyDescent="0.3">
      <c r="A533" s="615" t="s">
        <v>479</v>
      </c>
      <c r="B533" s="616" t="s">
        <v>2514</v>
      </c>
      <c r="C533" s="617" t="s">
        <v>484</v>
      </c>
      <c r="D533" s="618" t="s">
        <v>2515</v>
      </c>
      <c r="E533" s="617" t="s">
        <v>2207</v>
      </c>
      <c r="F533" s="618" t="s">
        <v>2519</v>
      </c>
      <c r="G533" s="617" t="s">
        <v>551</v>
      </c>
      <c r="H533" s="617" t="s">
        <v>2226</v>
      </c>
      <c r="I533" s="617" t="s">
        <v>2227</v>
      </c>
      <c r="J533" s="617" t="s">
        <v>2228</v>
      </c>
      <c r="K533" s="617" t="s">
        <v>2229</v>
      </c>
      <c r="L533" s="619">
        <v>23.577850697890252</v>
      </c>
      <c r="M533" s="619">
        <v>494</v>
      </c>
      <c r="N533" s="620">
        <v>11647.458244757785</v>
      </c>
    </row>
    <row r="534" spans="1:14" ht="14.4" customHeight="1" x14ac:dyDescent="0.3">
      <c r="A534" s="615" t="s">
        <v>479</v>
      </c>
      <c r="B534" s="616" t="s">
        <v>2514</v>
      </c>
      <c r="C534" s="617" t="s">
        <v>484</v>
      </c>
      <c r="D534" s="618" t="s">
        <v>2515</v>
      </c>
      <c r="E534" s="617" t="s">
        <v>2207</v>
      </c>
      <c r="F534" s="618" t="s">
        <v>2519</v>
      </c>
      <c r="G534" s="617" t="s">
        <v>551</v>
      </c>
      <c r="H534" s="617" t="s">
        <v>2230</v>
      </c>
      <c r="I534" s="617" t="s">
        <v>2231</v>
      </c>
      <c r="J534" s="617" t="s">
        <v>2232</v>
      </c>
      <c r="K534" s="617" t="s">
        <v>2233</v>
      </c>
      <c r="L534" s="619">
        <v>599.17820072194968</v>
      </c>
      <c r="M534" s="619">
        <v>35</v>
      </c>
      <c r="N534" s="620">
        <v>20971.237025268238</v>
      </c>
    </row>
    <row r="535" spans="1:14" ht="14.4" customHeight="1" x14ac:dyDescent="0.3">
      <c r="A535" s="615" t="s">
        <v>479</v>
      </c>
      <c r="B535" s="616" t="s">
        <v>2514</v>
      </c>
      <c r="C535" s="617" t="s">
        <v>484</v>
      </c>
      <c r="D535" s="618" t="s">
        <v>2515</v>
      </c>
      <c r="E535" s="617" t="s">
        <v>2207</v>
      </c>
      <c r="F535" s="618" t="s">
        <v>2519</v>
      </c>
      <c r="G535" s="617" t="s">
        <v>551</v>
      </c>
      <c r="H535" s="617" t="s">
        <v>2234</v>
      </c>
      <c r="I535" s="617" t="s">
        <v>2234</v>
      </c>
      <c r="J535" s="617" t="s">
        <v>2235</v>
      </c>
      <c r="K535" s="617" t="s">
        <v>2236</v>
      </c>
      <c r="L535" s="619">
        <v>264</v>
      </c>
      <c r="M535" s="619">
        <v>0.4</v>
      </c>
      <c r="N535" s="620">
        <v>105.60000000000001</v>
      </c>
    </row>
    <row r="536" spans="1:14" ht="14.4" customHeight="1" x14ac:dyDescent="0.3">
      <c r="A536" s="615" t="s">
        <v>479</v>
      </c>
      <c r="B536" s="616" t="s">
        <v>2514</v>
      </c>
      <c r="C536" s="617" t="s">
        <v>484</v>
      </c>
      <c r="D536" s="618" t="s">
        <v>2515</v>
      </c>
      <c r="E536" s="617" t="s">
        <v>2207</v>
      </c>
      <c r="F536" s="618" t="s">
        <v>2519</v>
      </c>
      <c r="G536" s="617" t="s">
        <v>551</v>
      </c>
      <c r="H536" s="617" t="s">
        <v>2237</v>
      </c>
      <c r="I536" s="617" t="s">
        <v>2238</v>
      </c>
      <c r="J536" s="617" t="s">
        <v>2239</v>
      </c>
      <c r="K536" s="617" t="s">
        <v>2240</v>
      </c>
      <c r="L536" s="619">
        <v>128.07000000000005</v>
      </c>
      <c r="M536" s="619">
        <v>1</v>
      </c>
      <c r="N536" s="620">
        <v>128.07000000000005</v>
      </c>
    </row>
    <row r="537" spans="1:14" ht="14.4" customHeight="1" x14ac:dyDescent="0.3">
      <c r="A537" s="615" t="s">
        <v>479</v>
      </c>
      <c r="B537" s="616" t="s">
        <v>2514</v>
      </c>
      <c r="C537" s="617" t="s">
        <v>484</v>
      </c>
      <c r="D537" s="618" t="s">
        <v>2515</v>
      </c>
      <c r="E537" s="617" t="s">
        <v>2207</v>
      </c>
      <c r="F537" s="618" t="s">
        <v>2519</v>
      </c>
      <c r="G537" s="617" t="s">
        <v>551</v>
      </c>
      <c r="H537" s="617" t="s">
        <v>2241</v>
      </c>
      <c r="I537" s="617" t="s">
        <v>2242</v>
      </c>
      <c r="J537" s="617" t="s">
        <v>2243</v>
      </c>
      <c r="K537" s="617" t="s">
        <v>2244</v>
      </c>
      <c r="L537" s="619">
        <v>53.08</v>
      </c>
      <c r="M537" s="619">
        <v>2</v>
      </c>
      <c r="N537" s="620">
        <v>106.16</v>
      </c>
    </row>
    <row r="538" spans="1:14" ht="14.4" customHeight="1" x14ac:dyDescent="0.3">
      <c r="A538" s="615" t="s">
        <v>479</v>
      </c>
      <c r="B538" s="616" t="s">
        <v>2514</v>
      </c>
      <c r="C538" s="617" t="s">
        <v>484</v>
      </c>
      <c r="D538" s="618" t="s">
        <v>2515</v>
      </c>
      <c r="E538" s="617" t="s">
        <v>2207</v>
      </c>
      <c r="F538" s="618" t="s">
        <v>2519</v>
      </c>
      <c r="G538" s="617" t="s">
        <v>551</v>
      </c>
      <c r="H538" s="617" t="s">
        <v>2245</v>
      </c>
      <c r="I538" s="617" t="s">
        <v>2246</v>
      </c>
      <c r="J538" s="617" t="s">
        <v>2247</v>
      </c>
      <c r="K538" s="617" t="s">
        <v>2248</v>
      </c>
      <c r="L538" s="619">
        <v>234.06000000000003</v>
      </c>
      <c r="M538" s="619">
        <v>1</v>
      </c>
      <c r="N538" s="620">
        <v>234.06000000000003</v>
      </c>
    </row>
    <row r="539" spans="1:14" ht="14.4" customHeight="1" x14ac:dyDescent="0.3">
      <c r="A539" s="615" t="s">
        <v>479</v>
      </c>
      <c r="B539" s="616" t="s">
        <v>2514</v>
      </c>
      <c r="C539" s="617" t="s">
        <v>484</v>
      </c>
      <c r="D539" s="618" t="s">
        <v>2515</v>
      </c>
      <c r="E539" s="617" t="s">
        <v>2207</v>
      </c>
      <c r="F539" s="618" t="s">
        <v>2519</v>
      </c>
      <c r="G539" s="617" t="s">
        <v>551</v>
      </c>
      <c r="H539" s="617" t="s">
        <v>2249</v>
      </c>
      <c r="I539" s="617" t="s">
        <v>2250</v>
      </c>
      <c r="J539" s="617" t="s">
        <v>2251</v>
      </c>
      <c r="K539" s="617" t="s">
        <v>2252</v>
      </c>
      <c r="L539" s="619">
        <v>151.71692424616907</v>
      </c>
      <c r="M539" s="619">
        <v>472.19999999999925</v>
      </c>
      <c r="N539" s="620">
        <v>71640.731629040922</v>
      </c>
    </row>
    <row r="540" spans="1:14" ht="14.4" customHeight="1" x14ac:dyDescent="0.3">
      <c r="A540" s="615" t="s">
        <v>479</v>
      </c>
      <c r="B540" s="616" t="s">
        <v>2514</v>
      </c>
      <c r="C540" s="617" t="s">
        <v>484</v>
      </c>
      <c r="D540" s="618" t="s">
        <v>2515</v>
      </c>
      <c r="E540" s="617" t="s">
        <v>2207</v>
      </c>
      <c r="F540" s="618" t="s">
        <v>2519</v>
      </c>
      <c r="G540" s="617" t="s">
        <v>551</v>
      </c>
      <c r="H540" s="617" t="s">
        <v>2253</v>
      </c>
      <c r="I540" s="617" t="s">
        <v>2254</v>
      </c>
      <c r="J540" s="617" t="s">
        <v>2255</v>
      </c>
      <c r="K540" s="617" t="s">
        <v>2256</v>
      </c>
      <c r="L540" s="619">
        <v>610.14717989417989</v>
      </c>
      <c r="M540" s="619">
        <v>18.899999999999995</v>
      </c>
      <c r="N540" s="620">
        <v>11531.781699999996</v>
      </c>
    </row>
    <row r="541" spans="1:14" ht="14.4" customHeight="1" x14ac:dyDescent="0.3">
      <c r="A541" s="615" t="s">
        <v>479</v>
      </c>
      <c r="B541" s="616" t="s">
        <v>2514</v>
      </c>
      <c r="C541" s="617" t="s">
        <v>484</v>
      </c>
      <c r="D541" s="618" t="s">
        <v>2515</v>
      </c>
      <c r="E541" s="617" t="s">
        <v>2207</v>
      </c>
      <c r="F541" s="618" t="s">
        <v>2519</v>
      </c>
      <c r="G541" s="617" t="s">
        <v>551</v>
      </c>
      <c r="H541" s="617" t="s">
        <v>2257</v>
      </c>
      <c r="I541" s="617" t="s">
        <v>2258</v>
      </c>
      <c r="J541" s="617" t="s">
        <v>2259</v>
      </c>
      <c r="K541" s="617" t="s">
        <v>2260</v>
      </c>
      <c r="L541" s="619">
        <v>62.939999999999984</v>
      </c>
      <c r="M541" s="619">
        <v>10</v>
      </c>
      <c r="N541" s="620">
        <v>629.39999999999986</v>
      </c>
    </row>
    <row r="542" spans="1:14" ht="14.4" customHeight="1" x14ac:dyDescent="0.3">
      <c r="A542" s="615" t="s">
        <v>479</v>
      </c>
      <c r="B542" s="616" t="s">
        <v>2514</v>
      </c>
      <c r="C542" s="617" t="s">
        <v>484</v>
      </c>
      <c r="D542" s="618" t="s">
        <v>2515</v>
      </c>
      <c r="E542" s="617" t="s">
        <v>2207</v>
      </c>
      <c r="F542" s="618" t="s">
        <v>2519</v>
      </c>
      <c r="G542" s="617" t="s">
        <v>551</v>
      </c>
      <c r="H542" s="617" t="s">
        <v>2261</v>
      </c>
      <c r="I542" s="617" t="s">
        <v>2262</v>
      </c>
      <c r="J542" s="617" t="s">
        <v>2263</v>
      </c>
      <c r="K542" s="617" t="s">
        <v>2264</v>
      </c>
      <c r="L542" s="619">
        <v>73.439999999999969</v>
      </c>
      <c r="M542" s="619">
        <v>2</v>
      </c>
      <c r="N542" s="620">
        <v>146.87999999999994</v>
      </c>
    </row>
    <row r="543" spans="1:14" ht="14.4" customHeight="1" x14ac:dyDescent="0.3">
      <c r="A543" s="615" t="s">
        <v>479</v>
      </c>
      <c r="B543" s="616" t="s">
        <v>2514</v>
      </c>
      <c r="C543" s="617" t="s">
        <v>484</v>
      </c>
      <c r="D543" s="618" t="s">
        <v>2515</v>
      </c>
      <c r="E543" s="617" t="s">
        <v>2207</v>
      </c>
      <c r="F543" s="618" t="s">
        <v>2519</v>
      </c>
      <c r="G543" s="617" t="s">
        <v>551</v>
      </c>
      <c r="H543" s="617" t="s">
        <v>2265</v>
      </c>
      <c r="I543" s="617" t="s">
        <v>2265</v>
      </c>
      <c r="J543" s="617" t="s">
        <v>2266</v>
      </c>
      <c r="K543" s="617" t="s">
        <v>2267</v>
      </c>
      <c r="L543" s="619">
        <v>517</v>
      </c>
      <c r="M543" s="619">
        <v>14.100000000000001</v>
      </c>
      <c r="N543" s="620">
        <v>7289.7000000000007</v>
      </c>
    </row>
    <row r="544" spans="1:14" ht="14.4" customHeight="1" x14ac:dyDescent="0.3">
      <c r="A544" s="615" t="s">
        <v>479</v>
      </c>
      <c r="B544" s="616" t="s">
        <v>2514</v>
      </c>
      <c r="C544" s="617" t="s">
        <v>484</v>
      </c>
      <c r="D544" s="618" t="s">
        <v>2515</v>
      </c>
      <c r="E544" s="617" t="s">
        <v>2207</v>
      </c>
      <c r="F544" s="618" t="s">
        <v>2519</v>
      </c>
      <c r="G544" s="617" t="s">
        <v>551</v>
      </c>
      <c r="H544" s="617" t="s">
        <v>2268</v>
      </c>
      <c r="I544" s="617" t="s">
        <v>2269</v>
      </c>
      <c r="J544" s="617" t="s">
        <v>2213</v>
      </c>
      <c r="K544" s="617" t="s">
        <v>2270</v>
      </c>
      <c r="L544" s="619">
        <v>48.250000000000028</v>
      </c>
      <c r="M544" s="619">
        <v>2</v>
      </c>
      <c r="N544" s="620">
        <v>96.500000000000057</v>
      </c>
    </row>
    <row r="545" spans="1:14" ht="14.4" customHeight="1" x14ac:dyDescent="0.3">
      <c r="A545" s="615" t="s">
        <v>479</v>
      </c>
      <c r="B545" s="616" t="s">
        <v>2514</v>
      </c>
      <c r="C545" s="617" t="s">
        <v>484</v>
      </c>
      <c r="D545" s="618" t="s">
        <v>2515</v>
      </c>
      <c r="E545" s="617" t="s">
        <v>2207</v>
      </c>
      <c r="F545" s="618" t="s">
        <v>2519</v>
      </c>
      <c r="G545" s="617" t="s">
        <v>551</v>
      </c>
      <c r="H545" s="617" t="s">
        <v>2271</v>
      </c>
      <c r="I545" s="617" t="s">
        <v>2272</v>
      </c>
      <c r="J545" s="617" t="s">
        <v>2273</v>
      </c>
      <c r="K545" s="617"/>
      <c r="L545" s="619">
        <v>640.08999999999992</v>
      </c>
      <c r="M545" s="619">
        <v>5</v>
      </c>
      <c r="N545" s="620">
        <v>3200.45</v>
      </c>
    </row>
    <row r="546" spans="1:14" ht="14.4" customHeight="1" x14ac:dyDescent="0.3">
      <c r="A546" s="615" t="s">
        <v>479</v>
      </c>
      <c r="B546" s="616" t="s">
        <v>2514</v>
      </c>
      <c r="C546" s="617" t="s">
        <v>484</v>
      </c>
      <c r="D546" s="618" t="s">
        <v>2515</v>
      </c>
      <c r="E546" s="617" t="s">
        <v>2207</v>
      </c>
      <c r="F546" s="618" t="s">
        <v>2519</v>
      </c>
      <c r="G546" s="617" t="s">
        <v>551</v>
      </c>
      <c r="H546" s="617" t="s">
        <v>2274</v>
      </c>
      <c r="I546" s="617" t="s">
        <v>2275</v>
      </c>
      <c r="J546" s="617" t="s">
        <v>2276</v>
      </c>
      <c r="K546" s="617" t="s">
        <v>2277</v>
      </c>
      <c r="L546" s="619">
        <v>77.259999999999991</v>
      </c>
      <c r="M546" s="619">
        <v>2</v>
      </c>
      <c r="N546" s="620">
        <v>154.51999999999998</v>
      </c>
    </row>
    <row r="547" spans="1:14" ht="14.4" customHeight="1" x14ac:dyDescent="0.3">
      <c r="A547" s="615" t="s">
        <v>479</v>
      </c>
      <c r="B547" s="616" t="s">
        <v>2514</v>
      </c>
      <c r="C547" s="617" t="s">
        <v>484</v>
      </c>
      <c r="D547" s="618" t="s">
        <v>2515</v>
      </c>
      <c r="E547" s="617" t="s">
        <v>2207</v>
      </c>
      <c r="F547" s="618" t="s">
        <v>2519</v>
      </c>
      <c r="G547" s="617" t="s">
        <v>551</v>
      </c>
      <c r="H547" s="617" t="s">
        <v>2278</v>
      </c>
      <c r="I547" s="617" t="s">
        <v>2279</v>
      </c>
      <c r="J547" s="617" t="s">
        <v>1732</v>
      </c>
      <c r="K547" s="617" t="s">
        <v>2280</v>
      </c>
      <c r="L547" s="619">
        <v>235.60478455103728</v>
      </c>
      <c r="M547" s="619">
        <v>62</v>
      </c>
      <c r="N547" s="620">
        <v>14607.496642164311</v>
      </c>
    </row>
    <row r="548" spans="1:14" ht="14.4" customHeight="1" x14ac:dyDescent="0.3">
      <c r="A548" s="615" t="s">
        <v>479</v>
      </c>
      <c r="B548" s="616" t="s">
        <v>2514</v>
      </c>
      <c r="C548" s="617" t="s">
        <v>484</v>
      </c>
      <c r="D548" s="618" t="s">
        <v>2515</v>
      </c>
      <c r="E548" s="617" t="s">
        <v>2207</v>
      </c>
      <c r="F548" s="618" t="s">
        <v>2519</v>
      </c>
      <c r="G548" s="617" t="s">
        <v>551</v>
      </c>
      <c r="H548" s="617" t="s">
        <v>2281</v>
      </c>
      <c r="I548" s="617" t="s">
        <v>2282</v>
      </c>
      <c r="J548" s="617" t="s">
        <v>2283</v>
      </c>
      <c r="K548" s="617" t="s">
        <v>2284</v>
      </c>
      <c r="L548" s="619">
        <v>103.66000000000001</v>
      </c>
      <c r="M548" s="619">
        <v>1</v>
      </c>
      <c r="N548" s="620">
        <v>103.66000000000001</v>
      </c>
    </row>
    <row r="549" spans="1:14" ht="14.4" customHeight="1" x14ac:dyDescent="0.3">
      <c r="A549" s="615" t="s">
        <v>479</v>
      </c>
      <c r="B549" s="616" t="s">
        <v>2514</v>
      </c>
      <c r="C549" s="617" t="s">
        <v>484</v>
      </c>
      <c r="D549" s="618" t="s">
        <v>2515</v>
      </c>
      <c r="E549" s="617" t="s">
        <v>2207</v>
      </c>
      <c r="F549" s="618" t="s">
        <v>2519</v>
      </c>
      <c r="G549" s="617" t="s">
        <v>551</v>
      </c>
      <c r="H549" s="617" t="s">
        <v>2285</v>
      </c>
      <c r="I549" s="617" t="s">
        <v>2286</v>
      </c>
      <c r="J549" s="617" t="s">
        <v>2287</v>
      </c>
      <c r="K549" s="617" t="s">
        <v>2288</v>
      </c>
      <c r="L549" s="619">
        <v>122.01000000000002</v>
      </c>
      <c r="M549" s="619">
        <v>1</v>
      </c>
      <c r="N549" s="620">
        <v>122.01000000000002</v>
      </c>
    </row>
    <row r="550" spans="1:14" ht="14.4" customHeight="1" x14ac:dyDescent="0.3">
      <c r="A550" s="615" t="s">
        <v>479</v>
      </c>
      <c r="B550" s="616" t="s">
        <v>2514</v>
      </c>
      <c r="C550" s="617" t="s">
        <v>484</v>
      </c>
      <c r="D550" s="618" t="s">
        <v>2515</v>
      </c>
      <c r="E550" s="617" t="s">
        <v>2207</v>
      </c>
      <c r="F550" s="618" t="s">
        <v>2519</v>
      </c>
      <c r="G550" s="617" t="s">
        <v>551</v>
      </c>
      <c r="H550" s="617" t="s">
        <v>2289</v>
      </c>
      <c r="I550" s="617" t="s">
        <v>2289</v>
      </c>
      <c r="J550" s="617" t="s">
        <v>2290</v>
      </c>
      <c r="K550" s="617" t="s">
        <v>2291</v>
      </c>
      <c r="L550" s="619">
        <v>165.94212121212121</v>
      </c>
      <c r="M550" s="619">
        <v>6.6000000000000005</v>
      </c>
      <c r="N550" s="620">
        <v>1095.2180000000001</v>
      </c>
    </row>
    <row r="551" spans="1:14" ht="14.4" customHeight="1" x14ac:dyDescent="0.3">
      <c r="A551" s="615" t="s">
        <v>479</v>
      </c>
      <c r="B551" s="616" t="s">
        <v>2514</v>
      </c>
      <c r="C551" s="617" t="s">
        <v>484</v>
      </c>
      <c r="D551" s="618" t="s">
        <v>2515</v>
      </c>
      <c r="E551" s="617" t="s">
        <v>2207</v>
      </c>
      <c r="F551" s="618" t="s">
        <v>2519</v>
      </c>
      <c r="G551" s="617" t="s">
        <v>551</v>
      </c>
      <c r="H551" s="617" t="s">
        <v>2292</v>
      </c>
      <c r="I551" s="617" t="s">
        <v>2293</v>
      </c>
      <c r="J551" s="617" t="s">
        <v>2294</v>
      </c>
      <c r="K551" s="617" t="s">
        <v>2295</v>
      </c>
      <c r="L551" s="619">
        <v>135.62999999999997</v>
      </c>
      <c r="M551" s="619">
        <v>3</v>
      </c>
      <c r="N551" s="620">
        <v>406.88999999999993</v>
      </c>
    </row>
    <row r="552" spans="1:14" ht="14.4" customHeight="1" x14ac:dyDescent="0.3">
      <c r="A552" s="615" t="s">
        <v>479</v>
      </c>
      <c r="B552" s="616" t="s">
        <v>2514</v>
      </c>
      <c r="C552" s="617" t="s">
        <v>484</v>
      </c>
      <c r="D552" s="618" t="s">
        <v>2515</v>
      </c>
      <c r="E552" s="617" t="s">
        <v>2207</v>
      </c>
      <c r="F552" s="618" t="s">
        <v>2519</v>
      </c>
      <c r="G552" s="617" t="s">
        <v>551</v>
      </c>
      <c r="H552" s="617" t="s">
        <v>2296</v>
      </c>
      <c r="I552" s="617" t="s">
        <v>2297</v>
      </c>
      <c r="J552" s="617" t="s">
        <v>2298</v>
      </c>
      <c r="K552" s="617" t="s">
        <v>2299</v>
      </c>
      <c r="L552" s="619">
        <v>128.68999999999997</v>
      </c>
      <c r="M552" s="619">
        <v>3</v>
      </c>
      <c r="N552" s="620">
        <v>386.06999999999994</v>
      </c>
    </row>
    <row r="553" spans="1:14" ht="14.4" customHeight="1" x14ac:dyDescent="0.3">
      <c r="A553" s="615" t="s">
        <v>479</v>
      </c>
      <c r="B553" s="616" t="s">
        <v>2514</v>
      </c>
      <c r="C553" s="617" t="s">
        <v>484</v>
      </c>
      <c r="D553" s="618" t="s">
        <v>2515</v>
      </c>
      <c r="E553" s="617" t="s">
        <v>2207</v>
      </c>
      <c r="F553" s="618" t="s">
        <v>2519</v>
      </c>
      <c r="G553" s="617" t="s">
        <v>551</v>
      </c>
      <c r="H553" s="617" t="s">
        <v>2300</v>
      </c>
      <c r="I553" s="617" t="s">
        <v>2301</v>
      </c>
      <c r="J553" s="617" t="s">
        <v>2302</v>
      </c>
      <c r="K553" s="617" t="s">
        <v>2303</v>
      </c>
      <c r="L553" s="619">
        <v>46.840000000000011</v>
      </c>
      <c r="M553" s="619">
        <v>1</v>
      </c>
      <c r="N553" s="620">
        <v>46.840000000000011</v>
      </c>
    </row>
    <row r="554" spans="1:14" ht="14.4" customHeight="1" x14ac:dyDescent="0.3">
      <c r="A554" s="615" t="s">
        <v>479</v>
      </c>
      <c r="B554" s="616" t="s">
        <v>2514</v>
      </c>
      <c r="C554" s="617" t="s">
        <v>484</v>
      </c>
      <c r="D554" s="618" t="s">
        <v>2515</v>
      </c>
      <c r="E554" s="617" t="s">
        <v>2207</v>
      </c>
      <c r="F554" s="618" t="s">
        <v>2519</v>
      </c>
      <c r="G554" s="617" t="s">
        <v>551</v>
      </c>
      <c r="H554" s="617" t="s">
        <v>2304</v>
      </c>
      <c r="I554" s="617" t="s">
        <v>2305</v>
      </c>
      <c r="J554" s="617" t="s">
        <v>2302</v>
      </c>
      <c r="K554" s="617" t="s">
        <v>2306</v>
      </c>
      <c r="L554" s="619">
        <v>44.149999999999984</v>
      </c>
      <c r="M554" s="619">
        <v>1</v>
      </c>
      <c r="N554" s="620">
        <v>44.149999999999984</v>
      </c>
    </row>
    <row r="555" spans="1:14" ht="14.4" customHeight="1" x14ac:dyDescent="0.3">
      <c r="A555" s="615" t="s">
        <v>479</v>
      </c>
      <c r="B555" s="616" t="s">
        <v>2514</v>
      </c>
      <c r="C555" s="617" t="s">
        <v>484</v>
      </c>
      <c r="D555" s="618" t="s">
        <v>2515</v>
      </c>
      <c r="E555" s="617" t="s">
        <v>2207</v>
      </c>
      <c r="F555" s="618" t="s">
        <v>2519</v>
      </c>
      <c r="G555" s="617" t="s">
        <v>551</v>
      </c>
      <c r="H555" s="617" t="s">
        <v>2307</v>
      </c>
      <c r="I555" s="617" t="s">
        <v>2308</v>
      </c>
      <c r="J555" s="617" t="s">
        <v>2309</v>
      </c>
      <c r="K555" s="617" t="s">
        <v>2310</v>
      </c>
      <c r="L555" s="619">
        <v>107.44000000000003</v>
      </c>
      <c r="M555" s="619">
        <v>1</v>
      </c>
      <c r="N555" s="620">
        <v>107.44000000000003</v>
      </c>
    </row>
    <row r="556" spans="1:14" ht="14.4" customHeight="1" x14ac:dyDescent="0.3">
      <c r="A556" s="615" t="s">
        <v>479</v>
      </c>
      <c r="B556" s="616" t="s">
        <v>2514</v>
      </c>
      <c r="C556" s="617" t="s">
        <v>484</v>
      </c>
      <c r="D556" s="618" t="s">
        <v>2515</v>
      </c>
      <c r="E556" s="617" t="s">
        <v>2207</v>
      </c>
      <c r="F556" s="618" t="s">
        <v>2519</v>
      </c>
      <c r="G556" s="617" t="s">
        <v>551</v>
      </c>
      <c r="H556" s="617" t="s">
        <v>2311</v>
      </c>
      <c r="I556" s="617" t="s">
        <v>2312</v>
      </c>
      <c r="J556" s="617" t="s">
        <v>2313</v>
      </c>
      <c r="K556" s="617" t="s">
        <v>2314</v>
      </c>
      <c r="L556" s="619">
        <v>772.08</v>
      </c>
      <c r="M556" s="619">
        <v>11</v>
      </c>
      <c r="N556" s="620">
        <v>8492.880000000001</v>
      </c>
    </row>
    <row r="557" spans="1:14" ht="14.4" customHeight="1" x14ac:dyDescent="0.3">
      <c r="A557" s="615" t="s">
        <v>479</v>
      </c>
      <c r="B557" s="616" t="s">
        <v>2514</v>
      </c>
      <c r="C557" s="617" t="s">
        <v>484</v>
      </c>
      <c r="D557" s="618" t="s">
        <v>2515</v>
      </c>
      <c r="E557" s="617" t="s">
        <v>2207</v>
      </c>
      <c r="F557" s="618" t="s">
        <v>2519</v>
      </c>
      <c r="G557" s="617" t="s">
        <v>551</v>
      </c>
      <c r="H557" s="617" t="s">
        <v>2315</v>
      </c>
      <c r="I557" s="617" t="s">
        <v>2315</v>
      </c>
      <c r="J557" s="617" t="s">
        <v>2316</v>
      </c>
      <c r="K557" s="617" t="s">
        <v>2317</v>
      </c>
      <c r="L557" s="619">
        <v>457.41770955683467</v>
      </c>
      <c r="M557" s="619">
        <v>199.89999999999995</v>
      </c>
      <c r="N557" s="620">
        <v>91437.800140411229</v>
      </c>
    </row>
    <row r="558" spans="1:14" ht="14.4" customHeight="1" x14ac:dyDescent="0.3">
      <c r="A558" s="615" t="s">
        <v>479</v>
      </c>
      <c r="B558" s="616" t="s">
        <v>2514</v>
      </c>
      <c r="C558" s="617" t="s">
        <v>484</v>
      </c>
      <c r="D558" s="618" t="s">
        <v>2515</v>
      </c>
      <c r="E558" s="617" t="s">
        <v>2207</v>
      </c>
      <c r="F558" s="618" t="s">
        <v>2519</v>
      </c>
      <c r="G558" s="617" t="s">
        <v>551</v>
      </c>
      <c r="H558" s="617" t="s">
        <v>2318</v>
      </c>
      <c r="I558" s="617" t="s">
        <v>2318</v>
      </c>
      <c r="J558" s="617" t="s">
        <v>2319</v>
      </c>
      <c r="K558" s="617" t="s">
        <v>1503</v>
      </c>
      <c r="L558" s="619">
        <v>37.247325664573594</v>
      </c>
      <c r="M558" s="619">
        <v>120</v>
      </c>
      <c r="N558" s="620">
        <v>4469.6790797488311</v>
      </c>
    </row>
    <row r="559" spans="1:14" ht="14.4" customHeight="1" x14ac:dyDescent="0.3">
      <c r="A559" s="615" t="s">
        <v>479</v>
      </c>
      <c r="B559" s="616" t="s">
        <v>2514</v>
      </c>
      <c r="C559" s="617" t="s">
        <v>484</v>
      </c>
      <c r="D559" s="618" t="s">
        <v>2515</v>
      </c>
      <c r="E559" s="617" t="s">
        <v>2207</v>
      </c>
      <c r="F559" s="618" t="s">
        <v>2519</v>
      </c>
      <c r="G559" s="617" t="s">
        <v>551</v>
      </c>
      <c r="H559" s="617" t="s">
        <v>2320</v>
      </c>
      <c r="I559" s="617" t="s">
        <v>2320</v>
      </c>
      <c r="J559" s="617" t="s">
        <v>2321</v>
      </c>
      <c r="K559" s="617" t="s">
        <v>2322</v>
      </c>
      <c r="L559" s="619">
        <v>156.48868501529054</v>
      </c>
      <c r="M559" s="619">
        <v>32.70000000000001</v>
      </c>
      <c r="N559" s="620">
        <v>5117.1800000000021</v>
      </c>
    </row>
    <row r="560" spans="1:14" ht="14.4" customHeight="1" x14ac:dyDescent="0.3">
      <c r="A560" s="615" t="s">
        <v>479</v>
      </c>
      <c r="B560" s="616" t="s">
        <v>2514</v>
      </c>
      <c r="C560" s="617" t="s">
        <v>484</v>
      </c>
      <c r="D560" s="618" t="s">
        <v>2515</v>
      </c>
      <c r="E560" s="617" t="s">
        <v>2207</v>
      </c>
      <c r="F560" s="618" t="s">
        <v>2519</v>
      </c>
      <c r="G560" s="617" t="s">
        <v>551</v>
      </c>
      <c r="H560" s="617" t="s">
        <v>2323</v>
      </c>
      <c r="I560" s="617" t="s">
        <v>2323</v>
      </c>
      <c r="J560" s="617" t="s">
        <v>2324</v>
      </c>
      <c r="K560" s="617" t="s">
        <v>2325</v>
      </c>
      <c r="L560" s="619">
        <v>2530</v>
      </c>
      <c r="M560" s="619">
        <v>5</v>
      </c>
      <c r="N560" s="620">
        <v>12650</v>
      </c>
    </row>
    <row r="561" spans="1:14" ht="14.4" customHeight="1" x14ac:dyDescent="0.3">
      <c r="A561" s="615" t="s">
        <v>479</v>
      </c>
      <c r="B561" s="616" t="s">
        <v>2514</v>
      </c>
      <c r="C561" s="617" t="s">
        <v>484</v>
      </c>
      <c r="D561" s="618" t="s">
        <v>2515</v>
      </c>
      <c r="E561" s="617" t="s">
        <v>2207</v>
      </c>
      <c r="F561" s="618" t="s">
        <v>2519</v>
      </c>
      <c r="G561" s="617" t="s">
        <v>551</v>
      </c>
      <c r="H561" s="617" t="s">
        <v>2326</v>
      </c>
      <c r="I561" s="617" t="s">
        <v>2326</v>
      </c>
      <c r="J561" s="617" t="s">
        <v>2327</v>
      </c>
      <c r="K561" s="617" t="s">
        <v>2328</v>
      </c>
      <c r="L561" s="619">
        <v>145.64434782608697</v>
      </c>
      <c r="M561" s="619">
        <v>115</v>
      </c>
      <c r="N561" s="620">
        <v>16749.100000000002</v>
      </c>
    </row>
    <row r="562" spans="1:14" ht="14.4" customHeight="1" x14ac:dyDescent="0.3">
      <c r="A562" s="615" t="s">
        <v>479</v>
      </c>
      <c r="B562" s="616" t="s">
        <v>2514</v>
      </c>
      <c r="C562" s="617" t="s">
        <v>484</v>
      </c>
      <c r="D562" s="618" t="s">
        <v>2515</v>
      </c>
      <c r="E562" s="617" t="s">
        <v>2207</v>
      </c>
      <c r="F562" s="618" t="s">
        <v>2519</v>
      </c>
      <c r="G562" s="617" t="s">
        <v>551</v>
      </c>
      <c r="H562" s="617" t="s">
        <v>2329</v>
      </c>
      <c r="I562" s="617" t="s">
        <v>2329</v>
      </c>
      <c r="J562" s="617" t="s">
        <v>2330</v>
      </c>
      <c r="K562" s="617" t="s">
        <v>2331</v>
      </c>
      <c r="L562" s="619">
        <v>460.21</v>
      </c>
      <c r="M562" s="619">
        <v>7.5</v>
      </c>
      <c r="N562" s="620">
        <v>3451.5749999999998</v>
      </c>
    </row>
    <row r="563" spans="1:14" ht="14.4" customHeight="1" x14ac:dyDescent="0.3">
      <c r="A563" s="615" t="s">
        <v>479</v>
      </c>
      <c r="B563" s="616" t="s">
        <v>2514</v>
      </c>
      <c r="C563" s="617" t="s">
        <v>484</v>
      </c>
      <c r="D563" s="618" t="s">
        <v>2515</v>
      </c>
      <c r="E563" s="617" t="s">
        <v>2207</v>
      </c>
      <c r="F563" s="618" t="s">
        <v>2519</v>
      </c>
      <c r="G563" s="617" t="s">
        <v>551</v>
      </c>
      <c r="H563" s="617" t="s">
        <v>2332</v>
      </c>
      <c r="I563" s="617" t="s">
        <v>2332</v>
      </c>
      <c r="J563" s="617" t="s">
        <v>2333</v>
      </c>
      <c r="K563" s="617" t="s">
        <v>2334</v>
      </c>
      <c r="L563" s="619">
        <v>217.80000000000004</v>
      </c>
      <c r="M563" s="619">
        <v>12.799999999999999</v>
      </c>
      <c r="N563" s="620">
        <v>2787.84</v>
      </c>
    </row>
    <row r="564" spans="1:14" ht="14.4" customHeight="1" x14ac:dyDescent="0.3">
      <c r="A564" s="615" t="s">
        <v>479</v>
      </c>
      <c r="B564" s="616" t="s">
        <v>2514</v>
      </c>
      <c r="C564" s="617" t="s">
        <v>484</v>
      </c>
      <c r="D564" s="618" t="s">
        <v>2515</v>
      </c>
      <c r="E564" s="617" t="s">
        <v>2207</v>
      </c>
      <c r="F564" s="618" t="s">
        <v>2519</v>
      </c>
      <c r="G564" s="617" t="s">
        <v>551</v>
      </c>
      <c r="H564" s="617" t="s">
        <v>2335</v>
      </c>
      <c r="I564" s="617" t="s">
        <v>2335</v>
      </c>
      <c r="J564" s="617" t="s">
        <v>2336</v>
      </c>
      <c r="K564" s="617" t="s">
        <v>2337</v>
      </c>
      <c r="L564" s="619">
        <v>152.9</v>
      </c>
      <c r="M564" s="619">
        <v>2</v>
      </c>
      <c r="N564" s="620">
        <v>305.8</v>
      </c>
    </row>
    <row r="565" spans="1:14" ht="14.4" customHeight="1" x14ac:dyDescent="0.3">
      <c r="A565" s="615" t="s">
        <v>479</v>
      </c>
      <c r="B565" s="616" t="s">
        <v>2514</v>
      </c>
      <c r="C565" s="617" t="s">
        <v>484</v>
      </c>
      <c r="D565" s="618" t="s">
        <v>2515</v>
      </c>
      <c r="E565" s="617" t="s">
        <v>2207</v>
      </c>
      <c r="F565" s="618" t="s">
        <v>2519</v>
      </c>
      <c r="G565" s="617" t="s">
        <v>551</v>
      </c>
      <c r="H565" s="617" t="s">
        <v>2338</v>
      </c>
      <c r="I565" s="617" t="s">
        <v>2338</v>
      </c>
      <c r="J565" s="617" t="s">
        <v>2339</v>
      </c>
      <c r="K565" s="617" t="s">
        <v>2340</v>
      </c>
      <c r="L565" s="619">
        <v>286</v>
      </c>
      <c r="M565" s="619">
        <v>33</v>
      </c>
      <c r="N565" s="620">
        <v>9438</v>
      </c>
    </row>
    <row r="566" spans="1:14" ht="14.4" customHeight="1" x14ac:dyDescent="0.3">
      <c r="A566" s="615" t="s">
        <v>479</v>
      </c>
      <c r="B566" s="616" t="s">
        <v>2514</v>
      </c>
      <c r="C566" s="617" t="s">
        <v>484</v>
      </c>
      <c r="D566" s="618" t="s">
        <v>2515</v>
      </c>
      <c r="E566" s="617" t="s">
        <v>2207</v>
      </c>
      <c r="F566" s="618" t="s">
        <v>2519</v>
      </c>
      <c r="G566" s="617" t="s">
        <v>551</v>
      </c>
      <c r="H566" s="617" t="s">
        <v>2341</v>
      </c>
      <c r="I566" s="617" t="s">
        <v>2342</v>
      </c>
      <c r="J566" s="617" t="s">
        <v>2343</v>
      </c>
      <c r="K566" s="617" t="s">
        <v>2344</v>
      </c>
      <c r="L566" s="619">
        <v>264.00000258487046</v>
      </c>
      <c r="M566" s="619">
        <v>22.4</v>
      </c>
      <c r="N566" s="620">
        <v>5913.6000579010979</v>
      </c>
    </row>
    <row r="567" spans="1:14" ht="14.4" customHeight="1" x14ac:dyDescent="0.3">
      <c r="A567" s="615" t="s">
        <v>479</v>
      </c>
      <c r="B567" s="616" t="s">
        <v>2514</v>
      </c>
      <c r="C567" s="617" t="s">
        <v>484</v>
      </c>
      <c r="D567" s="618" t="s">
        <v>2515</v>
      </c>
      <c r="E567" s="617" t="s">
        <v>2207</v>
      </c>
      <c r="F567" s="618" t="s">
        <v>2519</v>
      </c>
      <c r="G567" s="617" t="s">
        <v>551</v>
      </c>
      <c r="H567" s="617" t="s">
        <v>2345</v>
      </c>
      <c r="I567" s="617" t="s">
        <v>2346</v>
      </c>
      <c r="J567" s="617" t="s">
        <v>2347</v>
      </c>
      <c r="K567" s="617"/>
      <c r="L567" s="619">
        <v>155.1</v>
      </c>
      <c r="M567" s="619">
        <v>16.399999999999999</v>
      </c>
      <c r="N567" s="620">
        <v>2543.64</v>
      </c>
    </row>
    <row r="568" spans="1:14" ht="14.4" customHeight="1" x14ac:dyDescent="0.3">
      <c r="A568" s="615" t="s">
        <v>479</v>
      </c>
      <c r="B568" s="616" t="s">
        <v>2514</v>
      </c>
      <c r="C568" s="617" t="s">
        <v>484</v>
      </c>
      <c r="D568" s="618" t="s">
        <v>2515</v>
      </c>
      <c r="E568" s="617" t="s">
        <v>2207</v>
      </c>
      <c r="F568" s="618" t="s">
        <v>2519</v>
      </c>
      <c r="G568" s="617" t="s">
        <v>551</v>
      </c>
      <c r="H568" s="617" t="s">
        <v>2348</v>
      </c>
      <c r="I568" s="617" t="s">
        <v>2348</v>
      </c>
      <c r="J568" s="617" t="s">
        <v>2349</v>
      </c>
      <c r="K568" s="617" t="s">
        <v>2350</v>
      </c>
      <c r="L568" s="619">
        <v>393.82</v>
      </c>
      <c r="M568" s="619">
        <v>1</v>
      </c>
      <c r="N568" s="620">
        <v>393.82</v>
      </c>
    </row>
    <row r="569" spans="1:14" ht="14.4" customHeight="1" x14ac:dyDescent="0.3">
      <c r="A569" s="615" t="s">
        <v>479</v>
      </c>
      <c r="B569" s="616" t="s">
        <v>2514</v>
      </c>
      <c r="C569" s="617" t="s">
        <v>484</v>
      </c>
      <c r="D569" s="618" t="s">
        <v>2515</v>
      </c>
      <c r="E569" s="617" t="s">
        <v>2207</v>
      </c>
      <c r="F569" s="618" t="s">
        <v>2519</v>
      </c>
      <c r="G569" s="617" t="s">
        <v>551</v>
      </c>
      <c r="H569" s="617" t="s">
        <v>2351</v>
      </c>
      <c r="I569" s="617" t="s">
        <v>2351</v>
      </c>
      <c r="J569" s="617" t="s">
        <v>2352</v>
      </c>
      <c r="K569" s="617" t="s">
        <v>2353</v>
      </c>
      <c r="L569" s="619">
        <v>72.639999999999986</v>
      </c>
      <c r="M569" s="619">
        <v>2</v>
      </c>
      <c r="N569" s="620">
        <v>145.27999999999997</v>
      </c>
    </row>
    <row r="570" spans="1:14" ht="14.4" customHeight="1" x14ac:dyDescent="0.3">
      <c r="A570" s="615" t="s">
        <v>479</v>
      </c>
      <c r="B570" s="616" t="s">
        <v>2514</v>
      </c>
      <c r="C570" s="617" t="s">
        <v>484</v>
      </c>
      <c r="D570" s="618" t="s">
        <v>2515</v>
      </c>
      <c r="E570" s="617" t="s">
        <v>2207</v>
      </c>
      <c r="F570" s="618" t="s">
        <v>2519</v>
      </c>
      <c r="G570" s="617" t="s">
        <v>551</v>
      </c>
      <c r="H570" s="617" t="s">
        <v>2354</v>
      </c>
      <c r="I570" s="617" t="s">
        <v>2354</v>
      </c>
      <c r="J570" s="617" t="s">
        <v>2355</v>
      </c>
      <c r="K570" s="617" t="s">
        <v>2356</v>
      </c>
      <c r="L570" s="619">
        <v>419.52122976697393</v>
      </c>
      <c r="M570" s="619">
        <v>2.4</v>
      </c>
      <c r="N570" s="620">
        <v>1006.8509514407374</v>
      </c>
    </row>
    <row r="571" spans="1:14" ht="14.4" customHeight="1" x14ac:dyDescent="0.3">
      <c r="A571" s="615" t="s">
        <v>479</v>
      </c>
      <c r="B571" s="616" t="s">
        <v>2514</v>
      </c>
      <c r="C571" s="617" t="s">
        <v>484</v>
      </c>
      <c r="D571" s="618" t="s">
        <v>2515</v>
      </c>
      <c r="E571" s="617" t="s">
        <v>2207</v>
      </c>
      <c r="F571" s="618" t="s">
        <v>2519</v>
      </c>
      <c r="G571" s="617" t="s">
        <v>551</v>
      </c>
      <c r="H571" s="617" t="s">
        <v>2357</v>
      </c>
      <c r="I571" s="617" t="s">
        <v>2357</v>
      </c>
      <c r="J571" s="617" t="s">
        <v>2358</v>
      </c>
      <c r="K571" s="617" t="s">
        <v>2236</v>
      </c>
      <c r="L571" s="619">
        <v>264</v>
      </c>
      <c r="M571" s="619">
        <v>1</v>
      </c>
      <c r="N571" s="620">
        <v>264</v>
      </c>
    </row>
    <row r="572" spans="1:14" ht="14.4" customHeight="1" x14ac:dyDescent="0.3">
      <c r="A572" s="615" t="s">
        <v>479</v>
      </c>
      <c r="B572" s="616" t="s">
        <v>2514</v>
      </c>
      <c r="C572" s="617" t="s">
        <v>484</v>
      </c>
      <c r="D572" s="618" t="s">
        <v>2515</v>
      </c>
      <c r="E572" s="617" t="s">
        <v>2207</v>
      </c>
      <c r="F572" s="618" t="s">
        <v>2519</v>
      </c>
      <c r="G572" s="617" t="s">
        <v>551</v>
      </c>
      <c r="H572" s="617" t="s">
        <v>2359</v>
      </c>
      <c r="I572" s="617" t="s">
        <v>2359</v>
      </c>
      <c r="J572" s="617" t="s">
        <v>2247</v>
      </c>
      <c r="K572" s="617" t="s">
        <v>2248</v>
      </c>
      <c r="L572" s="619">
        <v>232.48000000000002</v>
      </c>
      <c r="M572" s="619">
        <v>3</v>
      </c>
      <c r="N572" s="620">
        <v>697.44</v>
      </c>
    </row>
    <row r="573" spans="1:14" ht="14.4" customHeight="1" x14ac:dyDescent="0.3">
      <c r="A573" s="615" t="s">
        <v>479</v>
      </c>
      <c r="B573" s="616" t="s">
        <v>2514</v>
      </c>
      <c r="C573" s="617" t="s">
        <v>484</v>
      </c>
      <c r="D573" s="618" t="s">
        <v>2515</v>
      </c>
      <c r="E573" s="617" t="s">
        <v>2207</v>
      </c>
      <c r="F573" s="618" t="s">
        <v>2519</v>
      </c>
      <c r="G573" s="617" t="s">
        <v>551</v>
      </c>
      <c r="H573" s="617" t="s">
        <v>2360</v>
      </c>
      <c r="I573" s="617" t="s">
        <v>2361</v>
      </c>
      <c r="J573" s="617" t="s">
        <v>2362</v>
      </c>
      <c r="K573" s="617" t="s">
        <v>2240</v>
      </c>
      <c r="L573" s="619">
        <v>58.720000000000013</v>
      </c>
      <c r="M573" s="619">
        <v>2</v>
      </c>
      <c r="N573" s="620">
        <v>117.44000000000003</v>
      </c>
    </row>
    <row r="574" spans="1:14" ht="14.4" customHeight="1" x14ac:dyDescent="0.3">
      <c r="A574" s="615" t="s">
        <v>479</v>
      </c>
      <c r="B574" s="616" t="s">
        <v>2514</v>
      </c>
      <c r="C574" s="617" t="s">
        <v>484</v>
      </c>
      <c r="D574" s="618" t="s">
        <v>2515</v>
      </c>
      <c r="E574" s="617" t="s">
        <v>2207</v>
      </c>
      <c r="F574" s="618" t="s">
        <v>2519</v>
      </c>
      <c r="G574" s="617" t="s">
        <v>551</v>
      </c>
      <c r="H574" s="617" t="s">
        <v>2363</v>
      </c>
      <c r="I574" s="617" t="s">
        <v>2363</v>
      </c>
      <c r="J574" s="617" t="s">
        <v>2364</v>
      </c>
      <c r="K574" s="617" t="s">
        <v>2365</v>
      </c>
      <c r="L574" s="619">
        <v>562.87000000000012</v>
      </c>
      <c r="M574" s="619">
        <v>25.3</v>
      </c>
      <c r="N574" s="620">
        <v>14240.611000000004</v>
      </c>
    </row>
    <row r="575" spans="1:14" ht="14.4" customHeight="1" x14ac:dyDescent="0.3">
      <c r="A575" s="615" t="s">
        <v>479</v>
      </c>
      <c r="B575" s="616" t="s">
        <v>2514</v>
      </c>
      <c r="C575" s="617" t="s">
        <v>484</v>
      </c>
      <c r="D575" s="618" t="s">
        <v>2515</v>
      </c>
      <c r="E575" s="617" t="s">
        <v>2207</v>
      </c>
      <c r="F575" s="618" t="s">
        <v>2519</v>
      </c>
      <c r="G575" s="617" t="s">
        <v>551</v>
      </c>
      <c r="H575" s="617" t="s">
        <v>2366</v>
      </c>
      <c r="I575" s="617" t="s">
        <v>2366</v>
      </c>
      <c r="J575" s="617" t="s">
        <v>2367</v>
      </c>
      <c r="K575" s="617" t="s">
        <v>543</v>
      </c>
      <c r="L575" s="619">
        <v>90.219999999999985</v>
      </c>
      <c r="M575" s="619">
        <v>4</v>
      </c>
      <c r="N575" s="620">
        <v>360.87999999999994</v>
      </c>
    </row>
    <row r="576" spans="1:14" ht="14.4" customHeight="1" x14ac:dyDescent="0.3">
      <c r="A576" s="615" t="s">
        <v>479</v>
      </c>
      <c r="B576" s="616" t="s">
        <v>2514</v>
      </c>
      <c r="C576" s="617" t="s">
        <v>484</v>
      </c>
      <c r="D576" s="618" t="s">
        <v>2515</v>
      </c>
      <c r="E576" s="617" t="s">
        <v>2207</v>
      </c>
      <c r="F576" s="618" t="s">
        <v>2519</v>
      </c>
      <c r="G576" s="617" t="s">
        <v>551</v>
      </c>
      <c r="H576" s="617" t="s">
        <v>2368</v>
      </c>
      <c r="I576" s="617" t="s">
        <v>2368</v>
      </c>
      <c r="J576" s="617" t="s">
        <v>2319</v>
      </c>
      <c r="K576" s="617" t="s">
        <v>2369</v>
      </c>
      <c r="L576" s="619">
        <v>316.02454545454543</v>
      </c>
      <c r="M576" s="619">
        <v>11</v>
      </c>
      <c r="N576" s="620">
        <v>3476.2699999999995</v>
      </c>
    </row>
    <row r="577" spans="1:14" ht="14.4" customHeight="1" x14ac:dyDescent="0.3">
      <c r="A577" s="615" t="s">
        <v>479</v>
      </c>
      <c r="B577" s="616" t="s">
        <v>2514</v>
      </c>
      <c r="C577" s="617" t="s">
        <v>484</v>
      </c>
      <c r="D577" s="618" t="s">
        <v>2515</v>
      </c>
      <c r="E577" s="617" t="s">
        <v>2207</v>
      </c>
      <c r="F577" s="618" t="s">
        <v>2519</v>
      </c>
      <c r="G577" s="617" t="s">
        <v>551</v>
      </c>
      <c r="H577" s="617" t="s">
        <v>2370</v>
      </c>
      <c r="I577" s="617" t="s">
        <v>2370</v>
      </c>
      <c r="J577" s="617" t="s">
        <v>2294</v>
      </c>
      <c r="K577" s="617" t="s">
        <v>2295</v>
      </c>
      <c r="L577" s="619">
        <v>138.34999999999997</v>
      </c>
      <c r="M577" s="619">
        <v>3</v>
      </c>
      <c r="N577" s="620">
        <v>415.0499999999999</v>
      </c>
    </row>
    <row r="578" spans="1:14" ht="14.4" customHeight="1" x14ac:dyDescent="0.3">
      <c r="A578" s="615" t="s">
        <v>479</v>
      </c>
      <c r="B578" s="616" t="s">
        <v>2514</v>
      </c>
      <c r="C578" s="617" t="s">
        <v>484</v>
      </c>
      <c r="D578" s="618" t="s">
        <v>2515</v>
      </c>
      <c r="E578" s="617" t="s">
        <v>2207</v>
      </c>
      <c r="F578" s="618" t="s">
        <v>2519</v>
      </c>
      <c r="G578" s="617" t="s">
        <v>1836</v>
      </c>
      <c r="H578" s="617" t="s">
        <v>2371</v>
      </c>
      <c r="I578" s="617" t="s">
        <v>2372</v>
      </c>
      <c r="J578" s="617" t="s">
        <v>2373</v>
      </c>
      <c r="K578" s="617" t="s">
        <v>2374</v>
      </c>
      <c r="L578" s="619">
        <v>115.94000000000001</v>
      </c>
      <c r="M578" s="619">
        <v>1</v>
      </c>
      <c r="N578" s="620">
        <v>115.94000000000001</v>
      </c>
    </row>
    <row r="579" spans="1:14" ht="14.4" customHeight="1" x14ac:dyDescent="0.3">
      <c r="A579" s="615" t="s">
        <v>479</v>
      </c>
      <c r="B579" s="616" t="s">
        <v>2514</v>
      </c>
      <c r="C579" s="617" t="s">
        <v>484</v>
      </c>
      <c r="D579" s="618" t="s">
        <v>2515</v>
      </c>
      <c r="E579" s="617" t="s">
        <v>2207</v>
      </c>
      <c r="F579" s="618" t="s">
        <v>2519</v>
      </c>
      <c r="G579" s="617" t="s">
        <v>1836</v>
      </c>
      <c r="H579" s="617" t="s">
        <v>2375</v>
      </c>
      <c r="I579" s="617" t="s">
        <v>2376</v>
      </c>
      <c r="J579" s="617" t="s">
        <v>2377</v>
      </c>
      <c r="K579" s="617" t="s">
        <v>2378</v>
      </c>
      <c r="L579" s="619">
        <v>326.95999999999992</v>
      </c>
      <c r="M579" s="619">
        <v>1</v>
      </c>
      <c r="N579" s="620">
        <v>326.95999999999992</v>
      </c>
    </row>
    <row r="580" spans="1:14" ht="14.4" customHeight="1" x14ac:dyDescent="0.3">
      <c r="A580" s="615" t="s">
        <v>479</v>
      </c>
      <c r="B580" s="616" t="s">
        <v>2514</v>
      </c>
      <c r="C580" s="617" t="s">
        <v>484</v>
      </c>
      <c r="D580" s="618" t="s">
        <v>2515</v>
      </c>
      <c r="E580" s="617" t="s">
        <v>2207</v>
      </c>
      <c r="F580" s="618" t="s">
        <v>2519</v>
      </c>
      <c r="G580" s="617" t="s">
        <v>1836</v>
      </c>
      <c r="H580" s="617" t="s">
        <v>2379</v>
      </c>
      <c r="I580" s="617" t="s">
        <v>2380</v>
      </c>
      <c r="J580" s="617" t="s">
        <v>2381</v>
      </c>
      <c r="K580" s="617" t="s">
        <v>2382</v>
      </c>
      <c r="L580" s="619">
        <v>28.88963704460334</v>
      </c>
      <c r="M580" s="619">
        <v>1335</v>
      </c>
      <c r="N580" s="620">
        <v>38567.665454545458</v>
      </c>
    </row>
    <row r="581" spans="1:14" ht="14.4" customHeight="1" x14ac:dyDescent="0.3">
      <c r="A581" s="615" t="s">
        <v>479</v>
      </c>
      <c r="B581" s="616" t="s">
        <v>2514</v>
      </c>
      <c r="C581" s="617" t="s">
        <v>484</v>
      </c>
      <c r="D581" s="618" t="s">
        <v>2515</v>
      </c>
      <c r="E581" s="617" t="s">
        <v>2207</v>
      </c>
      <c r="F581" s="618" t="s">
        <v>2519</v>
      </c>
      <c r="G581" s="617" t="s">
        <v>1836</v>
      </c>
      <c r="H581" s="617" t="s">
        <v>2383</v>
      </c>
      <c r="I581" s="617" t="s">
        <v>2384</v>
      </c>
      <c r="J581" s="617" t="s">
        <v>2385</v>
      </c>
      <c r="K581" s="617" t="s">
        <v>2386</v>
      </c>
      <c r="L581" s="619">
        <v>12213.372732240437</v>
      </c>
      <c r="M581" s="619">
        <v>54.900000000000006</v>
      </c>
      <c r="N581" s="620">
        <v>670514.16300000006</v>
      </c>
    </row>
    <row r="582" spans="1:14" ht="14.4" customHeight="1" x14ac:dyDescent="0.3">
      <c r="A582" s="615" t="s">
        <v>479</v>
      </c>
      <c r="B582" s="616" t="s">
        <v>2514</v>
      </c>
      <c r="C582" s="617" t="s">
        <v>484</v>
      </c>
      <c r="D582" s="618" t="s">
        <v>2515</v>
      </c>
      <c r="E582" s="617" t="s">
        <v>2207</v>
      </c>
      <c r="F582" s="618" t="s">
        <v>2519</v>
      </c>
      <c r="G582" s="617" t="s">
        <v>1836</v>
      </c>
      <c r="H582" s="617" t="s">
        <v>2387</v>
      </c>
      <c r="I582" s="617" t="s">
        <v>2387</v>
      </c>
      <c r="J582" s="617" t="s">
        <v>2388</v>
      </c>
      <c r="K582" s="617" t="s">
        <v>2328</v>
      </c>
      <c r="L582" s="619">
        <v>34.659999999999989</v>
      </c>
      <c r="M582" s="619">
        <v>46</v>
      </c>
      <c r="N582" s="620">
        <v>1594.3599999999997</v>
      </c>
    </row>
    <row r="583" spans="1:14" ht="14.4" customHeight="1" x14ac:dyDescent="0.3">
      <c r="A583" s="615" t="s">
        <v>479</v>
      </c>
      <c r="B583" s="616" t="s">
        <v>2514</v>
      </c>
      <c r="C583" s="617" t="s">
        <v>484</v>
      </c>
      <c r="D583" s="618" t="s">
        <v>2515</v>
      </c>
      <c r="E583" s="617" t="s">
        <v>2207</v>
      </c>
      <c r="F583" s="618" t="s">
        <v>2519</v>
      </c>
      <c r="G583" s="617" t="s">
        <v>1836</v>
      </c>
      <c r="H583" s="617" t="s">
        <v>2389</v>
      </c>
      <c r="I583" s="617" t="s">
        <v>2389</v>
      </c>
      <c r="J583" s="617" t="s">
        <v>2390</v>
      </c>
      <c r="K583" s="617" t="s">
        <v>2391</v>
      </c>
      <c r="L583" s="619">
        <v>55.207788480865624</v>
      </c>
      <c r="M583" s="619">
        <v>285</v>
      </c>
      <c r="N583" s="620">
        <v>15734.219717046702</v>
      </c>
    </row>
    <row r="584" spans="1:14" ht="14.4" customHeight="1" x14ac:dyDescent="0.3">
      <c r="A584" s="615" t="s">
        <v>479</v>
      </c>
      <c r="B584" s="616" t="s">
        <v>2514</v>
      </c>
      <c r="C584" s="617" t="s">
        <v>484</v>
      </c>
      <c r="D584" s="618" t="s">
        <v>2515</v>
      </c>
      <c r="E584" s="617" t="s">
        <v>2207</v>
      </c>
      <c r="F584" s="618" t="s">
        <v>2519</v>
      </c>
      <c r="G584" s="617" t="s">
        <v>1836</v>
      </c>
      <c r="H584" s="617" t="s">
        <v>2392</v>
      </c>
      <c r="I584" s="617" t="s">
        <v>2392</v>
      </c>
      <c r="J584" s="617" t="s">
        <v>2393</v>
      </c>
      <c r="K584" s="617" t="s">
        <v>2322</v>
      </c>
      <c r="L584" s="619">
        <v>936.19645062065183</v>
      </c>
      <c r="M584" s="619">
        <v>110.60000000000001</v>
      </c>
      <c r="N584" s="620">
        <v>103543.3274386441</v>
      </c>
    </row>
    <row r="585" spans="1:14" ht="14.4" customHeight="1" x14ac:dyDescent="0.3">
      <c r="A585" s="615" t="s">
        <v>479</v>
      </c>
      <c r="B585" s="616" t="s">
        <v>2514</v>
      </c>
      <c r="C585" s="617" t="s">
        <v>484</v>
      </c>
      <c r="D585" s="618" t="s">
        <v>2515</v>
      </c>
      <c r="E585" s="617" t="s">
        <v>2394</v>
      </c>
      <c r="F585" s="618" t="s">
        <v>2520</v>
      </c>
      <c r="G585" s="617"/>
      <c r="H585" s="617" t="s">
        <v>2395</v>
      </c>
      <c r="I585" s="617" t="s">
        <v>2396</v>
      </c>
      <c r="J585" s="617" t="s">
        <v>2397</v>
      </c>
      <c r="K585" s="617" t="s">
        <v>2398</v>
      </c>
      <c r="L585" s="619">
        <v>2825.2601639344261</v>
      </c>
      <c r="M585" s="619">
        <v>183</v>
      </c>
      <c r="N585" s="620">
        <v>517022.61</v>
      </c>
    </row>
    <row r="586" spans="1:14" ht="14.4" customHeight="1" x14ac:dyDescent="0.3">
      <c r="A586" s="615" t="s">
        <v>479</v>
      </c>
      <c r="B586" s="616" t="s">
        <v>2514</v>
      </c>
      <c r="C586" s="617" t="s">
        <v>484</v>
      </c>
      <c r="D586" s="618" t="s">
        <v>2515</v>
      </c>
      <c r="E586" s="617" t="s">
        <v>2394</v>
      </c>
      <c r="F586" s="618" t="s">
        <v>2520</v>
      </c>
      <c r="G586" s="617"/>
      <c r="H586" s="617" t="s">
        <v>2399</v>
      </c>
      <c r="I586" s="617" t="s">
        <v>2400</v>
      </c>
      <c r="J586" s="617" t="s">
        <v>2397</v>
      </c>
      <c r="K586" s="617" t="s">
        <v>2401</v>
      </c>
      <c r="L586" s="619">
        <v>13607.949999999997</v>
      </c>
      <c r="M586" s="619">
        <v>1</v>
      </c>
      <c r="N586" s="620">
        <v>13607.949999999997</v>
      </c>
    </row>
    <row r="587" spans="1:14" ht="14.4" customHeight="1" x14ac:dyDescent="0.3">
      <c r="A587" s="615" t="s">
        <v>479</v>
      </c>
      <c r="B587" s="616" t="s">
        <v>2514</v>
      </c>
      <c r="C587" s="617" t="s">
        <v>484</v>
      </c>
      <c r="D587" s="618" t="s">
        <v>2515</v>
      </c>
      <c r="E587" s="617" t="s">
        <v>2394</v>
      </c>
      <c r="F587" s="618" t="s">
        <v>2520</v>
      </c>
      <c r="G587" s="617" t="s">
        <v>551</v>
      </c>
      <c r="H587" s="617" t="s">
        <v>2402</v>
      </c>
      <c r="I587" s="617" t="s">
        <v>2403</v>
      </c>
      <c r="J587" s="617" t="s">
        <v>2404</v>
      </c>
      <c r="K587" s="617" t="s">
        <v>2405</v>
      </c>
      <c r="L587" s="619">
        <v>104.3475</v>
      </c>
      <c r="M587" s="619">
        <v>4</v>
      </c>
      <c r="N587" s="620">
        <v>417.39</v>
      </c>
    </row>
    <row r="588" spans="1:14" ht="14.4" customHeight="1" x14ac:dyDescent="0.3">
      <c r="A588" s="615" t="s">
        <v>479</v>
      </c>
      <c r="B588" s="616" t="s">
        <v>2514</v>
      </c>
      <c r="C588" s="617" t="s">
        <v>484</v>
      </c>
      <c r="D588" s="618" t="s">
        <v>2515</v>
      </c>
      <c r="E588" s="617" t="s">
        <v>2394</v>
      </c>
      <c r="F588" s="618" t="s">
        <v>2520</v>
      </c>
      <c r="G588" s="617" t="s">
        <v>551</v>
      </c>
      <c r="H588" s="617" t="s">
        <v>2406</v>
      </c>
      <c r="I588" s="617" t="s">
        <v>2407</v>
      </c>
      <c r="J588" s="617" t="s">
        <v>2408</v>
      </c>
      <c r="K588" s="617" t="s">
        <v>2409</v>
      </c>
      <c r="L588" s="619">
        <v>104.98076923076923</v>
      </c>
      <c r="M588" s="619">
        <v>13</v>
      </c>
      <c r="N588" s="620">
        <v>1364.75</v>
      </c>
    </row>
    <row r="589" spans="1:14" ht="14.4" customHeight="1" x14ac:dyDescent="0.3">
      <c r="A589" s="615" t="s">
        <v>479</v>
      </c>
      <c r="B589" s="616" t="s">
        <v>2514</v>
      </c>
      <c r="C589" s="617" t="s">
        <v>484</v>
      </c>
      <c r="D589" s="618" t="s">
        <v>2515</v>
      </c>
      <c r="E589" s="617" t="s">
        <v>2394</v>
      </c>
      <c r="F589" s="618" t="s">
        <v>2520</v>
      </c>
      <c r="G589" s="617" t="s">
        <v>551</v>
      </c>
      <c r="H589" s="617" t="s">
        <v>2410</v>
      </c>
      <c r="I589" s="617" t="s">
        <v>2411</v>
      </c>
      <c r="J589" s="617" t="s">
        <v>2412</v>
      </c>
      <c r="K589" s="617" t="s">
        <v>2413</v>
      </c>
      <c r="L589" s="619">
        <v>5517.05</v>
      </c>
      <c r="M589" s="619">
        <v>23</v>
      </c>
      <c r="N589" s="620">
        <v>126892.15000000001</v>
      </c>
    </row>
    <row r="590" spans="1:14" ht="14.4" customHeight="1" x14ac:dyDescent="0.3">
      <c r="A590" s="615" t="s">
        <v>479</v>
      </c>
      <c r="B590" s="616" t="s">
        <v>2514</v>
      </c>
      <c r="C590" s="617" t="s">
        <v>484</v>
      </c>
      <c r="D590" s="618" t="s">
        <v>2515</v>
      </c>
      <c r="E590" s="617" t="s">
        <v>2394</v>
      </c>
      <c r="F590" s="618" t="s">
        <v>2520</v>
      </c>
      <c r="G590" s="617" t="s">
        <v>551</v>
      </c>
      <c r="H590" s="617" t="s">
        <v>2414</v>
      </c>
      <c r="I590" s="617" t="s">
        <v>2415</v>
      </c>
      <c r="J590" s="617" t="s">
        <v>2416</v>
      </c>
      <c r="K590" s="617" t="s">
        <v>2417</v>
      </c>
      <c r="L590" s="619">
        <v>4950</v>
      </c>
      <c r="M590" s="619">
        <v>61</v>
      </c>
      <c r="N590" s="620">
        <v>301950</v>
      </c>
    </row>
    <row r="591" spans="1:14" ht="14.4" customHeight="1" x14ac:dyDescent="0.3">
      <c r="A591" s="615" t="s">
        <v>479</v>
      </c>
      <c r="B591" s="616" t="s">
        <v>2514</v>
      </c>
      <c r="C591" s="617" t="s">
        <v>484</v>
      </c>
      <c r="D591" s="618" t="s">
        <v>2515</v>
      </c>
      <c r="E591" s="617" t="s">
        <v>2394</v>
      </c>
      <c r="F591" s="618" t="s">
        <v>2520</v>
      </c>
      <c r="G591" s="617" t="s">
        <v>1836</v>
      </c>
      <c r="H591" s="617" t="s">
        <v>2418</v>
      </c>
      <c r="I591" s="617" t="s">
        <v>2418</v>
      </c>
      <c r="J591" s="617" t="s">
        <v>2419</v>
      </c>
      <c r="K591" s="617" t="s">
        <v>2420</v>
      </c>
      <c r="L591" s="619">
        <v>159.49999999999994</v>
      </c>
      <c r="M591" s="619">
        <v>67.300000000000011</v>
      </c>
      <c r="N591" s="620">
        <v>10734.349999999999</v>
      </c>
    </row>
    <row r="592" spans="1:14" ht="14.4" customHeight="1" x14ac:dyDescent="0.3">
      <c r="A592" s="615" t="s">
        <v>479</v>
      </c>
      <c r="B592" s="616" t="s">
        <v>2514</v>
      </c>
      <c r="C592" s="617" t="s">
        <v>484</v>
      </c>
      <c r="D592" s="618" t="s">
        <v>2515</v>
      </c>
      <c r="E592" s="617" t="s">
        <v>2394</v>
      </c>
      <c r="F592" s="618" t="s">
        <v>2520</v>
      </c>
      <c r="G592" s="617" t="s">
        <v>1836</v>
      </c>
      <c r="H592" s="617" t="s">
        <v>2421</v>
      </c>
      <c r="I592" s="617" t="s">
        <v>2421</v>
      </c>
      <c r="J592" s="617" t="s">
        <v>2419</v>
      </c>
      <c r="K592" s="617" t="s">
        <v>2422</v>
      </c>
      <c r="L592" s="619">
        <v>308.00000000000011</v>
      </c>
      <c r="M592" s="619">
        <v>24.599999999999998</v>
      </c>
      <c r="N592" s="620">
        <v>7576.800000000002</v>
      </c>
    </row>
    <row r="593" spans="1:14" ht="14.4" customHeight="1" x14ac:dyDescent="0.3">
      <c r="A593" s="615" t="s">
        <v>479</v>
      </c>
      <c r="B593" s="616" t="s">
        <v>2514</v>
      </c>
      <c r="C593" s="617" t="s">
        <v>484</v>
      </c>
      <c r="D593" s="618" t="s">
        <v>2515</v>
      </c>
      <c r="E593" s="617" t="s">
        <v>2394</v>
      </c>
      <c r="F593" s="618" t="s">
        <v>2520</v>
      </c>
      <c r="G593" s="617" t="s">
        <v>1836</v>
      </c>
      <c r="H593" s="617" t="s">
        <v>2423</v>
      </c>
      <c r="I593" s="617" t="s">
        <v>2423</v>
      </c>
      <c r="J593" s="617" t="s">
        <v>2424</v>
      </c>
      <c r="K593" s="617" t="s">
        <v>2425</v>
      </c>
      <c r="L593" s="619">
        <v>285.2397524662212</v>
      </c>
      <c r="M593" s="619">
        <v>2</v>
      </c>
      <c r="N593" s="620">
        <v>570.47950493244241</v>
      </c>
    </row>
    <row r="594" spans="1:14" ht="14.4" customHeight="1" x14ac:dyDescent="0.3">
      <c r="A594" s="615" t="s">
        <v>479</v>
      </c>
      <c r="B594" s="616" t="s">
        <v>2514</v>
      </c>
      <c r="C594" s="617" t="s">
        <v>484</v>
      </c>
      <c r="D594" s="618" t="s">
        <v>2515</v>
      </c>
      <c r="E594" s="617" t="s">
        <v>2394</v>
      </c>
      <c r="F594" s="618" t="s">
        <v>2520</v>
      </c>
      <c r="G594" s="617" t="s">
        <v>1836</v>
      </c>
      <c r="H594" s="617" t="s">
        <v>2426</v>
      </c>
      <c r="I594" s="617" t="s">
        <v>2426</v>
      </c>
      <c r="J594" s="617" t="s">
        <v>2427</v>
      </c>
      <c r="K594" s="617" t="s">
        <v>2398</v>
      </c>
      <c r="L594" s="619">
        <v>493.46</v>
      </c>
      <c r="M594" s="619">
        <v>50</v>
      </c>
      <c r="N594" s="620">
        <v>24673</v>
      </c>
    </row>
    <row r="595" spans="1:14" ht="14.4" customHeight="1" x14ac:dyDescent="0.3">
      <c r="A595" s="615" t="s">
        <v>479</v>
      </c>
      <c r="B595" s="616" t="s">
        <v>2514</v>
      </c>
      <c r="C595" s="617" t="s">
        <v>484</v>
      </c>
      <c r="D595" s="618" t="s">
        <v>2515</v>
      </c>
      <c r="E595" s="617" t="s">
        <v>2428</v>
      </c>
      <c r="F595" s="618" t="s">
        <v>2521</v>
      </c>
      <c r="G595" s="617"/>
      <c r="H595" s="617"/>
      <c r="I595" s="617" t="s">
        <v>2429</v>
      </c>
      <c r="J595" s="617" t="s">
        <v>2430</v>
      </c>
      <c r="K595" s="617"/>
      <c r="L595" s="619">
        <v>1346.35</v>
      </c>
      <c r="M595" s="619">
        <v>3</v>
      </c>
      <c r="N595" s="620">
        <v>4039.0499999999997</v>
      </c>
    </row>
    <row r="596" spans="1:14" ht="14.4" customHeight="1" x14ac:dyDescent="0.3">
      <c r="A596" s="615" t="s">
        <v>479</v>
      </c>
      <c r="B596" s="616" t="s">
        <v>2514</v>
      </c>
      <c r="C596" s="617" t="s">
        <v>484</v>
      </c>
      <c r="D596" s="618" t="s">
        <v>2515</v>
      </c>
      <c r="E596" s="617" t="s">
        <v>2428</v>
      </c>
      <c r="F596" s="618" t="s">
        <v>2521</v>
      </c>
      <c r="G596" s="617"/>
      <c r="H596" s="617"/>
      <c r="I596" s="617" t="s">
        <v>2431</v>
      </c>
      <c r="J596" s="617" t="s">
        <v>2432</v>
      </c>
      <c r="K596" s="617"/>
      <c r="L596" s="619">
        <v>9500</v>
      </c>
      <c r="M596" s="619">
        <v>4</v>
      </c>
      <c r="N596" s="620">
        <v>38000</v>
      </c>
    </row>
    <row r="597" spans="1:14" ht="14.4" customHeight="1" x14ac:dyDescent="0.3">
      <c r="A597" s="615" t="s">
        <v>479</v>
      </c>
      <c r="B597" s="616" t="s">
        <v>2514</v>
      </c>
      <c r="C597" s="617" t="s">
        <v>484</v>
      </c>
      <c r="D597" s="618" t="s">
        <v>2515</v>
      </c>
      <c r="E597" s="617" t="s">
        <v>2428</v>
      </c>
      <c r="F597" s="618" t="s">
        <v>2521</v>
      </c>
      <c r="G597" s="617"/>
      <c r="H597" s="617"/>
      <c r="I597" s="617" t="s">
        <v>2433</v>
      </c>
      <c r="J597" s="617" t="s">
        <v>2434</v>
      </c>
      <c r="K597" s="617"/>
      <c r="L597" s="619">
        <v>4750</v>
      </c>
      <c r="M597" s="619">
        <v>1</v>
      </c>
      <c r="N597" s="620">
        <v>4750</v>
      </c>
    </row>
    <row r="598" spans="1:14" ht="14.4" customHeight="1" x14ac:dyDescent="0.3">
      <c r="A598" s="615" t="s">
        <v>479</v>
      </c>
      <c r="B598" s="616" t="s">
        <v>2514</v>
      </c>
      <c r="C598" s="617" t="s">
        <v>484</v>
      </c>
      <c r="D598" s="618" t="s">
        <v>2515</v>
      </c>
      <c r="E598" s="617" t="s">
        <v>2428</v>
      </c>
      <c r="F598" s="618" t="s">
        <v>2521</v>
      </c>
      <c r="G598" s="617"/>
      <c r="H598" s="617"/>
      <c r="I598" s="617" t="s">
        <v>2435</v>
      </c>
      <c r="J598" s="617" t="s">
        <v>2436</v>
      </c>
      <c r="K598" s="617"/>
      <c r="L598" s="619">
        <v>9559</v>
      </c>
      <c r="M598" s="619">
        <v>2</v>
      </c>
      <c r="N598" s="620">
        <v>19118</v>
      </c>
    </row>
    <row r="599" spans="1:14" ht="14.4" customHeight="1" x14ac:dyDescent="0.3">
      <c r="A599" s="615" t="s">
        <v>479</v>
      </c>
      <c r="B599" s="616" t="s">
        <v>2514</v>
      </c>
      <c r="C599" s="617" t="s">
        <v>484</v>
      </c>
      <c r="D599" s="618" t="s">
        <v>2515</v>
      </c>
      <c r="E599" s="617" t="s">
        <v>2428</v>
      </c>
      <c r="F599" s="618" t="s">
        <v>2521</v>
      </c>
      <c r="G599" s="617"/>
      <c r="H599" s="617"/>
      <c r="I599" s="617" t="s">
        <v>2437</v>
      </c>
      <c r="J599" s="617" t="s">
        <v>2438</v>
      </c>
      <c r="K599" s="617"/>
      <c r="L599" s="619">
        <v>8634.6737125748568</v>
      </c>
      <c r="M599" s="619">
        <v>167</v>
      </c>
      <c r="N599" s="620">
        <v>1441990.5100000012</v>
      </c>
    </row>
    <row r="600" spans="1:14" ht="14.4" customHeight="1" x14ac:dyDescent="0.3">
      <c r="A600" s="615" t="s">
        <v>479</v>
      </c>
      <c r="B600" s="616" t="s">
        <v>2514</v>
      </c>
      <c r="C600" s="617" t="s">
        <v>484</v>
      </c>
      <c r="D600" s="618" t="s">
        <v>2515</v>
      </c>
      <c r="E600" s="617" t="s">
        <v>2428</v>
      </c>
      <c r="F600" s="618" t="s">
        <v>2521</v>
      </c>
      <c r="G600" s="617"/>
      <c r="H600" s="617"/>
      <c r="I600" s="617" t="s">
        <v>2439</v>
      </c>
      <c r="J600" s="617" t="s">
        <v>2440</v>
      </c>
      <c r="K600" s="617" t="s">
        <v>2441</v>
      </c>
      <c r="L600" s="619">
        <v>1287</v>
      </c>
      <c r="M600" s="619">
        <v>57</v>
      </c>
      <c r="N600" s="620">
        <v>73359</v>
      </c>
    </row>
    <row r="601" spans="1:14" ht="14.4" customHeight="1" x14ac:dyDescent="0.3">
      <c r="A601" s="615" t="s">
        <v>479</v>
      </c>
      <c r="B601" s="616" t="s">
        <v>2514</v>
      </c>
      <c r="C601" s="617" t="s">
        <v>484</v>
      </c>
      <c r="D601" s="618" t="s">
        <v>2515</v>
      </c>
      <c r="E601" s="617" t="s">
        <v>2428</v>
      </c>
      <c r="F601" s="618" t="s">
        <v>2521</v>
      </c>
      <c r="G601" s="617"/>
      <c r="H601" s="617"/>
      <c r="I601" s="617" t="s">
        <v>2442</v>
      </c>
      <c r="J601" s="617" t="s">
        <v>2443</v>
      </c>
      <c r="K601" s="617"/>
      <c r="L601" s="619">
        <v>4305.4000000000005</v>
      </c>
      <c r="M601" s="619">
        <v>85</v>
      </c>
      <c r="N601" s="620">
        <v>365959.00000000006</v>
      </c>
    </row>
    <row r="602" spans="1:14" ht="14.4" customHeight="1" x14ac:dyDescent="0.3">
      <c r="A602" s="615" t="s">
        <v>479</v>
      </c>
      <c r="B602" s="616" t="s">
        <v>2514</v>
      </c>
      <c r="C602" s="617" t="s">
        <v>484</v>
      </c>
      <c r="D602" s="618" t="s">
        <v>2515</v>
      </c>
      <c r="E602" s="617" t="s">
        <v>2428</v>
      </c>
      <c r="F602" s="618" t="s">
        <v>2521</v>
      </c>
      <c r="G602" s="617"/>
      <c r="H602" s="617"/>
      <c r="I602" s="617" t="s">
        <v>2444</v>
      </c>
      <c r="J602" s="617" t="s">
        <v>2445</v>
      </c>
      <c r="K602" s="617"/>
      <c r="L602" s="619">
        <v>2643.666666666667</v>
      </c>
      <c r="M602" s="619">
        <v>39</v>
      </c>
      <c r="N602" s="620">
        <v>103103.00000000001</v>
      </c>
    </row>
    <row r="603" spans="1:14" ht="14.4" customHeight="1" x14ac:dyDescent="0.3">
      <c r="A603" s="615" t="s">
        <v>479</v>
      </c>
      <c r="B603" s="616" t="s">
        <v>2514</v>
      </c>
      <c r="C603" s="617" t="s">
        <v>484</v>
      </c>
      <c r="D603" s="618" t="s">
        <v>2515</v>
      </c>
      <c r="E603" s="617" t="s">
        <v>2428</v>
      </c>
      <c r="F603" s="618" t="s">
        <v>2521</v>
      </c>
      <c r="G603" s="617"/>
      <c r="H603" s="617"/>
      <c r="I603" s="617" t="s">
        <v>2446</v>
      </c>
      <c r="J603" s="617" t="s">
        <v>2205</v>
      </c>
      <c r="K603" s="617" t="s">
        <v>2447</v>
      </c>
      <c r="L603" s="619">
        <v>16469.2</v>
      </c>
      <c r="M603" s="619">
        <v>4</v>
      </c>
      <c r="N603" s="620">
        <v>65876.800000000003</v>
      </c>
    </row>
    <row r="604" spans="1:14" ht="14.4" customHeight="1" x14ac:dyDescent="0.3">
      <c r="A604" s="615" t="s">
        <v>479</v>
      </c>
      <c r="B604" s="616" t="s">
        <v>2514</v>
      </c>
      <c r="C604" s="617" t="s">
        <v>484</v>
      </c>
      <c r="D604" s="618" t="s">
        <v>2515</v>
      </c>
      <c r="E604" s="617" t="s">
        <v>2448</v>
      </c>
      <c r="F604" s="618" t="s">
        <v>2522</v>
      </c>
      <c r="G604" s="617"/>
      <c r="H604" s="617"/>
      <c r="I604" s="617" t="s">
        <v>2449</v>
      </c>
      <c r="J604" s="617" t="s">
        <v>2450</v>
      </c>
      <c r="K604" s="617"/>
      <c r="L604" s="619">
        <v>8505.39</v>
      </c>
      <c r="M604" s="619">
        <v>2</v>
      </c>
      <c r="N604" s="620">
        <v>17010.78</v>
      </c>
    </row>
    <row r="605" spans="1:14" ht="14.4" customHeight="1" x14ac:dyDescent="0.3">
      <c r="A605" s="615" t="s">
        <v>479</v>
      </c>
      <c r="B605" s="616" t="s">
        <v>2514</v>
      </c>
      <c r="C605" s="617" t="s">
        <v>484</v>
      </c>
      <c r="D605" s="618" t="s">
        <v>2515</v>
      </c>
      <c r="E605" s="617" t="s">
        <v>2448</v>
      </c>
      <c r="F605" s="618" t="s">
        <v>2522</v>
      </c>
      <c r="G605" s="617"/>
      <c r="H605" s="617"/>
      <c r="I605" s="617" t="s">
        <v>2451</v>
      </c>
      <c r="J605" s="617" t="s">
        <v>2452</v>
      </c>
      <c r="K605" s="617"/>
      <c r="L605" s="619">
        <v>4252.6899999999996</v>
      </c>
      <c r="M605" s="619">
        <v>1</v>
      </c>
      <c r="N605" s="620">
        <v>4252.6899999999996</v>
      </c>
    </row>
    <row r="606" spans="1:14" ht="14.4" customHeight="1" x14ac:dyDescent="0.3">
      <c r="A606" s="615" t="s">
        <v>479</v>
      </c>
      <c r="B606" s="616" t="s">
        <v>2514</v>
      </c>
      <c r="C606" s="617" t="s">
        <v>484</v>
      </c>
      <c r="D606" s="618" t="s">
        <v>2515</v>
      </c>
      <c r="E606" s="617" t="s">
        <v>2453</v>
      </c>
      <c r="F606" s="618" t="s">
        <v>2523</v>
      </c>
      <c r="G606" s="617" t="s">
        <v>551</v>
      </c>
      <c r="H606" s="617" t="s">
        <v>2454</v>
      </c>
      <c r="I606" s="617" t="s">
        <v>2455</v>
      </c>
      <c r="J606" s="617" t="s">
        <v>2456</v>
      </c>
      <c r="K606" s="617" t="s">
        <v>2457</v>
      </c>
      <c r="L606" s="619">
        <v>2081.1968139081491</v>
      </c>
      <c r="M606" s="619">
        <v>139</v>
      </c>
      <c r="N606" s="620">
        <v>289286.35713323276</v>
      </c>
    </row>
    <row r="607" spans="1:14" ht="14.4" customHeight="1" x14ac:dyDescent="0.3">
      <c r="A607" s="615" t="s">
        <v>479</v>
      </c>
      <c r="B607" s="616" t="s">
        <v>2514</v>
      </c>
      <c r="C607" s="617" t="s">
        <v>484</v>
      </c>
      <c r="D607" s="618" t="s">
        <v>2515</v>
      </c>
      <c r="E607" s="617" t="s">
        <v>2453</v>
      </c>
      <c r="F607" s="618" t="s">
        <v>2523</v>
      </c>
      <c r="G607" s="617" t="s">
        <v>551</v>
      </c>
      <c r="H607" s="617" t="s">
        <v>2458</v>
      </c>
      <c r="I607" s="617" t="s">
        <v>2459</v>
      </c>
      <c r="J607" s="617" t="s">
        <v>2460</v>
      </c>
      <c r="K607" s="617" t="s">
        <v>2461</v>
      </c>
      <c r="L607" s="619">
        <v>303.87466666666666</v>
      </c>
      <c r="M607" s="619">
        <v>150</v>
      </c>
      <c r="N607" s="620">
        <v>45581.2</v>
      </c>
    </row>
    <row r="608" spans="1:14" ht="14.4" customHeight="1" x14ac:dyDescent="0.3">
      <c r="A608" s="615" t="s">
        <v>479</v>
      </c>
      <c r="B608" s="616" t="s">
        <v>2514</v>
      </c>
      <c r="C608" s="617" t="s">
        <v>484</v>
      </c>
      <c r="D608" s="618" t="s">
        <v>2515</v>
      </c>
      <c r="E608" s="617" t="s">
        <v>2453</v>
      </c>
      <c r="F608" s="618" t="s">
        <v>2523</v>
      </c>
      <c r="G608" s="617" t="s">
        <v>551</v>
      </c>
      <c r="H608" s="617" t="s">
        <v>2462</v>
      </c>
      <c r="I608" s="617" t="s">
        <v>2463</v>
      </c>
      <c r="J608" s="617" t="s">
        <v>2464</v>
      </c>
      <c r="K608" s="617" t="s">
        <v>2465</v>
      </c>
      <c r="L608" s="619">
        <v>2719.2</v>
      </c>
      <c r="M608" s="619">
        <v>20</v>
      </c>
      <c r="N608" s="620">
        <v>54383.999999999993</v>
      </c>
    </row>
    <row r="609" spans="1:14" ht="14.4" customHeight="1" x14ac:dyDescent="0.3">
      <c r="A609" s="615" t="s">
        <v>479</v>
      </c>
      <c r="B609" s="616" t="s">
        <v>2514</v>
      </c>
      <c r="C609" s="617" t="s">
        <v>484</v>
      </c>
      <c r="D609" s="618" t="s">
        <v>2515</v>
      </c>
      <c r="E609" s="617" t="s">
        <v>2453</v>
      </c>
      <c r="F609" s="618" t="s">
        <v>2523</v>
      </c>
      <c r="G609" s="617" t="s">
        <v>551</v>
      </c>
      <c r="H609" s="617" t="s">
        <v>2466</v>
      </c>
      <c r="I609" s="617" t="s">
        <v>2467</v>
      </c>
      <c r="J609" s="617" t="s">
        <v>2468</v>
      </c>
      <c r="K609" s="617" t="s">
        <v>2469</v>
      </c>
      <c r="L609" s="619">
        <v>2413.8720880687802</v>
      </c>
      <c r="M609" s="619">
        <v>232.6</v>
      </c>
      <c r="N609" s="620">
        <v>561466.64768479823</v>
      </c>
    </row>
    <row r="610" spans="1:14" ht="14.4" customHeight="1" x14ac:dyDescent="0.3">
      <c r="A610" s="615" t="s">
        <v>479</v>
      </c>
      <c r="B610" s="616" t="s">
        <v>2514</v>
      </c>
      <c r="C610" s="617" t="s">
        <v>484</v>
      </c>
      <c r="D610" s="618" t="s">
        <v>2515</v>
      </c>
      <c r="E610" s="617" t="s">
        <v>2453</v>
      </c>
      <c r="F610" s="618" t="s">
        <v>2523</v>
      </c>
      <c r="G610" s="617" t="s">
        <v>551</v>
      </c>
      <c r="H610" s="617" t="s">
        <v>2470</v>
      </c>
      <c r="I610" s="617" t="s">
        <v>2471</v>
      </c>
      <c r="J610" s="617" t="s">
        <v>2472</v>
      </c>
      <c r="K610" s="617" t="s">
        <v>2469</v>
      </c>
      <c r="L610" s="619">
        <v>2228.8200000000002</v>
      </c>
      <c r="M610" s="619">
        <v>3</v>
      </c>
      <c r="N610" s="620">
        <v>6686.46</v>
      </c>
    </row>
    <row r="611" spans="1:14" ht="14.4" customHeight="1" x14ac:dyDescent="0.3">
      <c r="A611" s="615" t="s">
        <v>479</v>
      </c>
      <c r="B611" s="616" t="s">
        <v>2514</v>
      </c>
      <c r="C611" s="617" t="s">
        <v>484</v>
      </c>
      <c r="D611" s="618" t="s">
        <v>2515</v>
      </c>
      <c r="E611" s="617" t="s">
        <v>2453</v>
      </c>
      <c r="F611" s="618" t="s">
        <v>2523</v>
      </c>
      <c r="G611" s="617" t="s">
        <v>551</v>
      </c>
      <c r="H611" s="617" t="s">
        <v>2473</v>
      </c>
      <c r="I611" s="617" t="s">
        <v>2473</v>
      </c>
      <c r="J611" s="617" t="s">
        <v>2474</v>
      </c>
      <c r="K611" s="617" t="s">
        <v>2475</v>
      </c>
      <c r="L611" s="619">
        <v>3465.4734639827616</v>
      </c>
      <c r="M611" s="619">
        <v>26</v>
      </c>
      <c r="N611" s="620">
        <v>90102.310063551806</v>
      </c>
    </row>
    <row r="612" spans="1:14" ht="14.4" customHeight="1" x14ac:dyDescent="0.3">
      <c r="A612" s="615" t="s">
        <v>479</v>
      </c>
      <c r="B612" s="616" t="s">
        <v>2514</v>
      </c>
      <c r="C612" s="617" t="s">
        <v>484</v>
      </c>
      <c r="D612" s="618" t="s">
        <v>2515</v>
      </c>
      <c r="E612" s="617" t="s">
        <v>2453</v>
      </c>
      <c r="F612" s="618" t="s">
        <v>2523</v>
      </c>
      <c r="G612" s="617" t="s">
        <v>551</v>
      </c>
      <c r="H612" s="617" t="s">
        <v>2476</v>
      </c>
      <c r="I612" s="617" t="s">
        <v>2477</v>
      </c>
      <c r="J612" s="617" t="s">
        <v>2478</v>
      </c>
      <c r="K612" s="617" t="s">
        <v>2475</v>
      </c>
      <c r="L612" s="619">
        <v>1680.58</v>
      </c>
      <c r="M612" s="619">
        <v>6</v>
      </c>
      <c r="N612" s="620">
        <v>10083.48</v>
      </c>
    </row>
    <row r="613" spans="1:14" ht="14.4" customHeight="1" x14ac:dyDescent="0.3">
      <c r="A613" s="615" t="s">
        <v>479</v>
      </c>
      <c r="B613" s="616" t="s">
        <v>2514</v>
      </c>
      <c r="C613" s="617" t="s">
        <v>484</v>
      </c>
      <c r="D613" s="618" t="s">
        <v>2515</v>
      </c>
      <c r="E613" s="617" t="s">
        <v>2453</v>
      </c>
      <c r="F613" s="618" t="s">
        <v>2523</v>
      </c>
      <c r="G613" s="617" t="s">
        <v>551</v>
      </c>
      <c r="H613" s="617" t="s">
        <v>2479</v>
      </c>
      <c r="I613" s="617" t="s">
        <v>2480</v>
      </c>
      <c r="J613" s="617" t="s">
        <v>2481</v>
      </c>
      <c r="K613" s="617" t="s">
        <v>2475</v>
      </c>
      <c r="L613" s="619">
        <v>1329.46</v>
      </c>
      <c r="M613" s="619">
        <v>4.9999999999999991</v>
      </c>
      <c r="N613" s="620">
        <v>6647.2999999999993</v>
      </c>
    </row>
    <row r="614" spans="1:14" ht="14.4" customHeight="1" x14ac:dyDescent="0.3">
      <c r="A614" s="615" t="s">
        <v>479</v>
      </c>
      <c r="B614" s="616" t="s">
        <v>2514</v>
      </c>
      <c r="C614" s="617" t="s">
        <v>484</v>
      </c>
      <c r="D614" s="618" t="s">
        <v>2515</v>
      </c>
      <c r="E614" s="617" t="s">
        <v>2453</v>
      </c>
      <c r="F614" s="618" t="s">
        <v>2523</v>
      </c>
      <c r="G614" s="617" t="s">
        <v>551</v>
      </c>
      <c r="H614" s="617" t="s">
        <v>2482</v>
      </c>
      <c r="I614" s="617" t="s">
        <v>2483</v>
      </c>
      <c r="J614" s="617" t="s">
        <v>2484</v>
      </c>
      <c r="K614" s="617" t="s">
        <v>2485</v>
      </c>
      <c r="L614" s="619">
        <v>2062.5003800488348</v>
      </c>
      <c r="M614" s="619">
        <v>96.1</v>
      </c>
      <c r="N614" s="620">
        <v>198206.28652269303</v>
      </c>
    </row>
    <row r="615" spans="1:14" ht="14.4" customHeight="1" x14ac:dyDescent="0.3">
      <c r="A615" s="615" t="s">
        <v>479</v>
      </c>
      <c r="B615" s="616" t="s">
        <v>2514</v>
      </c>
      <c r="C615" s="617" t="s">
        <v>484</v>
      </c>
      <c r="D615" s="618" t="s">
        <v>2515</v>
      </c>
      <c r="E615" s="617" t="s">
        <v>2453</v>
      </c>
      <c r="F615" s="618" t="s">
        <v>2523</v>
      </c>
      <c r="G615" s="617" t="s">
        <v>551</v>
      </c>
      <c r="H615" s="617" t="s">
        <v>2486</v>
      </c>
      <c r="I615" s="617" t="s">
        <v>2487</v>
      </c>
      <c r="J615" s="617" t="s">
        <v>2488</v>
      </c>
      <c r="K615" s="617" t="s">
        <v>2489</v>
      </c>
      <c r="L615" s="619">
        <v>2188.9499999999998</v>
      </c>
      <c r="M615" s="619">
        <v>2</v>
      </c>
      <c r="N615" s="620">
        <v>4377.8999999999996</v>
      </c>
    </row>
    <row r="616" spans="1:14" ht="14.4" customHeight="1" x14ac:dyDescent="0.3">
      <c r="A616" s="615" t="s">
        <v>479</v>
      </c>
      <c r="B616" s="616" t="s">
        <v>2514</v>
      </c>
      <c r="C616" s="617" t="s">
        <v>484</v>
      </c>
      <c r="D616" s="618" t="s">
        <v>2515</v>
      </c>
      <c r="E616" s="617" t="s">
        <v>2453</v>
      </c>
      <c r="F616" s="618" t="s">
        <v>2523</v>
      </c>
      <c r="G616" s="617" t="s">
        <v>551</v>
      </c>
      <c r="H616" s="617" t="s">
        <v>2490</v>
      </c>
      <c r="I616" s="617" t="s">
        <v>2491</v>
      </c>
      <c r="J616" s="617" t="s">
        <v>2492</v>
      </c>
      <c r="K616" s="617" t="s">
        <v>2465</v>
      </c>
      <c r="L616" s="619">
        <v>3740</v>
      </c>
      <c r="M616" s="619">
        <v>5</v>
      </c>
      <c r="N616" s="620">
        <v>18700</v>
      </c>
    </row>
    <row r="617" spans="1:14" ht="14.4" customHeight="1" x14ac:dyDescent="0.3">
      <c r="A617" s="615" t="s">
        <v>479</v>
      </c>
      <c r="B617" s="616" t="s">
        <v>2514</v>
      </c>
      <c r="C617" s="617" t="s">
        <v>484</v>
      </c>
      <c r="D617" s="618" t="s">
        <v>2515</v>
      </c>
      <c r="E617" s="617" t="s">
        <v>2453</v>
      </c>
      <c r="F617" s="618" t="s">
        <v>2523</v>
      </c>
      <c r="G617" s="617" t="s">
        <v>551</v>
      </c>
      <c r="H617" s="617" t="s">
        <v>2493</v>
      </c>
      <c r="I617" s="617" t="s">
        <v>2494</v>
      </c>
      <c r="J617" s="617" t="s">
        <v>2484</v>
      </c>
      <c r="K617" s="617" t="s">
        <v>2495</v>
      </c>
      <c r="L617" s="619">
        <v>3171.3027338190673</v>
      </c>
      <c r="M617" s="619">
        <v>57</v>
      </c>
      <c r="N617" s="620">
        <v>180764.25582768684</v>
      </c>
    </row>
    <row r="618" spans="1:14" ht="14.4" customHeight="1" x14ac:dyDescent="0.3">
      <c r="A618" s="615" t="s">
        <v>479</v>
      </c>
      <c r="B618" s="616" t="s">
        <v>2514</v>
      </c>
      <c r="C618" s="617" t="s">
        <v>484</v>
      </c>
      <c r="D618" s="618" t="s">
        <v>2515</v>
      </c>
      <c r="E618" s="617" t="s">
        <v>2453</v>
      </c>
      <c r="F618" s="618" t="s">
        <v>2523</v>
      </c>
      <c r="G618" s="617" t="s">
        <v>551</v>
      </c>
      <c r="H618" s="617" t="s">
        <v>2496</v>
      </c>
      <c r="I618" s="617" t="s">
        <v>2497</v>
      </c>
      <c r="J618" s="617" t="s">
        <v>2498</v>
      </c>
      <c r="K618" s="617" t="s">
        <v>2499</v>
      </c>
      <c r="L618" s="619">
        <v>2777.0600000000004</v>
      </c>
      <c r="M618" s="619">
        <v>2</v>
      </c>
      <c r="N618" s="620">
        <v>5554.1200000000008</v>
      </c>
    </row>
    <row r="619" spans="1:14" ht="14.4" customHeight="1" x14ac:dyDescent="0.3">
      <c r="A619" s="615" t="s">
        <v>479</v>
      </c>
      <c r="B619" s="616" t="s">
        <v>2514</v>
      </c>
      <c r="C619" s="617" t="s">
        <v>484</v>
      </c>
      <c r="D619" s="618" t="s">
        <v>2515</v>
      </c>
      <c r="E619" s="617" t="s">
        <v>2453</v>
      </c>
      <c r="F619" s="618" t="s">
        <v>2523</v>
      </c>
      <c r="G619" s="617" t="s">
        <v>551</v>
      </c>
      <c r="H619" s="617" t="s">
        <v>2500</v>
      </c>
      <c r="I619" s="617" t="s">
        <v>2501</v>
      </c>
      <c r="J619" s="617" t="s">
        <v>2502</v>
      </c>
      <c r="K619" s="617" t="s">
        <v>2499</v>
      </c>
      <c r="L619" s="619">
        <v>2221.3399717111056</v>
      </c>
      <c r="M619" s="619">
        <v>5</v>
      </c>
      <c r="N619" s="620">
        <v>11106.699858555528</v>
      </c>
    </row>
    <row r="620" spans="1:14" ht="14.4" customHeight="1" x14ac:dyDescent="0.3">
      <c r="A620" s="615" t="s">
        <v>479</v>
      </c>
      <c r="B620" s="616" t="s">
        <v>2514</v>
      </c>
      <c r="C620" s="617" t="s">
        <v>484</v>
      </c>
      <c r="D620" s="618" t="s">
        <v>2515</v>
      </c>
      <c r="E620" s="617" t="s">
        <v>2453</v>
      </c>
      <c r="F620" s="618" t="s">
        <v>2523</v>
      </c>
      <c r="G620" s="617" t="s">
        <v>551</v>
      </c>
      <c r="H620" s="617" t="s">
        <v>2503</v>
      </c>
      <c r="I620" s="617" t="s">
        <v>2504</v>
      </c>
      <c r="J620" s="617" t="s">
        <v>2505</v>
      </c>
      <c r="K620" s="617" t="s">
        <v>2506</v>
      </c>
      <c r="L620" s="619">
        <v>2493.7000000000003</v>
      </c>
      <c r="M620" s="619">
        <v>11.8</v>
      </c>
      <c r="N620" s="620">
        <v>29425.660000000003</v>
      </c>
    </row>
    <row r="621" spans="1:14" ht="14.4" customHeight="1" x14ac:dyDescent="0.3">
      <c r="A621" s="615" t="s">
        <v>479</v>
      </c>
      <c r="B621" s="616" t="s">
        <v>2514</v>
      </c>
      <c r="C621" s="617" t="s">
        <v>484</v>
      </c>
      <c r="D621" s="618" t="s">
        <v>2515</v>
      </c>
      <c r="E621" s="617" t="s">
        <v>2453</v>
      </c>
      <c r="F621" s="618" t="s">
        <v>2523</v>
      </c>
      <c r="G621" s="617" t="s">
        <v>551</v>
      </c>
      <c r="H621" s="617" t="s">
        <v>2507</v>
      </c>
      <c r="I621" s="617" t="s">
        <v>2508</v>
      </c>
      <c r="J621" s="617" t="s">
        <v>2509</v>
      </c>
      <c r="K621" s="617" t="s">
        <v>2510</v>
      </c>
      <c r="L621" s="619">
        <v>3358.3</v>
      </c>
      <c r="M621" s="619">
        <v>5</v>
      </c>
      <c r="N621" s="620">
        <v>16791.5</v>
      </c>
    </row>
    <row r="622" spans="1:14" ht="14.4" customHeight="1" thickBot="1" x14ac:dyDescent="0.35">
      <c r="A622" s="621" t="s">
        <v>479</v>
      </c>
      <c r="B622" s="622" t="s">
        <v>2514</v>
      </c>
      <c r="C622" s="623" t="s">
        <v>484</v>
      </c>
      <c r="D622" s="624" t="s">
        <v>2515</v>
      </c>
      <c r="E622" s="623" t="s">
        <v>2453</v>
      </c>
      <c r="F622" s="624" t="s">
        <v>2523</v>
      </c>
      <c r="G622" s="623" t="s">
        <v>551</v>
      </c>
      <c r="H622" s="623" t="s">
        <v>2511</v>
      </c>
      <c r="I622" s="623" t="s">
        <v>2511</v>
      </c>
      <c r="J622" s="623" t="s">
        <v>2512</v>
      </c>
      <c r="K622" s="623" t="s">
        <v>2513</v>
      </c>
      <c r="L622" s="625">
        <v>2227.4841206190954</v>
      </c>
      <c r="M622" s="625">
        <v>23.400000000000002</v>
      </c>
      <c r="N622" s="626">
        <v>52123.128422486836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8" customWidth="1"/>
    <col min="2" max="2" width="10" style="318" customWidth="1"/>
    <col min="3" max="3" width="5.5546875" style="321" customWidth="1"/>
    <col min="4" max="4" width="10" style="318" customWidth="1"/>
    <col min="5" max="5" width="5.5546875" style="321" customWidth="1"/>
    <col min="6" max="6" width="10" style="318" customWidth="1"/>
    <col min="7" max="16384" width="8.88671875" style="238"/>
  </cols>
  <sheetData>
    <row r="1" spans="1:6" ht="37.200000000000003" customHeight="1" thickBot="1" x14ac:dyDescent="0.4">
      <c r="A1" s="491" t="s">
        <v>181</v>
      </c>
      <c r="B1" s="492"/>
      <c r="C1" s="492"/>
      <c r="D1" s="492"/>
      <c r="E1" s="492"/>
      <c r="F1" s="492"/>
    </row>
    <row r="2" spans="1:6" ht="14.4" customHeight="1" thickBot="1" x14ac:dyDescent="0.35">
      <c r="A2" s="360" t="s">
        <v>280</v>
      </c>
      <c r="B2" s="67"/>
      <c r="C2" s="68"/>
      <c r="D2" s="69"/>
      <c r="E2" s="68"/>
      <c r="F2" s="69"/>
    </row>
    <row r="3" spans="1:6" ht="14.4" customHeight="1" thickBot="1" x14ac:dyDescent="0.35">
      <c r="A3" s="194"/>
      <c r="B3" s="493" t="s">
        <v>144</v>
      </c>
      <c r="C3" s="494"/>
      <c r="D3" s="495" t="s">
        <v>143</v>
      </c>
      <c r="E3" s="494"/>
      <c r="F3" s="96" t="s">
        <v>3</v>
      </c>
    </row>
    <row r="4" spans="1:6" ht="14.4" customHeight="1" thickBot="1" x14ac:dyDescent="0.35">
      <c r="A4" s="627" t="s">
        <v>166</v>
      </c>
      <c r="B4" s="628" t="s">
        <v>14</v>
      </c>
      <c r="C4" s="629" t="s">
        <v>2</v>
      </c>
      <c r="D4" s="628" t="s">
        <v>14</v>
      </c>
      <c r="E4" s="629" t="s">
        <v>2</v>
      </c>
      <c r="F4" s="630" t="s">
        <v>14</v>
      </c>
    </row>
    <row r="5" spans="1:6" ht="14.4" customHeight="1" thickBot="1" x14ac:dyDescent="0.35">
      <c r="A5" s="638" t="s">
        <v>2524</v>
      </c>
      <c r="B5" s="607">
        <v>523560.16121428827</v>
      </c>
      <c r="C5" s="631">
        <v>0.23858017963094752</v>
      </c>
      <c r="D5" s="607">
        <v>1670922.8927601355</v>
      </c>
      <c r="E5" s="631">
        <v>0.76141982036905254</v>
      </c>
      <c r="F5" s="608">
        <v>2194483.0539744236</v>
      </c>
    </row>
    <row r="6" spans="1:6" ht="14.4" customHeight="1" thickBot="1" x14ac:dyDescent="0.35">
      <c r="A6" s="634" t="s">
        <v>3</v>
      </c>
      <c r="B6" s="635">
        <v>523560.16121428827</v>
      </c>
      <c r="C6" s="636">
        <v>0.23858017963094752</v>
      </c>
      <c r="D6" s="635">
        <v>1670922.8927601355</v>
      </c>
      <c r="E6" s="636">
        <v>0.76141982036905254</v>
      </c>
      <c r="F6" s="637">
        <v>2194483.0539744236</v>
      </c>
    </row>
    <row r="7" spans="1:6" ht="14.4" customHeight="1" thickBot="1" x14ac:dyDescent="0.35"/>
    <row r="8" spans="1:6" ht="14.4" customHeight="1" x14ac:dyDescent="0.3">
      <c r="A8" s="644" t="s">
        <v>2525</v>
      </c>
      <c r="B8" s="613">
        <v>474125.32999999996</v>
      </c>
      <c r="C8" s="632">
        <v>0.85381287669036376</v>
      </c>
      <c r="D8" s="613">
        <v>81178.23</v>
      </c>
      <c r="E8" s="632">
        <v>0.14618712330963626</v>
      </c>
      <c r="F8" s="614">
        <v>555303.55999999994</v>
      </c>
    </row>
    <row r="9" spans="1:6" ht="14.4" customHeight="1" x14ac:dyDescent="0.3">
      <c r="A9" s="645" t="s">
        <v>2526</v>
      </c>
      <c r="B9" s="619">
        <v>18903.98</v>
      </c>
      <c r="C9" s="640">
        <v>0.22557516387972459</v>
      </c>
      <c r="D9" s="619">
        <v>64899.48344369496</v>
      </c>
      <c r="E9" s="640">
        <v>0.77442483612027546</v>
      </c>
      <c r="F9" s="620">
        <v>83803.463443694956</v>
      </c>
    </row>
    <row r="10" spans="1:6" ht="14.4" customHeight="1" x14ac:dyDescent="0.3">
      <c r="A10" s="645" t="s">
        <v>2527</v>
      </c>
      <c r="B10" s="619">
        <v>17049.696</v>
      </c>
      <c r="C10" s="640">
        <v>0.95573121141141859</v>
      </c>
      <c r="D10" s="619">
        <v>789.72976785904348</v>
      </c>
      <c r="E10" s="640">
        <v>4.4268788588581402E-2</v>
      </c>
      <c r="F10" s="620">
        <v>17839.425767859044</v>
      </c>
    </row>
    <row r="11" spans="1:6" ht="14.4" customHeight="1" x14ac:dyDescent="0.3">
      <c r="A11" s="645" t="s">
        <v>2528</v>
      </c>
      <c r="B11" s="619">
        <v>3650.9927934966768</v>
      </c>
      <c r="C11" s="640">
        <v>4.8420887354565838E-2</v>
      </c>
      <c r="D11" s="619">
        <v>71750.202702198978</v>
      </c>
      <c r="E11" s="640">
        <v>0.95157911264543404</v>
      </c>
      <c r="F11" s="620">
        <v>75401.195495695662</v>
      </c>
    </row>
    <row r="12" spans="1:6" ht="14.4" customHeight="1" x14ac:dyDescent="0.3">
      <c r="A12" s="645" t="s">
        <v>2529</v>
      </c>
      <c r="B12" s="619">
        <v>3044.7773999999999</v>
      </c>
      <c r="C12" s="640">
        <v>0.8841115999709418</v>
      </c>
      <c r="D12" s="619">
        <v>399.10615508520988</v>
      </c>
      <c r="E12" s="640">
        <v>0.11588840002905819</v>
      </c>
      <c r="F12" s="620">
        <v>3443.88355508521</v>
      </c>
    </row>
    <row r="13" spans="1:6" ht="14.4" customHeight="1" x14ac:dyDescent="0.3">
      <c r="A13" s="645" t="s">
        <v>2530</v>
      </c>
      <c r="B13" s="619">
        <v>1580.1</v>
      </c>
      <c r="C13" s="640">
        <v>0.26118309101389553</v>
      </c>
      <c r="D13" s="619">
        <v>4469.6790797488311</v>
      </c>
      <c r="E13" s="640">
        <v>0.73881690898610453</v>
      </c>
      <c r="F13" s="620">
        <v>6049.7790797488306</v>
      </c>
    </row>
    <row r="14" spans="1:6" ht="14.4" customHeight="1" x14ac:dyDescent="0.3">
      <c r="A14" s="645" t="s">
        <v>2531</v>
      </c>
      <c r="B14" s="619">
        <v>1472.672</v>
      </c>
      <c r="C14" s="640">
        <v>0.59681969104529276</v>
      </c>
      <c r="D14" s="619">
        <v>994.86052631578946</v>
      </c>
      <c r="E14" s="640">
        <v>0.40318030895470736</v>
      </c>
      <c r="F14" s="620">
        <v>2467.5325263157893</v>
      </c>
    </row>
    <row r="15" spans="1:6" ht="14.4" customHeight="1" x14ac:dyDescent="0.3">
      <c r="A15" s="645" t="s">
        <v>2532</v>
      </c>
      <c r="B15" s="619">
        <v>1065.997067825846</v>
      </c>
      <c r="C15" s="640">
        <v>0.90417883324906612</v>
      </c>
      <c r="D15" s="619">
        <v>112.97</v>
      </c>
      <c r="E15" s="640">
        <v>9.5821166750933912E-2</v>
      </c>
      <c r="F15" s="620">
        <v>1178.967067825846</v>
      </c>
    </row>
    <row r="16" spans="1:6" ht="14.4" customHeight="1" x14ac:dyDescent="0.3">
      <c r="A16" s="645" t="s">
        <v>2533</v>
      </c>
      <c r="B16" s="619">
        <v>1053.7799999999997</v>
      </c>
      <c r="C16" s="640">
        <v>1</v>
      </c>
      <c r="D16" s="619"/>
      <c r="E16" s="640">
        <v>0</v>
      </c>
      <c r="F16" s="620">
        <v>1053.7799999999997</v>
      </c>
    </row>
    <row r="17" spans="1:6" ht="14.4" customHeight="1" x14ac:dyDescent="0.3">
      <c r="A17" s="645" t="s">
        <v>2534</v>
      </c>
      <c r="B17" s="619">
        <v>450.29599999999999</v>
      </c>
      <c r="C17" s="640">
        <v>0.74451734081108956</v>
      </c>
      <c r="D17" s="619">
        <v>154.51999999999998</v>
      </c>
      <c r="E17" s="640">
        <v>0.25548265918891028</v>
      </c>
      <c r="F17" s="620">
        <v>604.81600000000003</v>
      </c>
    </row>
    <row r="18" spans="1:6" ht="14.4" customHeight="1" x14ac:dyDescent="0.3">
      <c r="A18" s="645" t="s">
        <v>2535</v>
      </c>
      <c r="B18" s="619">
        <v>206.34</v>
      </c>
      <c r="C18" s="640">
        <v>1</v>
      </c>
      <c r="D18" s="619"/>
      <c r="E18" s="640">
        <v>0</v>
      </c>
      <c r="F18" s="620">
        <v>206.34</v>
      </c>
    </row>
    <row r="19" spans="1:6" ht="14.4" customHeight="1" x14ac:dyDescent="0.3">
      <c r="A19" s="645" t="s">
        <v>2536</v>
      </c>
      <c r="B19" s="619">
        <v>161.78</v>
      </c>
      <c r="C19" s="640">
        <v>1</v>
      </c>
      <c r="D19" s="619"/>
      <c r="E19" s="640">
        <v>0</v>
      </c>
      <c r="F19" s="620">
        <v>161.78</v>
      </c>
    </row>
    <row r="20" spans="1:6" ht="14.4" customHeight="1" x14ac:dyDescent="0.3">
      <c r="A20" s="645" t="s">
        <v>2537</v>
      </c>
      <c r="B20" s="619">
        <v>150.08000000000007</v>
      </c>
      <c r="C20" s="640">
        <v>0.68180992186080347</v>
      </c>
      <c r="D20" s="619">
        <v>70.039999999999935</v>
      </c>
      <c r="E20" s="640">
        <v>0.31819007813919647</v>
      </c>
      <c r="F20" s="620">
        <v>220.12</v>
      </c>
    </row>
    <row r="21" spans="1:6" ht="14.4" customHeight="1" x14ac:dyDescent="0.3">
      <c r="A21" s="645" t="s">
        <v>2538</v>
      </c>
      <c r="B21" s="619">
        <v>148.71</v>
      </c>
      <c r="C21" s="640">
        <v>0.67632344915408404</v>
      </c>
      <c r="D21" s="619">
        <v>71.170000000000016</v>
      </c>
      <c r="E21" s="640">
        <v>0.32367655084591601</v>
      </c>
      <c r="F21" s="620">
        <v>219.88000000000002</v>
      </c>
    </row>
    <row r="22" spans="1:6" ht="14.4" customHeight="1" x14ac:dyDescent="0.3">
      <c r="A22" s="645" t="s">
        <v>2539</v>
      </c>
      <c r="B22" s="619">
        <v>145.75</v>
      </c>
      <c r="C22" s="640">
        <v>1</v>
      </c>
      <c r="D22" s="619"/>
      <c r="E22" s="640">
        <v>0</v>
      </c>
      <c r="F22" s="620">
        <v>145.75</v>
      </c>
    </row>
    <row r="23" spans="1:6" ht="14.4" customHeight="1" x14ac:dyDescent="0.3">
      <c r="A23" s="645" t="s">
        <v>2540</v>
      </c>
      <c r="B23" s="619">
        <v>107.27995296574204</v>
      </c>
      <c r="C23" s="640">
        <v>0.25645430538315167</v>
      </c>
      <c r="D23" s="619">
        <v>311.03999999999996</v>
      </c>
      <c r="E23" s="640">
        <v>0.74354569461684838</v>
      </c>
      <c r="F23" s="620">
        <v>418.319952965742</v>
      </c>
    </row>
    <row r="24" spans="1:6" ht="14.4" customHeight="1" x14ac:dyDescent="0.3">
      <c r="A24" s="645" t="s">
        <v>2541</v>
      </c>
      <c r="B24" s="619">
        <v>103.32000000000002</v>
      </c>
      <c r="C24" s="640">
        <v>0.32963246554364484</v>
      </c>
      <c r="D24" s="619">
        <v>210.11999999999995</v>
      </c>
      <c r="E24" s="640">
        <v>0.67036753445635522</v>
      </c>
      <c r="F24" s="620">
        <v>313.43999999999994</v>
      </c>
    </row>
    <row r="25" spans="1:6" ht="14.4" customHeight="1" x14ac:dyDescent="0.3">
      <c r="A25" s="645" t="s">
        <v>2542</v>
      </c>
      <c r="B25" s="619">
        <v>80.61</v>
      </c>
      <c r="C25" s="640">
        <v>0.13789854225042747</v>
      </c>
      <c r="D25" s="619">
        <v>503.95020407822778</v>
      </c>
      <c r="E25" s="640">
        <v>0.86210145774957248</v>
      </c>
      <c r="F25" s="620">
        <v>584.5602040782278</v>
      </c>
    </row>
    <row r="26" spans="1:6" ht="14.4" customHeight="1" x14ac:dyDescent="0.3">
      <c r="A26" s="645" t="s">
        <v>2543</v>
      </c>
      <c r="B26" s="619">
        <v>58.669999999999966</v>
      </c>
      <c r="C26" s="640">
        <v>3.9536638947666319E-2</v>
      </c>
      <c r="D26" s="619">
        <v>1425.2700000000002</v>
      </c>
      <c r="E26" s="640">
        <v>0.96046336105233365</v>
      </c>
      <c r="F26" s="620">
        <v>1483.9400000000003</v>
      </c>
    </row>
    <row r="27" spans="1:6" ht="14.4" customHeight="1" x14ac:dyDescent="0.3">
      <c r="A27" s="645" t="s">
        <v>2544</v>
      </c>
      <c r="B27" s="619"/>
      <c r="C27" s="640">
        <v>0</v>
      </c>
      <c r="D27" s="619">
        <v>87.239998443741428</v>
      </c>
      <c r="E27" s="640">
        <v>1</v>
      </c>
      <c r="F27" s="620">
        <v>87.239998443741428</v>
      </c>
    </row>
    <row r="28" spans="1:6" ht="14.4" customHeight="1" x14ac:dyDescent="0.3">
      <c r="A28" s="645" t="s">
        <v>2545</v>
      </c>
      <c r="B28" s="619"/>
      <c r="C28" s="640">
        <v>0</v>
      </c>
      <c r="D28" s="619">
        <v>326.95999999999992</v>
      </c>
      <c r="E28" s="640">
        <v>1</v>
      </c>
      <c r="F28" s="620">
        <v>326.95999999999992</v>
      </c>
    </row>
    <row r="29" spans="1:6" ht="14.4" customHeight="1" x14ac:dyDescent="0.3">
      <c r="A29" s="645" t="s">
        <v>2546</v>
      </c>
      <c r="B29" s="619"/>
      <c r="C29" s="640">
        <v>0</v>
      </c>
      <c r="D29" s="619">
        <v>580.64818489546826</v>
      </c>
      <c r="E29" s="640">
        <v>1</v>
      </c>
      <c r="F29" s="620">
        <v>580.64818489546826</v>
      </c>
    </row>
    <row r="30" spans="1:6" ht="14.4" customHeight="1" x14ac:dyDescent="0.3">
      <c r="A30" s="645" t="s">
        <v>2547</v>
      </c>
      <c r="B30" s="619"/>
      <c r="C30" s="640">
        <v>0</v>
      </c>
      <c r="D30" s="619">
        <v>14.400017429774863</v>
      </c>
      <c r="E30" s="640">
        <v>1</v>
      </c>
      <c r="F30" s="620">
        <v>14.400017429774863</v>
      </c>
    </row>
    <row r="31" spans="1:6" ht="14.4" customHeight="1" x14ac:dyDescent="0.3">
      <c r="A31" s="645" t="s">
        <v>2548</v>
      </c>
      <c r="B31" s="619"/>
      <c r="C31" s="640">
        <v>0</v>
      </c>
      <c r="D31" s="619">
        <v>18881.62950493244</v>
      </c>
      <c r="E31" s="640">
        <v>1</v>
      </c>
      <c r="F31" s="620">
        <v>18881.62950493244</v>
      </c>
    </row>
    <row r="32" spans="1:6" ht="14.4" customHeight="1" x14ac:dyDescent="0.3">
      <c r="A32" s="645" t="s">
        <v>2549</v>
      </c>
      <c r="B32" s="619"/>
      <c r="C32" s="640">
        <v>0</v>
      </c>
      <c r="D32" s="619">
        <v>29.300162050858336</v>
      </c>
      <c r="E32" s="640">
        <v>1</v>
      </c>
      <c r="F32" s="620">
        <v>29.300162050858336</v>
      </c>
    </row>
    <row r="33" spans="1:6" ht="14.4" customHeight="1" x14ac:dyDescent="0.3">
      <c r="A33" s="645" t="s">
        <v>2550</v>
      </c>
      <c r="B33" s="619"/>
      <c r="C33" s="640">
        <v>0</v>
      </c>
      <c r="D33" s="619">
        <v>1140.29</v>
      </c>
      <c r="E33" s="640">
        <v>1</v>
      </c>
      <c r="F33" s="620">
        <v>1140.29</v>
      </c>
    </row>
    <row r="34" spans="1:6" ht="14.4" customHeight="1" x14ac:dyDescent="0.3">
      <c r="A34" s="645" t="s">
        <v>2551</v>
      </c>
      <c r="B34" s="619"/>
      <c r="C34" s="640">
        <v>0</v>
      </c>
      <c r="D34" s="619">
        <v>334.04998023544681</v>
      </c>
      <c r="E34" s="640">
        <v>1</v>
      </c>
      <c r="F34" s="620">
        <v>334.04998023544681</v>
      </c>
    </row>
    <row r="35" spans="1:6" ht="14.4" customHeight="1" x14ac:dyDescent="0.3">
      <c r="A35" s="645" t="s">
        <v>2552</v>
      </c>
      <c r="B35" s="619"/>
      <c r="C35" s="640">
        <v>0</v>
      </c>
      <c r="D35" s="619">
        <v>44.12</v>
      </c>
      <c r="E35" s="640">
        <v>1</v>
      </c>
      <c r="F35" s="620">
        <v>44.12</v>
      </c>
    </row>
    <row r="36" spans="1:6" ht="14.4" customHeight="1" x14ac:dyDescent="0.3">
      <c r="A36" s="645" t="s">
        <v>2553</v>
      </c>
      <c r="B36" s="619"/>
      <c r="C36" s="640">
        <v>0</v>
      </c>
      <c r="D36" s="619">
        <v>75.91</v>
      </c>
      <c r="E36" s="640">
        <v>1</v>
      </c>
      <c r="F36" s="620">
        <v>75.91</v>
      </c>
    </row>
    <row r="37" spans="1:6" ht="14.4" customHeight="1" x14ac:dyDescent="0.3">
      <c r="A37" s="645" t="s">
        <v>2554</v>
      </c>
      <c r="B37" s="619"/>
      <c r="C37" s="640">
        <v>0</v>
      </c>
      <c r="D37" s="619">
        <v>4790.7200000000012</v>
      </c>
      <c r="E37" s="640">
        <v>1</v>
      </c>
      <c r="F37" s="620">
        <v>4790.7200000000012</v>
      </c>
    </row>
    <row r="38" spans="1:6" ht="14.4" customHeight="1" x14ac:dyDescent="0.3">
      <c r="A38" s="645" t="s">
        <v>2555</v>
      </c>
      <c r="B38" s="619"/>
      <c r="C38" s="640">
        <v>0</v>
      </c>
      <c r="D38" s="619">
        <v>98.600000000000023</v>
      </c>
      <c r="E38" s="640">
        <v>1</v>
      </c>
      <c r="F38" s="620">
        <v>98.600000000000023</v>
      </c>
    </row>
    <row r="39" spans="1:6" ht="14.4" customHeight="1" x14ac:dyDescent="0.3">
      <c r="A39" s="645" t="s">
        <v>2556</v>
      </c>
      <c r="B39" s="619"/>
      <c r="C39" s="640">
        <v>0</v>
      </c>
      <c r="D39" s="619">
        <v>1901.4577896631013</v>
      </c>
      <c r="E39" s="640">
        <v>1</v>
      </c>
      <c r="F39" s="620">
        <v>1901.4577896631013</v>
      </c>
    </row>
    <row r="40" spans="1:6" ht="14.4" customHeight="1" x14ac:dyDescent="0.3">
      <c r="A40" s="645" t="s">
        <v>2557</v>
      </c>
      <c r="B40" s="619"/>
      <c r="C40" s="640">
        <v>0</v>
      </c>
      <c r="D40" s="619">
        <v>137499.99896306553</v>
      </c>
      <c r="E40" s="640">
        <v>1</v>
      </c>
      <c r="F40" s="620">
        <v>137499.99896306553</v>
      </c>
    </row>
    <row r="41" spans="1:6" ht="14.4" customHeight="1" x14ac:dyDescent="0.3">
      <c r="A41" s="645" t="s">
        <v>2558</v>
      </c>
      <c r="B41" s="619"/>
      <c r="C41" s="640">
        <v>0</v>
      </c>
      <c r="D41" s="619">
        <v>12610.138851112317</v>
      </c>
      <c r="E41" s="640">
        <v>1</v>
      </c>
      <c r="F41" s="620">
        <v>12610.138851112317</v>
      </c>
    </row>
    <row r="42" spans="1:6" ht="14.4" customHeight="1" x14ac:dyDescent="0.3">
      <c r="A42" s="645" t="s">
        <v>2559</v>
      </c>
      <c r="B42" s="619"/>
      <c r="C42" s="640">
        <v>0</v>
      </c>
      <c r="D42" s="619">
        <v>1541.0699999999997</v>
      </c>
      <c r="E42" s="640">
        <v>1</v>
      </c>
      <c r="F42" s="620">
        <v>1541.0699999999997</v>
      </c>
    </row>
    <row r="43" spans="1:6" ht="14.4" customHeight="1" x14ac:dyDescent="0.3">
      <c r="A43" s="645" t="s">
        <v>2560</v>
      </c>
      <c r="B43" s="619"/>
      <c r="C43" s="640">
        <v>0</v>
      </c>
      <c r="D43" s="619">
        <v>182.93000000000006</v>
      </c>
      <c r="E43" s="640">
        <v>1</v>
      </c>
      <c r="F43" s="620">
        <v>182.93000000000006</v>
      </c>
    </row>
    <row r="44" spans="1:6" ht="14.4" customHeight="1" x14ac:dyDescent="0.3">
      <c r="A44" s="645" t="s">
        <v>2561</v>
      </c>
      <c r="B44" s="619"/>
      <c r="C44" s="640">
        <v>0</v>
      </c>
      <c r="D44" s="619">
        <v>1378.9587933763239</v>
      </c>
      <c r="E44" s="640">
        <v>1</v>
      </c>
      <c r="F44" s="620">
        <v>1378.9587933763239</v>
      </c>
    </row>
    <row r="45" spans="1:6" ht="14.4" customHeight="1" x14ac:dyDescent="0.3">
      <c r="A45" s="645" t="s">
        <v>2562</v>
      </c>
      <c r="B45" s="619"/>
      <c r="C45" s="640">
        <v>0</v>
      </c>
      <c r="D45" s="619">
        <v>85.92</v>
      </c>
      <c r="E45" s="640">
        <v>1</v>
      </c>
      <c r="F45" s="620">
        <v>85.92</v>
      </c>
    </row>
    <row r="46" spans="1:6" ht="14.4" customHeight="1" x14ac:dyDescent="0.3">
      <c r="A46" s="645" t="s">
        <v>2563</v>
      </c>
      <c r="B46" s="619"/>
      <c r="C46" s="640">
        <v>0</v>
      </c>
      <c r="D46" s="619">
        <v>670514.16300000006</v>
      </c>
      <c r="E46" s="640">
        <v>1</v>
      </c>
      <c r="F46" s="620">
        <v>670514.16300000006</v>
      </c>
    </row>
    <row r="47" spans="1:6" ht="14.4" customHeight="1" x14ac:dyDescent="0.3">
      <c r="A47" s="645" t="s">
        <v>2564</v>
      </c>
      <c r="B47" s="619"/>
      <c r="C47" s="640">
        <v>0</v>
      </c>
      <c r="D47" s="619">
        <v>122.63999999999999</v>
      </c>
      <c r="E47" s="640">
        <v>1</v>
      </c>
      <c r="F47" s="620">
        <v>122.63999999999999</v>
      </c>
    </row>
    <row r="48" spans="1:6" ht="14.4" customHeight="1" x14ac:dyDescent="0.3">
      <c r="A48" s="645" t="s">
        <v>2565</v>
      </c>
      <c r="B48" s="619"/>
      <c r="C48" s="640">
        <v>0</v>
      </c>
      <c r="D48" s="619">
        <v>135.63</v>
      </c>
      <c r="E48" s="640">
        <v>1</v>
      </c>
      <c r="F48" s="620">
        <v>135.63</v>
      </c>
    </row>
    <row r="49" spans="1:6" ht="14.4" customHeight="1" x14ac:dyDescent="0.3">
      <c r="A49" s="645" t="s">
        <v>2566</v>
      </c>
      <c r="B49" s="619"/>
      <c r="C49" s="640">
        <v>0</v>
      </c>
      <c r="D49" s="619">
        <v>17328.579717046698</v>
      </c>
      <c r="E49" s="640">
        <v>1</v>
      </c>
      <c r="F49" s="620">
        <v>17328.579717046698</v>
      </c>
    </row>
    <row r="50" spans="1:6" ht="14.4" customHeight="1" x14ac:dyDescent="0.3">
      <c r="A50" s="645" t="s">
        <v>2567</v>
      </c>
      <c r="B50" s="619"/>
      <c r="C50" s="640">
        <v>0</v>
      </c>
      <c r="D50" s="619">
        <v>1917.2999999999997</v>
      </c>
      <c r="E50" s="640">
        <v>1</v>
      </c>
      <c r="F50" s="620">
        <v>1917.2999999999997</v>
      </c>
    </row>
    <row r="51" spans="1:6" ht="14.4" customHeight="1" x14ac:dyDescent="0.3">
      <c r="A51" s="645" t="s">
        <v>2568</v>
      </c>
      <c r="B51" s="619"/>
      <c r="C51" s="640">
        <v>0</v>
      </c>
      <c r="D51" s="619">
        <v>38567.665454545458</v>
      </c>
      <c r="E51" s="640">
        <v>1</v>
      </c>
      <c r="F51" s="620">
        <v>38567.665454545458</v>
      </c>
    </row>
    <row r="52" spans="1:6" ht="14.4" customHeight="1" x14ac:dyDescent="0.3">
      <c r="A52" s="645" t="s">
        <v>2569</v>
      </c>
      <c r="B52" s="619"/>
      <c r="C52" s="640">
        <v>0</v>
      </c>
      <c r="D52" s="619">
        <v>17548.767041095929</v>
      </c>
      <c r="E52" s="640">
        <v>1</v>
      </c>
      <c r="F52" s="620">
        <v>17548.767041095929</v>
      </c>
    </row>
    <row r="53" spans="1:6" ht="14.4" customHeight="1" x14ac:dyDescent="0.3">
      <c r="A53" s="645" t="s">
        <v>2570</v>
      </c>
      <c r="B53" s="619"/>
      <c r="C53" s="640">
        <v>0</v>
      </c>
      <c r="D53" s="619">
        <v>246.60999999999999</v>
      </c>
      <c r="E53" s="640">
        <v>1</v>
      </c>
      <c r="F53" s="620">
        <v>246.60999999999999</v>
      </c>
    </row>
    <row r="54" spans="1:6" ht="14.4" customHeight="1" x14ac:dyDescent="0.3">
      <c r="A54" s="645" t="s">
        <v>2571</v>
      </c>
      <c r="B54" s="619"/>
      <c r="C54" s="640">
        <v>0</v>
      </c>
      <c r="D54" s="619">
        <v>21806.400000000001</v>
      </c>
      <c r="E54" s="640">
        <v>1</v>
      </c>
      <c r="F54" s="620">
        <v>21806.400000000001</v>
      </c>
    </row>
    <row r="55" spans="1:6" ht="14.4" customHeight="1" x14ac:dyDescent="0.3">
      <c r="A55" s="645" t="s">
        <v>2572</v>
      </c>
      <c r="B55" s="619"/>
      <c r="C55" s="640">
        <v>0</v>
      </c>
      <c r="D55" s="619">
        <v>54.780000000000015</v>
      </c>
      <c r="E55" s="640">
        <v>1</v>
      </c>
      <c r="F55" s="620">
        <v>54.780000000000015</v>
      </c>
    </row>
    <row r="56" spans="1:6" ht="14.4" customHeight="1" x14ac:dyDescent="0.3">
      <c r="A56" s="645" t="s">
        <v>2573</v>
      </c>
      <c r="B56" s="619"/>
      <c r="C56" s="640">
        <v>0</v>
      </c>
      <c r="D56" s="619">
        <v>680.1</v>
      </c>
      <c r="E56" s="640">
        <v>1</v>
      </c>
      <c r="F56" s="620">
        <v>680.1</v>
      </c>
    </row>
    <row r="57" spans="1:6" ht="14.4" customHeight="1" x14ac:dyDescent="0.3">
      <c r="A57" s="645" t="s">
        <v>2574</v>
      </c>
      <c r="B57" s="619"/>
      <c r="C57" s="640">
        <v>0</v>
      </c>
      <c r="D57" s="619">
        <v>27.760000000000005</v>
      </c>
      <c r="E57" s="640">
        <v>1</v>
      </c>
      <c r="F57" s="620">
        <v>27.760000000000005</v>
      </c>
    </row>
    <row r="58" spans="1:6" ht="14.4" customHeight="1" x14ac:dyDescent="0.3">
      <c r="A58" s="645" t="s">
        <v>2575</v>
      </c>
      <c r="B58" s="619"/>
      <c r="C58" s="640">
        <v>0</v>
      </c>
      <c r="D58" s="619">
        <v>406.9295058259795</v>
      </c>
      <c r="E58" s="640">
        <v>1</v>
      </c>
      <c r="F58" s="620">
        <v>406.9295058259795</v>
      </c>
    </row>
    <row r="59" spans="1:6" ht="14.4" customHeight="1" x14ac:dyDescent="0.3">
      <c r="A59" s="645" t="s">
        <v>2576</v>
      </c>
      <c r="B59" s="619"/>
      <c r="C59" s="640">
        <v>0</v>
      </c>
      <c r="D59" s="619">
        <v>239.53000000000003</v>
      </c>
      <c r="E59" s="640">
        <v>1</v>
      </c>
      <c r="F59" s="620">
        <v>239.53000000000003</v>
      </c>
    </row>
    <row r="60" spans="1:6" ht="14.4" customHeight="1" x14ac:dyDescent="0.3">
      <c r="A60" s="645" t="s">
        <v>2577</v>
      </c>
      <c r="B60" s="619"/>
      <c r="C60" s="640">
        <v>0</v>
      </c>
      <c r="D60" s="619">
        <v>191369.62332708354</v>
      </c>
      <c r="E60" s="640">
        <v>1</v>
      </c>
      <c r="F60" s="620">
        <v>191369.62332708354</v>
      </c>
    </row>
    <row r="61" spans="1:6" ht="14.4" customHeight="1" x14ac:dyDescent="0.3">
      <c r="A61" s="645" t="s">
        <v>2578</v>
      </c>
      <c r="B61" s="619"/>
      <c r="C61" s="640">
        <v>0</v>
      </c>
      <c r="D61" s="619">
        <v>755.93999999999994</v>
      </c>
      <c r="E61" s="640">
        <v>1</v>
      </c>
      <c r="F61" s="620">
        <v>755.93999999999994</v>
      </c>
    </row>
    <row r="62" spans="1:6" ht="14.4" customHeight="1" x14ac:dyDescent="0.3">
      <c r="A62" s="645" t="s">
        <v>2579</v>
      </c>
      <c r="B62" s="619"/>
      <c r="C62" s="640">
        <v>0</v>
      </c>
      <c r="D62" s="619">
        <v>151.16000443733768</v>
      </c>
      <c r="E62" s="640">
        <v>1</v>
      </c>
      <c r="F62" s="620">
        <v>151.16000443733768</v>
      </c>
    </row>
    <row r="63" spans="1:6" ht="14.4" customHeight="1" x14ac:dyDescent="0.3">
      <c r="A63" s="645" t="s">
        <v>2580</v>
      </c>
      <c r="B63" s="619"/>
      <c r="C63" s="640">
        <v>0</v>
      </c>
      <c r="D63" s="619">
        <v>132220.59489014308</v>
      </c>
      <c r="E63" s="640">
        <v>1</v>
      </c>
      <c r="F63" s="620">
        <v>132220.59489014308</v>
      </c>
    </row>
    <row r="64" spans="1:6" ht="14.4" customHeight="1" x14ac:dyDescent="0.3">
      <c r="A64" s="645" t="s">
        <v>2581</v>
      </c>
      <c r="B64" s="619"/>
      <c r="C64" s="640">
        <v>0</v>
      </c>
      <c r="D64" s="619">
        <v>158.11999999999998</v>
      </c>
      <c r="E64" s="640">
        <v>1</v>
      </c>
      <c r="F64" s="620">
        <v>158.11999999999998</v>
      </c>
    </row>
    <row r="65" spans="1:6" ht="14.4" customHeight="1" x14ac:dyDescent="0.3">
      <c r="A65" s="645" t="s">
        <v>2582</v>
      </c>
      <c r="B65" s="619"/>
      <c r="C65" s="640">
        <v>0</v>
      </c>
      <c r="D65" s="619">
        <v>399.25053147016331</v>
      </c>
      <c r="E65" s="640">
        <v>1</v>
      </c>
      <c r="F65" s="620">
        <v>399.25053147016331</v>
      </c>
    </row>
    <row r="66" spans="1:6" ht="14.4" customHeight="1" x14ac:dyDescent="0.3">
      <c r="A66" s="645" t="s">
        <v>2583</v>
      </c>
      <c r="B66" s="619"/>
      <c r="C66" s="640">
        <v>0</v>
      </c>
      <c r="D66" s="619">
        <v>16948.447014326513</v>
      </c>
      <c r="E66" s="640">
        <v>1</v>
      </c>
      <c r="F66" s="620">
        <v>16948.447014326513</v>
      </c>
    </row>
    <row r="67" spans="1:6" ht="14.4" customHeight="1" x14ac:dyDescent="0.3">
      <c r="A67" s="645" t="s">
        <v>2584</v>
      </c>
      <c r="B67" s="619"/>
      <c r="C67" s="640">
        <v>0</v>
      </c>
      <c r="D67" s="619">
        <v>186.90999889745308</v>
      </c>
      <c r="E67" s="640">
        <v>1</v>
      </c>
      <c r="F67" s="620">
        <v>186.90999889745308</v>
      </c>
    </row>
    <row r="68" spans="1:6" ht="14.4" customHeight="1" x14ac:dyDescent="0.3">
      <c r="A68" s="645" t="s">
        <v>2585</v>
      </c>
      <c r="B68" s="619"/>
      <c r="C68" s="640">
        <v>0</v>
      </c>
      <c r="D68" s="619">
        <v>2912.2799751206967</v>
      </c>
      <c r="E68" s="640">
        <v>1</v>
      </c>
      <c r="F68" s="620">
        <v>2912.2799751206967</v>
      </c>
    </row>
    <row r="69" spans="1:6" ht="14.4" customHeight="1" x14ac:dyDescent="0.3">
      <c r="A69" s="645" t="s">
        <v>2586</v>
      </c>
      <c r="B69" s="619"/>
      <c r="C69" s="640">
        <v>0</v>
      </c>
      <c r="D69" s="619">
        <v>213.24</v>
      </c>
      <c r="E69" s="640">
        <v>1</v>
      </c>
      <c r="F69" s="620">
        <v>213.24</v>
      </c>
    </row>
    <row r="70" spans="1:6" ht="14.4" customHeight="1" x14ac:dyDescent="0.3">
      <c r="A70" s="645" t="s">
        <v>2587</v>
      </c>
      <c r="B70" s="619"/>
      <c r="C70" s="640">
        <v>0</v>
      </c>
      <c r="D70" s="619">
        <v>25657.090737313665</v>
      </c>
      <c r="E70" s="640">
        <v>1</v>
      </c>
      <c r="F70" s="620">
        <v>25657.090737313665</v>
      </c>
    </row>
    <row r="71" spans="1:6" ht="14.4" customHeight="1" x14ac:dyDescent="0.3">
      <c r="A71" s="645" t="s">
        <v>2588</v>
      </c>
      <c r="B71" s="619"/>
      <c r="C71" s="640">
        <v>0</v>
      </c>
      <c r="D71" s="619">
        <v>2744.9399999999996</v>
      </c>
      <c r="E71" s="640">
        <v>1</v>
      </c>
      <c r="F71" s="620">
        <v>2744.9399999999996</v>
      </c>
    </row>
    <row r="72" spans="1:6" ht="14.4" customHeight="1" x14ac:dyDescent="0.3">
      <c r="A72" s="645" t="s">
        <v>2589</v>
      </c>
      <c r="B72" s="619"/>
      <c r="C72" s="640">
        <v>0</v>
      </c>
      <c r="D72" s="619">
        <v>1243</v>
      </c>
      <c r="E72" s="640">
        <v>1</v>
      </c>
      <c r="F72" s="620">
        <v>1243</v>
      </c>
    </row>
    <row r="73" spans="1:6" ht="14.4" customHeight="1" x14ac:dyDescent="0.3">
      <c r="A73" s="645" t="s">
        <v>2590</v>
      </c>
      <c r="B73" s="619"/>
      <c r="C73" s="640">
        <v>0</v>
      </c>
      <c r="D73" s="619">
        <v>670.67000000000019</v>
      </c>
      <c r="E73" s="640">
        <v>1</v>
      </c>
      <c r="F73" s="620">
        <v>670.67000000000019</v>
      </c>
    </row>
    <row r="74" spans="1:6" ht="14.4" customHeight="1" x14ac:dyDescent="0.3">
      <c r="A74" s="645" t="s">
        <v>2591</v>
      </c>
      <c r="B74" s="619"/>
      <c r="C74" s="640">
        <v>0</v>
      </c>
      <c r="D74" s="619">
        <v>103543.32743864396</v>
      </c>
      <c r="E74" s="640">
        <v>1</v>
      </c>
      <c r="F74" s="620">
        <v>103543.32743864396</v>
      </c>
    </row>
    <row r="75" spans="1:6" ht="14.4" customHeight="1" x14ac:dyDescent="0.3">
      <c r="A75" s="645" t="s">
        <v>2592</v>
      </c>
      <c r="B75" s="619"/>
      <c r="C75" s="640">
        <v>0</v>
      </c>
      <c r="D75" s="619">
        <v>12370.3</v>
      </c>
      <c r="E75" s="640">
        <v>1</v>
      </c>
      <c r="F75" s="620">
        <v>12370.3</v>
      </c>
    </row>
    <row r="76" spans="1:6" ht="14.4" customHeight="1" x14ac:dyDescent="0.3">
      <c r="A76" s="645" t="s">
        <v>2593</v>
      </c>
      <c r="B76" s="619"/>
      <c r="C76" s="640">
        <v>0</v>
      </c>
      <c r="D76" s="619">
        <v>183.02999999999997</v>
      </c>
      <c r="E76" s="640">
        <v>1</v>
      </c>
      <c r="F76" s="620">
        <v>183.02999999999997</v>
      </c>
    </row>
    <row r="77" spans="1:6" ht="14.4" customHeight="1" thickBot="1" x14ac:dyDescent="0.35">
      <c r="A77" s="646" t="s">
        <v>2594</v>
      </c>
      <c r="B77" s="641"/>
      <c r="C77" s="642">
        <v>0</v>
      </c>
      <c r="D77" s="641">
        <v>653.40000000000009</v>
      </c>
      <c r="E77" s="642">
        <v>1</v>
      </c>
      <c r="F77" s="643">
        <v>653.40000000000009</v>
      </c>
    </row>
    <row r="78" spans="1:6" ht="14.4" customHeight="1" thickBot="1" x14ac:dyDescent="0.35">
      <c r="A78" s="634" t="s">
        <v>3</v>
      </c>
      <c r="B78" s="635">
        <v>523560.16121428827</v>
      </c>
      <c r="C78" s="636">
        <v>0.23858017963094741</v>
      </c>
      <c r="D78" s="635">
        <v>1670922.8927601362</v>
      </c>
      <c r="E78" s="636">
        <v>0.76141982036905254</v>
      </c>
      <c r="F78" s="637">
        <v>2194483.0539744245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8" bestFit="1" customWidth="1"/>
    <col min="2" max="2" width="8.88671875" style="238" bestFit="1" customWidth="1"/>
    <col min="3" max="3" width="7" style="238" bestFit="1" customWidth="1"/>
    <col min="4" max="4" width="53.44140625" style="238" bestFit="1" customWidth="1"/>
    <col min="5" max="5" width="28.44140625" style="238" bestFit="1" customWidth="1"/>
    <col min="6" max="6" width="6.6640625" style="318" customWidth="1"/>
    <col min="7" max="7" width="10" style="318" customWidth="1"/>
    <col min="8" max="8" width="6.77734375" style="321" bestFit="1" customWidth="1"/>
    <col min="9" max="9" width="6.6640625" style="318" customWidth="1"/>
    <col min="10" max="10" width="10" style="318" customWidth="1"/>
    <col min="11" max="11" width="6.77734375" style="321" bestFit="1" customWidth="1"/>
    <col min="12" max="12" width="6.6640625" style="318" customWidth="1"/>
    <col min="13" max="13" width="10" style="318" customWidth="1"/>
    <col min="14" max="16384" width="8.88671875" style="238"/>
  </cols>
  <sheetData>
    <row r="1" spans="1:13" ht="18.600000000000001" customHeight="1" thickBot="1" x14ac:dyDescent="0.4">
      <c r="A1" s="492" t="s">
        <v>2851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54"/>
      <c r="M1" s="454"/>
    </row>
    <row r="2" spans="1:13" ht="14.4" customHeight="1" thickBot="1" x14ac:dyDescent="0.35">
      <c r="A2" s="360" t="s">
        <v>280</v>
      </c>
      <c r="B2" s="317"/>
      <c r="C2" s="317"/>
      <c r="D2" s="317"/>
      <c r="E2" s="317"/>
      <c r="F2" s="325"/>
      <c r="G2" s="325"/>
      <c r="H2" s="326"/>
      <c r="I2" s="325"/>
      <c r="J2" s="325"/>
      <c r="K2" s="326"/>
      <c r="L2" s="325"/>
    </row>
    <row r="3" spans="1:13" ht="14.4" customHeight="1" thickBot="1" x14ac:dyDescent="0.35">
      <c r="E3" s="95" t="s">
        <v>142</v>
      </c>
      <c r="F3" s="47">
        <f>SUBTOTAL(9,F6:F1048576)</f>
        <v>464.63339999999999</v>
      </c>
      <c r="G3" s="47">
        <f>SUBTOTAL(9,G6:G1048576)</f>
        <v>523560.16121428827</v>
      </c>
      <c r="H3" s="48">
        <f>IF(M3=0,0,G3/M3)</f>
        <v>0.23858017963094727</v>
      </c>
      <c r="I3" s="47">
        <f>SUBTOTAL(9,I6:I1048576)</f>
        <v>6681.0000000000009</v>
      </c>
      <c r="J3" s="47">
        <f>SUBTOTAL(9,J6:J1048576)</f>
        <v>1670922.8927601362</v>
      </c>
      <c r="K3" s="48">
        <f>IF(M3=0,0,J3/M3)</f>
        <v>0.76141982036905209</v>
      </c>
      <c r="L3" s="47">
        <f>SUBTOTAL(9,L6:L1048576)</f>
        <v>7145.6334000000006</v>
      </c>
      <c r="M3" s="49">
        <f>SUBTOTAL(9,M6:M1048576)</f>
        <v>2194483.0539744259</v>
      </c>
    </row>
    <row r="4" spans="1:13" ht="14.4" customHeight="1" thickBot="1" x14ac:dyDescent="0.35">
      <c r="A4" s="45"/>
      <c r="B4" s="45"/>
      <c r="C4" s="45"/>
      <c r="D4" s="45"/>
      <c r="E4" s="46"/>
      <c r="F4" s="496" t="s">
        <v>144</v>
      </c>
      <c r="G4" s="497"/>
      <c r="H4" s="498"/>
      <c r="I4" s="499" t="s">
        <v>143</v>
      </c>
      <c r="J4" s="497"/>
      <c r="K4" s="498"/>
      <c r="L4" s="500" t="s">
        <v>3</v>
      </c>
      <c r="M4" s="501"/>
    </row>
    <row r="5" spans="1:13" ht="14.4" customHeight="1" thickBot="1" x14ac:dyDescent="0.35">
      <c r="A5" s="627" t="s">
        <v>145</v>
      </c>
      <c r="B5" s="647" t="s">
        <v>146</v>
      </c>
      <c r="C5" s="647" t="s">
        <v>77</v>
      </c>
      <c r="D5" s="647" t="s">
        <v>147</v>
      </c>
      <c r="E5" s="647" t="s">
        <v>148</v>
      </c>
      <c r="F5" s="648" t="s">
        <v>15</v>
      </c>
      <c r="G5" s="648" t="s">
        <v>14</v>
      </c>
      <c r="H5" s="629" t="s">
        <v>149</v>
      </c>
      <c r="I5" s="628" t="s">
        <v>15</v>
      </c>
      <c r="J5" s="648" t="s">
        <v>14</v>
      </c>
      <c r="K5" s="629" t="s">
        <v>149</v>
      </c>
      <c r="L5" s="628" t="s">
        <v>15</v>
      </c>
      <c r="M5" s="649" t="s">
        <v>14</v>
      </c>
    </row>
    <row r="6" spans="1:13" ht="14.4" customHeight="1" x14ac:dyDescent="0.3">
      <c r="A6" s="609" t="s">
        <v>484</v>
      </c>
      <c r="B6" s="610" t="s">
        <v>2595</v>
      </c>
      <c r="C6" s="610" t="s">
        <v>1914</v>
      </c>
      <c r="D6" s="610" t="s">
        <v>1915</v>
      </c>
      <c r="E6" s="610" t="s">
        <v>2596</v>
      </c>
      <c r="F6" s="613"/>
      <c r="G6" s="613"/>
      <c r="H6" s="632">
        <v>0</v>
      </c>
      <c r="I6" s="613">
        <v>3</v>
      </c>
      <c r="J6" s="613">
        <v>183.02999999999997</v>
      </c>
      <c r="K6" s="632">
        <v>1</v>
      </c>
      <c r="L6" s="613">
        <v>3</v>
      </c>
      <c r="M6" s="614">
        <v>183.02999999999997</v>
      </c>
    </row>
    <row r="7" spans="1:13" ht="14.4" customHeight="1" x14ac:dyDescent="0.3">
      <c r="A7" s="615" t="s">
        <v>484</v>
      </c>
      <c r="B7" s="616" t="s">
        <v>2597</v>
      </c>
      <c r="C7" s="616" t="s">
        <v>2083</v>
      </c>
      <c r="D7" s="616" t="s">
        <v>2084</v>
      </c>
      <c r="E7" s="616" t="s">
        <v>2598</v>
      </c>
      <c r="F7" s="619"/>
      <c r="G7" s="619"/>
      <c r="H7" s="640">
        <v>0</v>
      </c>
      <c r="I7" s="619">
        <v>2820</v>
      </c>
      <c r="J7" s="619">
        <v>191215.31332708354</v>
      </c>
      <c r="K7" s="640">
        <v>1</v>
      </c>
      <c r="L7" s="619">
        <v>2820</v>
      </c>
      <c r="M7" s="620">
        <v>191215.31332708354</v>
      </c>
    </row>
    <row r="8" spans="1:13" ht="14.4" customHeight="1" x14ac:dyDescent="0.3">
      <c r="A8" s="615" t="s">
        <v>484</v>
      </c>
      <c r="B8" s="616" t="s">
        <v>2597</v>
      </c>
      <c r="C8" s="616" t="s">
        <v>2090</v>
      </c>
      <c r="D8" s="616" t="s">
        <v>2599</v>
      </c>
      <c r="E8" s="616" t="s">
        <v>2600</v>
      </c>
      <c r="F8" s="619"/>
      <c r="G8" s="619"/>
      <c r="H8" s="640">
        <v>0</v>
      </c>
      <c r="I8" s="619">
        <v>1</v>
      </c>
      <c r="J8" s="619">
        <v>154.30999999999997</v>
      </c>
      <c r="K8" s="640">
        <v>1</v>
      </c>
      <c r="L8" s="619">
        <v>1</v>
      </c>
      <c r="M8" s="620">
        <v>154.30999999999997</v>
      </c>
    </row>
    <row r="9" spans="1:13" ht="14.4" customHeight="1" x14ac:dyDescent="0.3">
      <c r="A9" s="615" t="s">
        <v>484</v>
      </c>
      <c r="B9" s="616" t="s">
        <v>2601</v>
      </c>
      <c r="C9" s="616" t="s">
        <v>2017</v>
      </c>
      <c r="D9" s="616" t="s">
        <v>2602</v>
      </c>
      <c r="E9" s="616" t="s">
        <v>2603</v>
      </c>
      <c r="F9" s="619"/>
      <c r="G9" s="619"/>
      <c r="H9" s="640">
        <v>0</v>
      </c>
      <c r="I9" s="619">
        <v>3</v>
      </c>
      <c r="J9" s="619">
        <v>406.9295058259795</v>
      </c>
      <c r="K9" s="640">
        <v>1</v>
      </c>
      <c r="L9" s="619">
        <v>3</v>
      </c>
      <c r="M9" s="620">
        <v>406.9295058259795</v>
      </c>
    </row>
    <row r="10" spans="1:13" ht="14.4" customHeight="1" x14ac:dyDescent="0.3">
      <c r="A10" s="615" t="s">
        <v>484</v>
      </c>
      <c r="B10" s="616" t="s">
        <v>2604</v>
      </c>
      <c r="C10" s="616" t="s">
        <v>2073</v>
      </c>
      <c r="D10" s="616" t="s">
        <v>2605</v>
      </c>
      <c r="E10" s="616" t="s">
        <v>2606</v>
      </c>
      <c r="F10" s="619"/>
      <c r="G10" s="619"/>
      <c r="H10" s="640">
        <v>0</v>
      </c>
      <c r="I10" s="619">
        <v>7</v>
      </c>
      <c r="J10" s="619">
        <v>1917.2999999999997</v>
      </c>
      <c r="K10" s="640">
        <v>1</v>
      </c>
      <c r="L10" s="619">
        <v>7</v>
      </c>
      <c r="M10" s="620">
        <v>1917.2999999999997</v>
      </c>
    </row>
    <row r="11" spans="1:13" ht="14.4" customHeight="1" x14ac:dyDescent="0.3">
      <c r="A11" s="615" t="s">
        <v>484</v>
      </c>
      <c r="B11" s="616" t="s">
        <v>2607</v>
      </c>
      <c r="C11" s="616" t="s">
        <v>511</v>
      </c>
      <c r="D11" s="616" t="s">
        <v>2608</v>
      </c>
      <c r="E11" s="616" t="s">
        <v>2609</v>
      </c>
      <c r="F11" s="619">
        <v>8</v>
      </c>
      <c r="G11" s="619">
        <v>591.52</v>
      </c>
      <c r="H11" s="640">
        <v>1</v>
      </c>
      <c r="I11" s="619"/>
      <c r="J11" s="619"/>
      <c r="K11" s="640">
        <v>0</v>
      </c>
      <c r="L11" s="619">
        <v>8</v>
      </c>
      <c r="M11" s="620">
        <v>591.52</v>
      </c>
    </row>
    <row r="12" spans="1:13" ht="14.4" customHeight="1" x14ac:dyDescent="0.3">
      <c r="A12" s="615" t="s">
        <v>484</v>
      </c>
      <c r="B12" s="616" t="s">
        <v>2607</v>
      </c>
      <c r="C12" s="616" t="s">
        <v>499</v>
      </c>
      <c r="D12" s="616" t="s">
        <v>2608</v>
      </c>
      <c r="E12" s="616" t="s">
        <v>2610</v>
      </c>
      <c r="F12" s="619">
        <v>4</v>
      </c>
      <c r="G12" s="619">
        <v>474.47706782584589</v>
      </c>
      <c r="H12" s="640">
        <v>0.80769331198110428</v>
      </c>
      <c r="I12" s="619">
        <v>1</v>
      </c>
      <c r="J12" s="619">
        <v>112.97</v>
      </c>
      <c r="K12" s="640">
        <v>0.19230668801889567</v>
      </c>
      <c r="L12" s="619">
        <v>5</v>
      </c>
      <c r="M12" s="620">
        <v>587.44706782584592</v>
      </c>
    </row>
    <row r="13" spans="1:13" ht="14.4" customHeight="1" x14ac:dyDescent="0.3">
      <c r="A13" s="615" t="s">
        <v>484</v>
      </c>
      <c r="B13" s="616" t="s">
        <v>2611</v>
      </c>
      <c r="C13" s="616" t="s">
        <v>1949</v>
      </c>
      <c r="D13" s="616" t="s">
        <v>2612</v>
      </c>
      <c r="E13" s="616" t="s">
        <v>2613</v>
      </c>
      <c r="F13" s="619"/>
      <c r="G13" s="619"/>
      <c r="H13" s="640">
        <v>0</v>
      </c>
      <c r="I13" s="619">
        <v>57</v>
      </c>
      <c r="J13" s="619">
        <v>25657.090737313669</v>
      </c>
      <c r="K13" s="640">
        <v>1</v>
      </c>
      <c r="L13" s="619">
        <v>57</v>
      </c>
      <c r="M13" s="620">
        <v>25657.090737313669</v>
      </c>
    </row>
    <row r="14" spans="1:13" ht="14.4" customHeight="1" x14ac:dyDescent="0.3">
      <c r="A14" s="615" t="s">
        <v>484</v>
      </c>
      <c r="B14" s="616" t="s">
        <v>2611</v>
      </c>
      <c r="C14" s="616" t="s">
        <v>1978</v>
      </c>
      <c r="D14" s="616" t="s">
        <v>2614</v>
      </c>
      <c r="E14" s="616" t="s">
        <v>2615</v>
      </c>
      <c r="F14" s="619"/>
      <c r="G14" s="619"/>
      <c r="H14" s="640">
        <v>0</v>
      </c>
      <c r="I14" s="619">
        <v>0</v>
      </c>
      <c r="J14" s="619">
        <v>-2.2737367544323206E-13</v>
      </c>
      <c r="K14" s="640">
        <v>1</v>
      </c>
      <c r="L14" s="619">
        <v>0</v>
      </c>
      <c r="M14" s="620">
        <v>-2.2737367544323206E-13</v>
      </c>
    </row>
    <row r="15" spans="1:13" ht="14.4" customHeight="1" x14ac:dyDescent="0.3">
      <c r="A15" s="615" t="s">
        <v>484</v>
      </c>
      <c r="B15" s="616" t="s">
        <v>2616</v>
      </c>
      <c r="C15" s="616" t="s">
        <v>1989</v>
      </c>
      <c r="D15" s="616" t="s">
        <v>1890</v>
      </c>
      <c r="E15" s="616" t="s">
        <v>2617</v>
      </c>
      <c r="F15" s="619"/>
      <c r="G15" s="619"/>
      <c r="H15" s="640">
        <v>0</v>
      </c>
      <c r="I15" s="619">
        <v>1</v>
      </c>
      <c r="J15" s="619">
        <v>98.650000000000034</v>
      </c>
      <c r="K15" s="640">
        <v>1</v>
      </c>
      <c r="L15" s="619">
        <v>1</v>
      </c>
      <c r="M15" s="620">
        <v>98.650000000000034</v>
      </c>
    </row>
    <row r="16" spans="1:13" ht="14.4" customHeight="1" x14ac:dyDescent="0.3">
      <c r="A16" s="615" t="s">
        <v>484</v>
      </c>
      <c r="B16" s="616" t="s">
        <v>2616</v>
      </c>
      <c r="C16" s="616" t="s">
        <v>1889</v>
      </c>
      <c r="D16" s="616" t="s">
        <v>1890</v>
      </c>
      <c r="E16" s="616" t="s">
        <v>2618</v>
      </c>
      <c r="F16" s="619"/>
      <c r="G16" s="619"/>
      <c r="H16" s="640">
        <v>0</v>
      </c>
      <c r="I16" s="619">
        <v>3</v>
      </c>
      <c r="J16" s="619">
        <v>147.95999999999995</v>
      </c>
      <c r="K16" s="640">
        <v>1</v>
      </c>
      <c r="L16" s="619">
        <v>3</v>
      </c>
      <c r="M16" s="620">
        <v>147.95999999999995</v>
      </c>
    </row>
    <row r="17" spans="1:13" ht="14.4" customHeight="1" x14ac:dyDescent="0.3">
      <c r="A17" s="615" t="s">
        <v>484</v>
      </c>
      <c r="B17" s="616" t="s">
        <v>2619</v>
      </c>
      <c r="C17" s="616" t="s">
        <v>1930</v>
      </c>
      <c r="D17" s="616" t="s">
        <v>2620</v>
      </c>
      <c r="E17" s="616" t="s">
        <v>2621</v>
      </c>
      <c r="F17" s="619"/>
      <c r="G17" s="619"/>
      <c r="H17" s="640">
        <v>0</v>
      </c>
      <c r="I17" s="619">
        <v>2</v>
      </c>
      <c r="J17" s="619">
        <v>27.760000000000005</v>
      </c>
      <c r="K17" s="640">
        <v>1</v>
      </c>
      <c r="L17" s="619">
        <v>2</v>
      </c>
      <c r="M17" s="620">
        <v>27.760000000000005</v>
      </c>
    </row>
    <row r="18" spans="1:13" ht="14.4" customHeight="1" x14ac:dyDescent="0.3">
      <c r="A18" s="615" t="s">
        <v>484</v>
      </c>
      <c r="B18" s="616" t="s">
        <v>2622</v>
      </c>
      <c r="C18" s="616" t="s">
        <v>2079</v>
      </c>
      <c r="D18" s="616" t="s">
        <v>1886</v>
      </c>
      <c r="E18" s="616" t="s">
        <v>2623</v>
      </c>
      <c r="F18" s="619"/>
      <c r="G18" s="619"/>
      <c r="H18" s="640">
        <v>0</v>
      </c>
      <c r="I18" s="619">
        <v>31</v>
      </c>
      <c r="J18" s="619">
        <v>102299.98337685506</v>
      </c>
      <c r="K18" s="640">
        <v>1</v>
      </c>
      <c r="L18" s="619">
        <v>31</v>
      </c>
      <c r="M18" s="620">
        <v>102299.98337685506</v>
      </c>
    </row>
    <row r="19" spans="1:13" ht="14.4" customHeight="1" x14ac:dyDescent="0.3">
      <c r="A19" s="615" t="s">
        <v>484</v>
      </c>
      <c r="B19" s="616" t="s">
        <v>2622</v>
      </c>
      <c r="C19" s="616" t="s">
        <v>2076</v>
      </c>
      <c r="D19" s="616" t="s">
        <v>2077</v>
      </c>
      <c r="E19" s="616" t="s">
        <v>2624</v>
      </c>
      <c r="F19" s="619"/>
      <c r="G19" s="619"/>
      <c r="H19" s="640">
        <v>0</v>
      </c>
      <c r="I19" s="619">
        <v>1</v>
      </c>
      <c r="J19" s="619">
        <v>1106.26</v>
      </c>
      <c r="K19" s="640">
        <v>1</v>
      </c>
      <c r="L19" s="619">
        <v>1</v>
      </c>
      <c r="M19" s="620">
        <v>1106.26</v>
      </c>
    </row>
    <row r="20" spans="1:13" ht="14.4" customHeight="1" x14ac:dyDescent="0.3">
      <c r="A20" s="615" t="s">
        <v>484</v>
      </c>
      <c r="B20" s="616" t="s">
        <v>2622</v>
      </c>
      <c r="C20" s="616" t="s">
        <v>2086</v>
      </c>
      <c r="D20" s="616" t="s">
        <v>2081</v>
      </c>
      <c r="E20" s="616" t="s">
        <v>2625</v>
      </c>
      <c r="F20" s="619"/>
      <c r="G20" s="619"/>
      <c r="H20" s="640">
        <v>0</v>
      </c>
      <c r="I20" s="619">
        <v>10</v>
      </c>
      <c r="J20" s="619">
        <v>3014.7000000000003</v>
      </c>
      <c r="K20" s="640">
        <v>1</v>
      </c>
      <c r="L20" s="619">
        <v>10</v>
      </c>
      <c r="M20" s="620">
        <v>3014.7000000000003</v>
      </c>
    </row>
    <row r="21" spans="1:13" ht="14.4" customHeight="1" x14ac:dyDescent="0.3">
      <c r="A21" s="615" t="s">
        <v>484</v>
      </c>
      <c r="B21" s="616" t="s">
        <v>2622</v>
      </c>
      <c r="C21" s="616" t="s">
        <v>2088</v>
      </c>
      <c r="D21" s="616" t="s">
        <v>2081</v>
      </c>
      <c r="E21" s="616" t="s">
        <v>2626</v>
      </c>
      <c r="F21" s="619"/>
      <c r="G21" s="619"/>
      <c r="H21" s="640">
        <v>0</v>
      </c>
      <c r="I21" s="619">
        <v>9</v>
      </c>
      <c r="J21" s="619">
        <v>5675.94</v>
      </c>
      <c r="K21" s="640">
        <v>1</v>
      </c>
      <c r="L21" s="619">
        <v>9</v>
      </c>
      <c r="M21" s="620">
        <v>5675.94</v>
      </c>
    </row>
    <row r="22" spans="1:13" ht="14.4" customHeight="1" x14ac:dyDescent="0.3">
      <c r="A22" s="615" t="s">
        <v>484</v>
      </c>
      <c r="B22" s="616" t="s">
        <v>2622</v>
      </c>
      <c r="C22" s="616" t="s">
        <v>2080</v>
      </c>
      <c r="D22" s="616" t="s">
        <v>2081</v>
      </c>
      <c r="E22" s="616" t="s">
        <v>2627</v>
      </c>
      <c r="F22" s="619"/>
      <c r="G22" s="619"/>
      <c r="H22" s="640">
        <v>0</v>
      </c>
      <c r="I22" s="619">
        <v>25</v>
      </c>
      <c r="J22" s="619">
        <v>10223.711513288043</v>
      </c>
      <c r="K22" s="640">
        <v>1</v>
      </c>
      <c r="L22" s="619">
        <v>25</v>
      </c>
      <c r="M22" s="620">
        <v>10223.711513288043</v>
      </c>
    </row>
    <row r="23" spans="1:13" ht="14.4" customHeight="1" x14ac:dyDescent="0.3">
      <c r="A23" s="615" t="s">
        <v>484</v>
      </c>
      <c r="B23" s="616" t="s">
        <v>2622</v>
      </c>
      <c r="C23" s="616" t="s">
        <v>1885</v>
      </c>
      <c r="D23" s="616" t="s">
        <v>1886</v>
      </c>
      <c r="E23" s="616" t="s">
        <v>2623</v>
      </c>
      <c r="F23" s="619"/>
      <c r="G23" s="619"/>
      <c r="H23" s="640">
        <v>0</v>
      </c>
      <c r="I23" s="619">
        <v>3</v>
      </c>
      <c r="J23" s="619">
        <v>9900</v>
      </c>
      <c r="K23" s="640">
        <v>1</v>
      </c>
      <c r="L23" s="619">
        <v>3</v>
      </c>
      <c r="M23" s="620">
        <v>9900</v>
      </c>
    </row>
    <row r="24" spans="1:13" ht="14.4" customHeight="1" x14ac:dyDescent="0.3">
      <c r="A24" s="615" t="s">
        <v>484</v>
      </c>
      <c r="B24" s="616" t="s">
        <v>2628</v>
      </c>
      <c r="C24" s="616" t="s">
        <v>2055</v>
      </c>
      <c r="D24" s="616" t="s">
        <v>2629</v>
      </c>
      <c r="E24" s="616" t="s">
        <v>2630</v>
      </c>
      <c r="F24" s="619"/>
      <c r="G24" s="619"/>
      <c r="H24" s="640">
        <v>0</v>
      </c>
      <c r="I24" s="619">
        <v>1</v>
      </c>
      <c r="J24" s="619">
        <v>70.039999999999935</v>
      </c>
      <c r="K24" s="640">
        <v>1</v>
      </c>
      <c r="L24" s="619">
        <v>1</v>
      </c>
      <c r="M24" s="620">
        <v>70.039999999999935</v>
      </c>
    </row>
    <row r="25" spans="1:13" ht="14.4" customHeight="1" x14ac:dyDescent="0.3">
      <c r="A25" s="615" t="s">
        <v>484</v>
      </c>
      <c r="B25" s="616" t="s">
        <v>2628</v>
      </c>
      <c r="C25" s="616" t="s">
        <v>538</v>
      </c>
      <c r="D25" s="616" t="s">
        <v>2631</v>
      </c>
      <c r="E25" s="616" t="s">
        <v>2632</v>
      </c>
      <c r="F25" s="619">
        <v>2</v>
      </c>
      <c r="G25" s="619">
        <v>150.08000000000007</v>
      </c>
      <c r="H25" s="640">
        <v>1</v>
      </c>
      <c r="I25" s="619"/>
      <c r="J25" s="619"/>
      <c r="K25" s="640">
        <v>0</v>
      </c>
      <c r="L25" s="619">
        <v>2</v>
      </c>
      <c r="M25" s="620">
        <v>150.08000000000007</v>
      </c>
    </row>
    <row r="26" spans="1:13" ht="14.4" customHeight="1" x14ac:dyDescent="0.3">
      <c r="A26" s="615" t="s">
        <v>484</v>
      </c>
      <c r="B26" s="616" t="s">
        <v>2633</v>
      </c>
      <c r="C26" s="616" t="s">
        <v>1927</v>
      </c>
      <c r="D26" s="616" t="s">
        <v>1848</v>
      </c>
      <c r="E26" s="616" t="s">
        <v>2634</v>
      </c>
      <c r="F26" s="619"/>
      <c r="G26" s="619"/>
      <c r="H26" s="640">
        <v>0</v>
      </c>
      <c r="I26" s="619">
        <v>130</v>
      </c>
      <c r="J26" s="619">
        <v>16812.87701432651</v>
      </c>
      <c r="K26" s="640">
        <v>1</v>
      </c>
      <c r="L26" s="619">
        <v>130</v>
      </c>
      <c r="M26" s="620">
        <v>16812.87701432651</v>
      </c>
    </row>
    <row r="27" spans="1:13" ht="14.4" customHeight="1" x14ac:dyDescent="0.3">
      <c r="A27" s="615" t="s">
        <v>484</v>
      </c>
      <c r="B27" s="616" t="s">
        <v>2633</v>
      </c>
      <c r="C27" s="616" t="s">
        <v>1847</v>
      </c>
      <c r="D27" s="616" t="s">
        <v>1848</v>
      </c>
      <c r="E27" s="616" t="s">
        <v>2635</v>
      </c>
      <c r="F27" s="619"/>
      <c r="G27" s="619"/>
      <c r="H27" s="640">
        <v>0</v>
      </c>
      <c r="I27" s="619">
        <v>1</v>
      </c>
      <c r="J27" s="619">
        <v>45.19</v>
      </c>
      <c r="K27" s="640">
        <v>1</v>
      </c>
      <c r="L27" s="619">
        <v>1</v>
      </c>
      <c r="M27" s="620">
        <v>45.19</v>
      </c>
    </row>
    <row r="28" spans="1:13" ht="14.4" customHeight="1" x14ac:dyDescent="0.3">
      <c r="A28" s="615" t="s">
        <v>484</v>
      </c>
      <c r="B28" s="616" t="s">
        <v>2633</v>
      </c>
      <c r="C28" s="616" t="s">
        <v>1851</v>
      </c>
      <c r="D28" s="616" t="s">
        <v>1848</v>
      </c>
      <c r="E28" s="616" t="s">
        <v>2636</v>
      </c>
      <c r="F28" s="619"/>
      <c r="G28" s="619"/>
      <c r="H28" s="640">
        <v>0</v>
      </c>
      <c r="I28" s="619">
        <v>1</v>
      </c>
      <c r="J28" s="619">
        <v>90.380000000000081</v>
      </c>
      <c r="K28" s="640">
        <v>1</v>
      </c>
      <c r="L28" s="619">
        <v>1</v>
      </c>
      <c r="M28" s="620">
        <v>90.380000000000081</v>
      </c>
    </row>
    <row r="29" spans="1:13" ht="14.4" customHeight="1" x14ac:dyDescent="0.3">
      <c r="A29" s="615" t="s">
        <v>484</v>
      </c>
      <c r="B29" s="616" t="s">
        <v>2637</v>
      </c>
      <c r="C29" s="616" t="s">
        <v>495</v>
      </c>
      <c r="D29" s="616" t="s">
        <v>496</v>
      </c>
      <c r="E29" s="616" t="s">
        <v>2638</v>
      </c>
      <c r="F29" s="619">
        <v>1</v>
      </c>
      <c r="G29" s="619">
        <v>161.78</v>
      </c>
      <c r="H29" s="640">
        <v>1</v>
      </c>
      <c r="I29" s="619"/>
      <c r="J29" s="619"/>
      <c r="K29" s="640">
        <v>0</v>
      </c>
      <c r="L29" s="619">
        <v>1</v>
      </c>
      <c r="M29" s="620">
        <v>161.78</v>
      </c>
    </row>
    <row r="30" spans="1:13" ht="14.4" customHeight="1" x14ac:dyDescent="0.3">
      <c r="A30" s="615" t="s">
        <v>484</v>
      </c>
      <c r="B30" s="616" t="s">
        <v>2639</v>
      </c>
      <c r="C30" s="616" t="s">
        <v>1941</v>
      </c>
      <c r="D30" s="616" t="s">
        <v>2640</v>
      </c>
      <c r="E30" s="616" t="s">
        <v>2641</v>
      </c>
      <c r="F30" s="619"/>
      <c r="G30" s="619"/>
      <c r="H30" s="640">
        <v>0</v>
      </c>
      <c r="I30" s="619">
        <v>2</v>
      </c>
      <c r="J30" s="619">
        <v>158.11999999999998</v>
      </c>
      <c r="K30" s="640">
        <v>1</v>
      </c>
      <c r="L30" s="619">
        <v>2</v>
      </c>
      <c r="M30" s="620">
        <v>158.11999999999998</v>
      </c>
    </row>
    <row r="31" spans="1:13" ht="14.4" customHeight="1" x14ac:dyDescent="0.3">
      <c r="A31" s="615" t="s">
        <v>484</v>
      </c>
      <c r="B31" s="616" t="s">
        <v>2642</v>
      </c>
      <c r="C31" s="616" t="s">
        <v>1956</v>
      </c>
      <c r="D31" s="616" t="s">
        <v>1957</v>
      </c>
      <c r="E31" s="616" t="s">
        <v>2643</v>
      </c>
      <c r="F31" s="619"/>
      <c r="G31" s="619"/>
      <c r="H31" s="640">
        <v>0</v>
      </c>
      <c r="I31" s="619">
        <v>1</v>
      </c>
      <c r="J31" s="619">
        <v>122.63999999999999</v>
      </c>
      <c r="K31" s="640">
        <v>1</v>
      </c>
      <c r="L31" s="619">
        <v>1</v>
      </c>
      <c r="M31" s="620">
        <v>122.63999999999999</v>
      </c>
    </row>
    <row r="32" spans="1:13" ht="14.4" customHeight="1" x14ac:dyDescent="0.3">
      <c r="A32" s="615" t="s">
        <v>484</v>
      </c>
      <c r="B32" s="616" t="s">
        <v>2644</v>
      </c>
      <c r="C32" s="616" t="s">
        <v>1881</v>
      </c>
      <c r="D32" s="616" t="s">
        <v>2645</v>
      </c>
      <c r="E32" s="616" t="s">
        <v>2646</v>
      </c>
      <c r="F32" s="619"/>
      <c r="G32" s="619"/>
      <c r="H32" s="640">
        <v>0</v>
      </c>
      <c r="I32" s="619">
        <v>2</v>
      </c>
      <c r="J32" s="619">
        <v>85.92</v>
      </c>
      <c r="K32" s="640">
        <v>1</v>
      </c>
      <c r="L32" s="619">
        <v>2</v>
      </c>
      <c r="M32" s="620">
        <v>85.92</v>
      </c>
    </row>
    <row r="33" spans="1:13" ht="14.4" customHeight="1" x14ac:dyDescent="0.3">
      <c r="A33" s="615" t="s">
        <v>484</v>
      </c>
      <c r="B33" s="616" t="s">
        <v>2647</v>
      </c>
      <c r="C33" s="616" t="s">
        <v>1873</v>
      </c>
      <c r="D33" s="616" t="s">
        <v>1874</v>
      </c>
      <c r="E33" s="616" t="s">
        <v>2648</v>
      </c>
      <c r="F33" s="619"/>
      <c r="G33" s="619"/>
      <c r="H33" s="640">
        <v>0</v>
      </c>
      <c r="I33" s="619">
        <v>3</v>
      </c>
      <c r="J33" s="619">
        <v>134.25999889745313</v>
      </c>
      <c r="K33" s="640">
        <v>1</v>
      </c>
      <c r="L33" s="619">
        <v>3</v>
      </c>
      <c r="M33" s="620">
        <v>134.25999889745313</v>
      </c>
    </row>
    <row r="34" spans="1:13" ht="14.4" customHeight="1" x14ac:dyDescent="0.3">
      <c r="A34" s="615" t="s">
        <v>484</v>
      </c>
      <c r="B34" s="616" t="s">
        <v>2647</v>
      </c>
      <c r="C34" s="616" t="s">
        <v>1877</v>
      </c>
      <c r="D34" s="616" t="s">
        <v>1878</v>
      </c>
      <c r="E34" s="616" t="s">
        <v>2649</v>
      </c>
      <c r="F34" s="619"/>
      <c r="G34" s="619"/>
      <c r="H34" s="640">
        <v>0</v>
      </c>
      <c r="I34" s="619">
        <v>1</v>
      </c>
      <c r="J34" s="619">
        <v>52.649999999999977</v>
      </c>
      <c r="K34" s="640">
        <v>1</v>
      </c>
      <c r="L34" s="619">
        <v>1</v>
      </c>
      <c r="M34" s="620">
        <v>52.649999999999977</v>
      </c>
    </row>
    <row r="35" spans="1:13" ht="14.4" customHeight="1" x14ac:dyDescent="0.3">
      <c r="A35" s="615" t="s">
        <v>484</v>
      </c>
      <c r="B35" s="616" t="s">
        <v>2650</v>
      </c>
      <c r="C35" s="616" t="s">
        <v>1937</v>
      </c>
      <c r="D35" s="616" t="s">
        <v>1938</v>
      </c>
      <c r="E35" s="616" t="s">
        <v>2651</v>
      </c>
      <c r="F35" s="619"/>
      <c r="G35" s="619"/>
      <c r="H35" s="640">
        <v>0</v>
      </c>
      <c r="I35" s="619">
        <v>1</v>
      </c>
      <c r="J35" s="619">
        <v>44.12</v>
      </c>
      <c r="K35" s="640">
        <v>1</v>
      </c>
      <c r="L35" s="619">
        <v>1</v>
      </c>
      <c r="M35" s="620">
        <v>44.12</v>
      </c>
    </row>
    <row r="36" spans="1:13" ht="14.4" customHeight="1" x14ac:dyDescent="0.3">
      <c r="A36" s="615" t="s">
        <v>484</v>
      </c>
      <c r="B36" s="616" t="s">
        <v>2652</v>
      </c>
      <c r="C36" s="616" t="s">
        <v>1918</v>
      </c>
      <c r="D36" s="616" t="s">
        <v>1919</v>
      </c>
      <c r="E36" s="616" t="s">
        <v>2648</v>
      </c>
      <c r="F36" s="619"/>
      <c r="G36" s="619"/>
      <c r="H36" s="640">
        <v>0</v>
      </c>
      <c r="I36" s="619">
        <v>4</v>
      </c>
      <c r="J36" s="619">
        <v>346.22000000000014</v>
      </c>
      <c r="K36" s="640">
        <v>1</v>
      </c>
      <c r="L36" s="619">
        <v>4</v>
      </c>
      <c r="M36" s="620">
        <v>346.22000000000014</v>
      </c>
    </row>
    <row r="37" spans="1:13" ht="14.4" customHeight="1" x14ac:dyDescent="0.3">
      <c r="A37" s="615" t="s">
        <v>484</v>
      </c>
      <c r="B37" s="616" t="s">
        <v>2652</v>
      </c>
      <c r="C37" s="616" t="s">
        <v>1924</v>
      </c>
      <c r="D37" s="616" t="s">
        <v>1919</v>
      </c>
      <c r="E37" s="616" t="s">
        <v>2653</v>
      </c>
      <c r="F37" s="619"/>
      <c r="G37" s="619"/>
      <c r="H37" s="640">
        <v>0</v>
      </c>
      <c r="I37" s="619">
        <v>1</v>
      </c>
      <c r="J37" s="619">
        <v>222.43</v>
      </c>
      <c r="K37" s="640">
        <v>1</v>
      </c>
      <c r="L37" s="619">
        <v>1</v>
      </c>
      <c r="M37" s="620">
        <v>222.43</v>
      </c>
    </row>
    <row r="38" spans="1:13" ht="14.4" customHeight="1" x14ac:dyDescent="0.3">
      <c r="A38" s="615" t="s">
        <v>484</v>
      </c>
      <c r="B38" s="616" t="s">
        <v>2652</v>
      </c>
      <c r="C38" s="616" t="s">
        <v>1921</v>
      </c>
      <c r="D38" s="616" t="s">
        <v>1922</v>
      </c>
      <c r="E38" s="616" t="s">
        <v>2649</v>
      </c>
      <c r="F38" s="619"/>
      <c r="G38" s="619"/>
      <c r="H38" s="640">
        <v>0</v>
      </c>
      <c r="I38" s="619">
        <v>3</v>
      </c>
      <c r="J38" s="619">
        <v>488.37</v>
      </c>
      <c r="K38" s="640">
        <v>1</v>
      </c>
      <c r="L38" s="619">
        <v>3</v>
      </c>
      <c r="M38" s="620">
        <v>488.37</v>
      </c>
    </row>
    <row r="39" spans="1:13" ht="14.4" customHeight="1" x14ac:dyDescent="0.3">
      <c r="A39" s="615" t="s">
        <v>484</v>
      </c>
      <c r="B39" s="616" t="s">
        <v>2652</v>
      </c>
      <c r="C39" s="616" t="s">
        <v>1998</v>
      </c>
      <c r="D39" s="616" t="s">
        <v>1922</v>
      </c>
      <c r="E39" s="616" t="s">
        <v>2654</v>
      </c>
      <c r="F39" s="619"/>
      <c r="G39" s="619"/>
      <c r="H39" s="640">
        <v>0</v>
      </c>
      <c r="I39" s="619">
        <v>1</v>
      </c>
      <c r="J39" s="619">
        <v>368.25</v>
      </c>
      <c r="K39" s="640">
        <v>1</v>
      </c>
      <c r="L39" s="619">
        <v>1</v>
      </c>
      <c r="M39" s="620">
        <v>368.25</v>
      </c>
    </row>
    <row r="40" spans="1:13" ht="14.4" customHeight="1" x14ac:dyDescent="0.3">
      <c r="A40" s="615" t="s">
        <v>484</v>
      </c>
      <c r="B40" s="616" t="s">
        <v>2652</v>
      </c>
      <c r="C40" s="616" t="s">
        <v>503</v>
      </c>
      <c r="D40" s="616" t="s">
        <v>2655</v>
      </c>
      <c r="E40" s="616" t="s">
        <v>2643</v>
      </c>
      <c r="F40" s="619">
        <v>1</v>
      </c>
      <c r="G40" s="619">
        <v>58.669999999999966</v>
      </c>
      <c r="H40" s="640">
        <v>1</v>
      </c>
      <c r="I40" s="619"/>
      <c r="J40" s="619"/>
      <c r="K40" s="640">
        <v>0</v>
      </c>
      <c r="L40" s="619">
        <v>1</v>
      </c>
      <c r="M40" s="620">
        <v>58.669999999999966</v>
      </c>
    </row>
    <row r="41" spans="1:13" ht="14.4" customHeight="1" x14ac:dyDescent="0.3">
      <c r="A41" s="615" t="s">
        <v>484</v>
      </c>
      <c r="B41" s="616" t="s">
        <v>2656</v>
      </c>
      <c r="C41" s="616" t="s">
        <v>1837</v>
      </c>
      <c r="D41" s="616" t="s">
        <v>2657</v>
      </c>
      <c r="E41" s="616" t="s">
        <v>2658</v>
      </c>
      <c r="F41" s="619"/>
      <c r="G41" s="619"/>
      <c r="H41" s="640">
        <v>0</v>
      </c>
      <c r="I41" s="619">
        <v>1</v>
      </c>
      <c r="J41" s="619">
        <v>14.879999999999999</v>
      </c>
      <c r="K41" s="640">
        <v>1</v>
      </c>
      <c r="L41" s="619">
        <v>1</v>
      </c>
      <c r="M41" s="620">
        <v>14.879999999999999</v>
      </c>
    </row>
    <row r="42" spans="1:13" ht="14.4" customHeight="1" x14ac:dyDescent="0.3">
      <c r="A42" s="615" t="s">
        <v>484</v>
      </c>
      <c r="B42" s="616" t="s">
        <v>2656</v>
      </c>
      <c r="C42" s="616" t="s">
        <v>1893</v>
      </c>
      <c r="D42" s="616" t="s">
        <v>2657</v>
      </c>
      <c r="E42" s="616" t="s">
        <v>2659</v>
      </c>
      <c r="F42" s="619"/>
      <c r="G42" s="619"/>
      <c r="H42" s="640">
        <v>0</v>
      </c>
      <c r="I42" s="619">
        <v>2</v>
      </c>
      <c r="J42" s="619">
        <v>72.359998443741432</v>
      </c>
      <c r="K42" s="640">
        <v>1</v>
      </c>
      <c r="L42" s="619">
        <v>2</v>
      </c>
      <c r="M42" s="620">
        <v>72.359998443741432</v>
      </c>
    </row>
    <row r="43" spans="1:13" ht="14.4" customHeight="1" x14ac:dyDescent="0.3">
      <c r="A43" s="615" t="s">
        <v>484</v>
      </c>
      <c r="B43" s="616" t="s">
        <v>2660</v>
      </c>
      <c r="C43" s="616" t="s">
        <v>1934</v>
      </c>
      <c r="D43" s="616" t="s">
        <v>2661</v>
      </c>
      <c r="E43" s="616" t="s">
        <v>2662</v>
      </c>
      <c r="F43" s="619"/>
      <c r="G43" s="619"/>
      <c r="H43" s="640">
        <v>0</v>
      </c>
      <c r="I43" s="619">
        <v>1</v>
      </c>
      <c r="J43" s="619">
        <v>182.93000000000006</v>
      </c>
      <c r="K43" s="640">
        <v>1</v>
      </c>
      <c r="L43" s="619">
        <v>1</v>
      </c>
      <c r="M43" s="620">
        <v>182.93000000000006</v>
      </c>
    </row>
    <row r="44" spans="1:13" ht="14.4" customHeight="1" x14ac:dyDescent="0.3">
      <c r="A44" s="615" t="s">
        <v>484</v>
      </c>
      <c r="B44" s="616" t="s">
        <v>2663</v>
      </c>
      <c r="C44" s="616" t="s">
        <v>2015</v>
      </c>
      <c r="D44" s="616" t="s">
        <v>2664</v>
      </c>
      <c r="E44" s="616" t="s">
        <v>2665</v>
      </c>
      <c r="F44" s="619"/>
      <c r="G44" s="619"/>
      <c r="H44" s="640">
        <v>0</v>
      </c>
      <c r="I44" s="619">
        <v>1</v>
      </c>
      <c r="J44" s="619">
        <v>213.24</v>
      </c>
      <c r="K44" s="640">
        <v>1</v>
      </c>
      <c r="L44" s="619">
        <v>1</v>
      </c>
      <c r="M44" s="620">
        <v>213.24</v>
      </c>
    </row>
    <row r="45" spans="1:13" ht="14.4" customHeight="1" x14ac:dyDescent="0.3">
      <c r="A45" s="615" t="s">
        <v>484</v>
      </c>
      <c r="B45" s="616" t="s">
        <v>2666</v>
      </c>
      <c r="C45" s="616" t="s">
        <v>1968</v>
      </c>
      <c r="D45" s="616" t="s">
        <v>2667</v>
      </c>
      <c r="E45" s="616" t="s">
        <v>2668</v>
      </c>
      <c r="F45" s="619"/>
      <c r="G45" s="619"/>
      <c r="H45" s="640">
        <v>0</v>
      </c>
      <c r="I45" s="619">
        <v>1</v>
      </c>
      <c r="J45" s="619">
        <v>14.400017429774863</v>
      </c>
      <c r="K45" s="640">
        <v>1</v>
      </c>
      <c r="L45" s="619">
        <v>1</v>
      </c>
      <c r="M45" s="620">
        <v>14.400017429774863</v>
      </c>
    </row>
    <row r="46" spans="1:13" ht="14.4" customHeight="1" x14ac:dyDescent="0.3">
      <c r="A46" s="615" t="s">
        <v>484</v>
      </c>
      <c r="B46" s="616" t="s">
        <v>2669</v>
      </c>
      <c r="C46" s="616" t="s">
        <v>1862</v>
      </c>
      <c r="D46" s="616" t="s">
        <v>1863</v>
      </c>
      <c r="E46" s="616" t="s">
        <v>2670</v>
      </c>
      <c r="F46" s="619"/>
      <c r="G46" s="619"/>
      <c r="H46" s="640">
        <v>0</v>
      </c>
      <c r="I46" s="619">
        <v>1</v>
      </c>
      <c r="J46" s="619">
        <v>29.300162050858336</v>
      </c>
      <c r="K46" s="640">
        <v>1</v>
      </c>
      <c r="L46" s="619">
        <v>1</v>
      </c>
      <c r="M46" s="620">
        <v>29.300162050858336</v>
      </c>
    </row>
    <row r="47" spans="1:13" ht="14.4" customHeight="1" x14ac:dyDescent="0.3">
      <c r="A47" s="615" t="s">
        <v>484</v>
      </c>
      <c r="B47" s="616" t="s">
        <v>2671</v>
      </c>
      <c r="C47" s="616" t="s">
        <v>2098</v>
      </c>
      <c r="D47" s="616" t="s">
        <v>2672</v>
      </c>
      <c r="E47" s="616" t="s">
        <v>2673</v>
      </c>
      <c r="F47" s="619"/>
      <c r="G47" s="619"/>
      <c r="H47" s="640">
        <v>0</v>
      </c>
      <c r="I47" s="619">
        <v>3</v>
      </c>
      <c r="J47" s="619">
        <v>198.26998023544684</v>
      </c>
      <c r="K47" s="640">
        <v>1</v>
      </c>
      <c r="L47" s="619">
        <v>3</v>
      </c>
      <c r="M47" s="620">
        <v>198.26998023544684</v>
      </c>
    </row>
    <row r="48" spans="1:13" ht="14.4" customHeight="1" x14ac:dyDescent="0.3">
      <c r="A48" s="615" t="s">
        <v>484</v>
      </c>
      <c r="B48" s="616" t="s">
        <v>2671</v>
      </c>
      <c r="C48" s="616" t="s">
        <v>1964</v>
      </c>
      <c r="D48" s="616" t="s">
        <v>2674</v>
      </c>
      <c r="E48" s="616" t="s">
        <v>2673</v>
      </c>
      <c r="F48" s="619"/>
      <c r="G48" s="619"/>
      <c r="H48" s="640">
        <v>0</v>
      </c>
      <c r="I48" s="619">
        <v>1</v>
      </c>
      <c r="J48" s="619">
        <v>135.77999999999997</v>
      </c>
      <c r="K48" s="640">
        <v>1</v>
      </c>
      <c r="L48" s="619">
        <v>1</v>
      </c>
      <c r="M48" s="620">
        <v>135.77999999999997</v>
      </c>
    </row>
    <row r="49" spans="1:13" ht="14.4" customHeight="1" x14ac:dyDescent="0.3">
      <c r="A49" s="615" t="s">
        <v>484</v>
      </c>
      <c r="B49" s="616" t="s">
        <v>2675</v>
      </c>
      <c r="C49" s="616" t="s">
        <v>1972</v>
      </c>
      <c r="D49" s="616" t="s">
        <v>2676</v>
      </c>
      <c r="E49" s="616" t="s">
        <v>2649</v>
      </c>
      <c r="F49" s="619"/>
      <c r="G49" s="619"/>
      <c r="H49" s="640">
        <v>0</v>
      </c>
      <c r="I49" s="619">
        <v>1</v>
      </c>
      <c r="J49" s="619">
        <v>75.91</v>
      </c>
      <c r="K49" s="640">
        <v>1</v>
      </c>
      <c r="L49" s="619">
        <v>1</v>
      </c>
      <c r="M49" s="620">
        <v>75.91</v>
      </c>
    </row>
    <row r="50" spans="1:13" ht="14.4" customHeight="1" x14ac:dyDescent="0.3">
      <c r="A50" s="615" t="s">
        <v>484</v>
      </c>
      <c r="B50" s="616" t="s">
        <v>2677</v>
      </c>
      <c r="C50" s="616" t="s">
        <v>1854</v>
      </c>
      <c r="D50" s="616" t="s">
        <v>1855</v>
      </c>
      <c r="E50" s="616" t="s">
        <v>2678</v>
      </c>
      <c r="F50" s="619"/>
      <c r="G50" s="619"/>
      <c r="H50" s="640">
        <v>0</v>
      </c>
      <c r="I50" s="619">
        <v>1</v>
      </c>
      <c r="J50" s="619">
        <v>98.600000000000023</v>
      </c>
      <c r="K50" s="640">
        <v>1</v>
      </c>
      <c r="L50" s="619">
        <v>1</v>
      </c>
      <c r="M50" s="620">
        <v>98.600000000000023</v>
      </c>
    </row>
    <row r="51" spans="1:13" ht="14.4" customHeight="1" x14ac:dyDescent="0.3">
      <c r="A51" s="615" t="s">
        <v>484</v>
      </c>
      <c r="B51" s="616" t="s">
        <v>2679</v>
      </c>
      <c r="C51" s="616" t="s">
        <v>2020</v>
      </c>
      <c r="D51" s="616" t="s">
        <v>2680</v>
      </c>
      <c r="E51" s="616" t="s">
        <v>2681</v>
      </c>
      <c r="F51" s="619"/>
      <c r="G51" s="619"/>
      <c r="H51" s="640">
        <v>0</v>
      </c>
      <c r="I51" s="619">
        <v>100</v>
      </c>
      <c r="J51" s="619">
        <v>137499.99896306553</v>
      </c>
      <c r="K51" s="640">
        <v>1</v>
      </c>
      <c r="L51" s="619">
        <v>100</v>
      </c>
      <c r="M51" s="620">
        <v>137499.99896306553</v>
      </c>
    </row>
    <row r="52" spans="1:13" ht="14.4" customHeight="1" x14ac:dyDescent="0.3">
      <c r="A52" s="615" t="s">
        <v>484</v>
      </c>
      <c r="B52" s="616" t="s">
        <v>2682</v>
      </c>
      <c r="C52" s="616" t="s">
        <v>1869</v>
      </c>
      <c r="D52" s="616" t="s">
        <v>2683</v>
      </c>
      <c r="E52" s="616" t="s">
        <v>2684</v>
      </c>
      <c r="F52" s="619"/>
      <c r="G52" s="619"/>
      <c r="H52" s="640">
        <v>0</v>
      </c>
      <c r="I52" s="619">
        <v>1</v>
      </c>
      <c r="J52" s="619">
        <v>46.82</v>
      </c>
      <c r="K52" s="640">
        <v>1</v>
      </c>
      <c r="L52" s="619">
        <v>1</v>
      </c>
      <c r="M52" s="620">
        <v>46.82</v>
      </c>
    </row>
    <row r="53" spans="1:13" ht="14.4" customHeight="1" x14ac:dyDescent="0.3">
      <c r="A53" s="615" t="s">
        <v>484</v>
      </c>
      <c r="B53" s="616" t="s">
        <v>2682</v>
      </c>
      <c r="C53" s="616" t="s">
        <v>1841</v>
      </c>
      <c r="D53" s="616" t="s">
        <v>1842</v>
      </c>
      <c r="E53" s="616" t="s">
        <v>2685</v>
      </c>
      <c r="F53" s="619"/>
      <c r="G53" s="619"/>
      <c r="H53" s="640">
        <v>0</v>
      </c>
      <c r="I53" s="619">
        <v>43</v>
      </c>
      <c r="J53" s="619">
        <v>1494.2499999999998</v>
      </c>
      <c r="K53" s="640">
        <v>1</v>
      </c>
      <c r="L53" s="619">
        <v>43</v>
      </c>
      <c r="M53" s="620">
        <v>1494.2499999999998</v>
      </c>
    </row>
    <row r="54" spans="1:13" ht="14.4" customHeight="1" x14ac:dyDescent="0.3">
      <c r="A54" s="615" t="s">
        <v>484</v>
      </c>
      <c r="B54" s="616" t="s">
        <v>2686</v>
      </c>
      <c r="C54" s="616" t="s">
        <v>2023</v>
      </c>
      <c r="D54" s="616" t="s">
        <v>2687</v>
      </c>
      <c r="E54" s="616" t="s">
        <v>2688</v>
      </c>
      <c r="F54" s="619"/>
      <c r="G54" s="619"/>
      <c r="H54" s="640">
        <v>0</v>
      </c>
      <c r="I54" s="619">
        <v>1</v>
      </c>
      <c r="J54" s="619">
        <v>115.22999999999996</v>
      </c>
      <c r="K54" s="640">
        <v>1</v>
      </c>
      <c r="L54" s="619">
        <v>1</v>
      </c>
      <c r="M54" s="620">
        <v>115.22999999999996</v>
      </c>
    </row>
    <row r="55" spans="1:13" ht="14.4" customHeight="1" x14ac:dyDescent="0.3">
      <c r="A55" s="615" t="s">
        <v>484</v>
      </c>
      <c r="B55" s="616" t="s">
        <v>2686</v>
      </c>
      <c r="C55" s="616" t="s">
        <v>2070</v>
      </c>
      <c r="D55" s="616" t="s">
        <v>2071</v>
      </c>
      <c r="E55" s="616" t="s">
        <v>2689</v>
      </c>
      <c r="F55" s="619"/>
      <c r="G55" s="619"/>
      <c r="H55" s="640">
        <v>0</v>
      </c>
      <c r="I55" s="619">
        <v>2</v>
      </c>
      <c r="J55" s="619">
        <v>226.10000000000014</v>
      </c>
      <c r="K55" s="640">
        <v>1</v>
      </c>
      <c r="L55" s="619">
        <v>2</v>
      </c>
      <c r="M55" s="620">
        <v>226.10000000000014</v>
      </c>
    </row>
    <row r="56" spans="1:13" ht="14.4" customHeight="1" x14ac:dyDescent="0.3">
      <c r="A56" s="615" t="s">
        <v>484</v>
      </c>
      <c r="B56" s="616" t="s">
        <v>2686</v>
      </c>
      <c r="C56" s="616" t="s">
        <v>2067</v>
      </c>
      <c r="D56" s="616" t="s">
        <v>2068</v>
      </c>
      <c r="E56" s="616" t="s">
        <v>2690</v>
      </c>
      <c r="F56" s="619"/>
      <c r="G56" s="619"/>
      <c r="H56" s="640">
        <v>0</v>
      </c>
      <c r="I56" s="619">
        <v>2</v>
      </c>
      <c r="J56" s="619">
        <v>186.82000000000011</v>
      </c>
      <c r="K56" s="640">
        <v>1</v>
      </c>
      <c r="L56" s="619">
        <v>2</v>
      </c>
      <c r="M56" s="620">
        <v>186.82000000000011</v>
      </c>
    </row>
    <row r="57" spans="1:13" ht="14.4" customHeight="1" x14ac:dyDescent="0.3">
      <c r="A57" s="615" t="s">
        <v>484</v>
      </c>
      <c r="B57" s="616" t="s">
        <v>2686</v>
      </c>
      <c r="C57" s="616" t="s">
        <v>2061</v>
      </c>
      <c r="D57" s="616" t="s">
        <v>2062</v>
      </c>
      <c r="E57" s="616" t="s">
        <v>2691</v>
      </c>
      <c r="F57" s="619"/>
      <c r="G57" s="619"/>
      <c r="H57" s="640">
        <v>0</v>
      </c>
      <c r="I57" s="619">
        <v>3</v>
      </c>
      <c r="J57" s="619">
        <v>146.48966200763567</v>
      </c>
      <c r="K57" s="640">
        <v>1</v>
      </c>
      <c r="L57" s="619">
        <v>3</v>
      </c>
      <c r="M57" s="620">
        <v>146.48966200763567</v>
      </c>
    </row>
    <row r="58" spans="1:13" ht="14.4" customHeight="1" x14ac:dyDescent="0.3">
      <c r="A58" s="615" t="s">
        <v>484</v>
      </c>
      <c r="B58" s="616" t="s">
        <v>2686</v>
      </c>
      <c r="C58" s="616" t="s">
        <v>2093</v>
      </c>
      <c r="D58" s="616" t="s">
        <v>2094</v>
      </c>
      <c r="E58" s="616" t="s">
        <v>2692</v>
      </c>
      <c r="F58" s="619"/>
      <c r="G58" s="619"/>
      <c r="H58" s="640">
        <v>0</v>
      </c>
      <c r="I58" s="619">
        <v>10</v>
      </c>
      <c r="J58" s="619">
        <v>630.36047439885897</v>
      </c>
      <c r="K58" s="640">
        <v>1</v>
      </c>
      <c r="L58" s="619">
        <v>10</v>
      </c>
      <c r="M58" s="620">
        <v>630.36047439885897</v>
      </c>
    </row>
    <row r="59" spans="1:13" ht="14.4" customHeight="1" x14ac:dyDescent="0.3">
      <c r="A59" s="615" t="s">
        <v>484</v>
      </c>
      <c r="B59" s="616" t="s">
        <v>2686</v>
      </c>
      <c r="C59" s="616" t="s">
        <v>1991</v>
      </c>
      <c r="D59" s="616" t="s">
        <v>2687</v>
      </c>
      <c r="E59" s="616" t="s">
        <v>2693</v>
      </c>
      <c r="F59" s="619"/>
      <c r="G59" s="619"/>
      <c r="H59" s="640">
        <v>0</v>
      </c>
      <c r="I59" s="619">
        <v>1</v>
      </c>
      <c r="J59" s="619">
        <v>73.958656969829022</v>
      </c>
      <c r="K59" s="640">
        <v>1</v>
      </c>
      <c r="L59" s="619">
        <v>1</v>
      </c>
      <c r="M59" s="620">
        <v>73.958656969829022</v>
      </c>
    </row>
    <row r="60" spans="1:13" ht="14.4" customHeight="1" x14ac:dyDescent="0.3">
      <c r="A60" s="615" t="s">
        <v>484</v>
      </c>
      <c r="B60" s="616" t="s">
        <v>2694</v>
      </c>
      <c r="C60" s="616" t="s">
        <v>2384</v>
      </c>
      <c r="D60" s="616" t="s">
        <v>2695</v>
      </c>
      <c r="E60" s="616" t="s">
        <v>2696</v>
      </c>
      <c r="F60" s="619"/>
      <c r="G60" s="619"/>
      <c r="H60" s="640">
        <v>0</v>
      </c>
      <c r="I60" s="619">
        <v>54.900000000000006</v>
      </c>
      <c r="J60" s="619">
        <v>670514.16300000006</v>
      </c>
      <c r="K60" s="640">
        <v>1</v>
      </c>
      <c r="L60" s="619">
        <v>54.900000000000006</v>
      </c>
      <c r="M60" s="620">
        <v>670514.16300000006</v>
      </c>
    </row>
    <row r="61" spans="1:13" ht="14.4" customHeight="1" x14ac:dyDescent="0.3">
      <c r="A61" s="615" t="s">
        <v>484</v>
      </c>
      <c r="B61" s="616" t="s">
        <v>2697</v>
      </c>
      <c r="C61" s="616" t="s">
        <v>2293</v>
      </c>
      <c r="D61" s="616" t="s">
        <v>2294</v>
      </c>
      <c r="E61" s="616" t="s">
        <v>2698</v>
      </c>
      <c r="F61" s="619"/>
      <c r="G61" s="619"/>
      <c r="H61" s="640">
        <v>0</v>
      </c>
      <c r="I61" s="619">
        <v>1</v>
      </c>
      <c r="J61" s="619">
        <v>135.63</v>
      </c>
      <c r="K61" s="640">
        <v>1</v>
      </c>
      <c r="L61" s="619">
        <v>1</v>
      </c>
      <c r="M61" s="620">
        <v>135.63</v>
      </c>
    </row>
    <row r="62" spans="1:13" ht="14.4" customHeight="1" x14ac:dyDescent="0.3">
      <c r="A62" s="615" t="s">
        <v>484</v>
      </c>
      <c r="B62" s="616" t="s">
        <v>2699</v>
      </c>
      <c r="C62" s="616" t="s">
        <v>2329</v>
      </c>
      <c r="D62" s="616" t="s">
        <v>2700</v>
      </c>
      <c r="E62" s="616" t="s">
        <v>2701</v>
      </c>
      <c r="F62" s="619">
        <v>3.2</v>
      </c>
      <c r="G62" s="619">
        <v>1472.672</v>
      </c>
      <c r="H62" s="640">
        <v>1</v>
      </c>
      <c r="I62" s="619"/>
      <c r="J62" s="619"/>
      <c r="K62" s="640">
        <v>0</v>
      </c>
      <c r="L62" s="619">
        <v>3.2</v>
      </c>
      <c r="M62" s="620">
        <v>1472.672</v>
      </c>
    </row>
    <row r="63" spans="1:13" ht="14.4" customHeight="1" x14ac:dyDescent="0.3">
      <c r="A63" s="615" t="s">
        <v>484</v>
      </c>
      <c r="B63" s="616" t="s">
        <v>2699</v>
      </c>
      <c r="C63" s="616" t="s">
        <v>2227</v>
      </c>
      <c r="D63" s="616" t="s">
        <v>2228</v>
      </c>
      <c r="E63" s="616" t="s">
        <v>2702</v>
      </c>
      <c r="F63" s="619"/>
      <c r="G63" s="619"/>
      <c r="H63" s="640">
        <v>0</v>
      </c>
      <c r="I63" s="619">
        <v>45</v>
      </c>
      <c r="J63" s="619">
        <v>994.86052631578946</v>
      </c>
      <c r="K63" s="640">
        <v>1</v>
      </c>
      <c r="L63" s="619">
        <v>45</v>
      </c>
      <c r="M63" s="620">
        <v>994.86052631578946</v>
      </c>
    </row>
    <row r="64" spans="1:13" ht="14.4" customHeight="1" x14ac:dyDescent="0.3">
      <c r="A64" s="615" t="s">
        <v>484</v>
      </c>
      <c r="B64" s="616" t="s">
        <v>2703</v>
      </c>
      <c r="C64" s="616" t="s">
        <v>2372</v>
      </c>
      <c r="D64" s="616" t="s">
        <v>2704</v>
      </c>
      <c r="E64" s="616" t="s">
        <v>2705</v>
      </c>
      <c r="F64" s="619"/>
      <c r="G64" s="619"/>
      <c r="H64" s="640">
        <v>0</v>
      </c>
      <c r="I64" s="619">
        <v>1</v>
      </c>
      <c r="J64" s="619">
        <v>115.94000000000001</v>
      </c>
      <c r="K64" s="640">
        <v>1</v>
      </c>
      <c r="L64" s="619">
        <v>1</v>
      </c>
      <c r="M64" s="620">
        <v>115.94000000000001</v>
      </c>
    </row>
    <row r="65" spans="1:13" ht="14.4" customHeight="1" x14ac:dyDescent="0.3">
      <c r="A65" s="615" t="s">
        <v>484</v>
      </c>
      <c r="B65" s="616" t="s">
        <v>2703</v>
      </c>
      <c r="C65" s="616" t="s">
        <v>2250</v>
      </c>
      <c r="D65" s="616" t="s">
        <v>2706</v>
      </c>
      <c r="E65" s="616" t="s">
        <v>2707</v>
      </c>
      <c r="F65" s="619"/>
      <c r="G65" s="619"/>
      <c r="H65" s="640">
        <v>0</v>
      </c>
      <c r="I65" s="619">
        <v>142</v>
      </c>
      <c r="J65" s="619">
        <v>17432.82704109593</v>
      </c>
      <c r="K65" s="640">
        <v>1</v>
      </c>
      <c r="L65" s="619">
        <v>142</v>
      </c>
      <c r="M65" s="620">
        <v>17432.82704109593</v>
      </c>
    </row>
    <row r="66" spans="1:13" ht="14.4" customHeight="1" x14ac:dyDescent="0.3">
      <c r="A66" s="615" t="s">
        <v>484</v>
      </c>
      <c r="B66" s="616" t="s">
        <v>2708</v>
      </c>
      <c r="C66" s="616" t="s">
        <v>2315</v>
      </c>
      <c r="D66" s="616" t="s">
        <v>2709</v>
      </c>
      <c r="E66" s="616" t="s">
        <v>2710</v>
      </c>
      <c r="F66" s="619"/>
      <c r="G66" s="619"/>
      <c r="H66" s="640">
        <v>0</v>
      </c>
      <c r="I66" s="619">
        <v>47.2</v>
      </c>
      <c r="J66" s="619">
        <v>21806.400000000001</v>
      </c>
      <c r="K66" s="640">
        <v>1</v>
      </c>
      <c r="L66" s="619">
        <v>47.2</v>
      </c>
      <c r="M66" s="620">
        <v>21806.400000000001</v>
      </c>
    </row>
    <row r="67" spans="1:13" ht="14.4" customHeight="1" x14ac:dyDescent="0.3">
      <c r="A67" s="615" t="s">
        <v>484</v>
      </c>
      <c r="B67" s="616" t="s">
        <v>2711</v>
      </c>
      <c r="C67" s="616" t="s">
        <v>2320</v>
      </c>
      <c r="D67" s="616" t="s">
        <v>2712</v>
      </c>
      <c r="E67" s="616" t="s">
        <v>2713</v>
      </c>
      <c r="F67" s="619">
        <v>4.5999999999999996</v>
      </c>
      <c r="G67" s="619">
        <v>789.77999999999986</v>
      </c>
      <c r="H67" s="640">
        <v>1</v>
      </c>
      <c r="I67" s="619"/>
      <c r="J67" s="619"/>
      <c r="K67" s="640">
        <v>0</v>
      </c>
      <c r="L67" s="619">
        <v>4.5999999999999996</v>
      </c>
      <c r="M67" s="620">
        <v>789.77999999999986</v>
      </c>
    </row>
    <row r="68" spans="1:13" ht="14.4" customHeight="1" x14ac:dyDescent="0.3">
      <c r="A68" s="615" t="s">
        <v>484</v>
      </c>
      <c r="B68" s="616" t="s">
        <v>2711</v>
      </c>
      <c r="C68" s="616" t="s">
        <v>2357</v>
      </c>
      <c r="D68" s="616" t="s">
        <v>2358</v>
      </c>
      <c r="E68" s="616" t="s">
        <v>2714</v>
      </c>
      <c r="F68" s="619">
        <v>1</v>
      </c>
      <c r="G68" s="619">
        <v>264</v>
      </c>
      <c r="H68" s="640">
        <v>1</v>
      </c>
      <c r="I68" s="619"/>
      <c r="J68" s="619"/>
      <c r="K68" s="640">
        <v>0</v>
      </c>
      <c r="L68" s="619">
        <v>1</v>
      </c>
      <c r="M68" s="620">
        <v>264</v>
      </c>
    </row>
    <row r="69" spans="1:13" ht="14.4" customHeight="1" x14ac:dyDescent="0.3">
      <c r="A69" s="615" t="s">
        <v>484</v>
      </c>
      <c r="B69" s="616" t="s">
        <v>2715</v>
      </c>
      <c r="C69" s="616" t="s">
        <v>2332</v>
      </c>
      <c r="D69" s="616" t="s">
        <v>2716</v>
      </c>
      <c r="E69" s="616" t="s">
        <v>2717</v>
      </c>
      <c r="F69" s="619"/>
      <c r="G69" s="619"/>
      <c r="H69" s="640">
        <v>0</v>
      </c>
      <c r="I69" s="619">
        <v>3</v>
      </c>
      <c r="J69" s="619">
        <v>653.40000000000009</v>
      </c>
      <c r="K69" s="640">
        <v>1</v>
      </c>
      <c r="L69" s="619">
        <v>3</v>
      </c>
      <c r="M69" s="620">
        <v>653.40000000000009</v>
      </c>
    </row>
    <row r="70" spans="1:13" ht="14.4" customHeight="1" x14ac:dyDescent="0.3">
      <c r="A70" s="615" t="s">
        <v>484</v>
      </c>
      <c r="B70" s="616" t="s">
        <v>2718</v>
      </c>
      <c r="C70" s="616" t="s">
        <v>2368</v>
      </c>
      <c r="D70" s="616" t="s">
        <v>2719</v>
      </c>
      <c r="E70" s="616" t="s">
        <v>2714</v>
      </c>
      <c r="F70" s="619">
        <v>5</v>
      </c>
      <c r="G70" s="619">
        <v>1580.1</v>
      </c>
      <c r="H70" s="640">
        <v>1</v>
      </c>
      <c r="I70" s="619"/>
      <c r="J70" s="619"/>
      <c r="K70" s="640">
        <v>0</v>
      </c>
      <c r="L70" s="619">
        <v>5</v>
      </c>
      <c r="M70" s="620">
        <v>1580.1</v>
      </c>
    </row>
    <row r="71" spans="1:13" ht="14.4" customHeight="1" x14ac:dyDescent="0.3">
      <c r="A71" s="615" t="s">
        <v>484</v>
      </c>
      <c r="B71" s="616" t="s">
        <v>2718</v>
      </c>
      <c r="C71" s="616" t="s">
        <v>2318</v>
      </c>
      <c r="D71" s="616" t="s">
        <v>2719</v>
      </c>
      <c r="E71" s="616" t="s">
        <v>2720</v>
      </c>
      <c r="F71" s="619"/>
      <c r="G71" s="619"/>
      <c r="H71" s="640">
        <v>0</v>
      </c>
      <c r="I71" s="619">
        <v>120</v>
      </c>
      <c r="J71" s="619">
        <v>4469.6790797488311</v>
      </c>
      <c r="K71" s="640">
        <v>1</v>
      </c>
      <c r="L71" s="619">
        <v>120</v>
      </c>
      <c r="M71" s="620">
        <v>4469.6790797488311</v>
      </c>
    </row>
    <row r="72" spans="1:13" ht="14.4" customHeight="1" x14ac:dyDescent="0.3">
      <c r="A72" s="615" t="s">
        <v>484</v>
      </c>
      <c r="B72" s="616" t="s">
        <v>2721</v>
      </c>
      <c r="C72" s="616" t="s">
        <v>2234</v>
      </c>
      <c r="D72" s="616" t="s">
        <v>2722</v>
      </c>
      <c r="E72" s="616" t="s">
        <v>2714</v>
      </c>
      <c r="F72" s="619"/>
      <c r="G72" s="619"/>
      <c r="H72" s="640">
        <v>0</v>
      </c>
      <c r="I72" s="619">
        <v>0.4</v>
      </c>
      <c r="J72" s="619">
        <v>105.60000000000001</v>
      </c>
      <c r="K72" s="640">
        <v>1</v>
      </c>
      <c r="L72" s="619">
        <v>0.4</v>
      </c>
      <c r="M72" s="620">
        <v>105.60000000000001</v>
      </c>
    </row>
    <row r="73" spans="1:13" ht="14.4" customHeight="1" x14ac:dyDescent="0.3">
      <c r="A73" s="615" t="s">
        <v>484</v>
      </c>
      <c r="B73" s="616" t="s">
        <v>2721</v>
      </c>
      <c r="C73" s="616" t="s">
        <v>2265</v>
      </c>
      <c r="D73" s="616" t="s">
        <v>2722</v>
      </c>
      <c r="E73" s="616" t="s">
        <v>2723</v>
      </c>
      <c r="F73" s="619"/>
      <c r="G73" s="619"/>
      <c r="H73" s="640">
        <v>0</v>
      </c>
      <c r="I73" s="619">
        <v>2.2000000000000002</v>
      </c>
      <c r="J73" s="619">
        <v>1137.4000000000001</v>
      </c>
      <c r="K73" s="640">
        <v>1</v>
      </c>
      <c r="L73" s="619">
        <v>2.2000000000000002</v>
      </c>
      <c r="M73" s="620">
        <v>1137.4000000000001</v>
      </c>
    </row>
    <row r="74" spans="1:13" ht="14.4" customHeight="1" x14ac:dyDescent="0.3">
      <c r="A74" s="615" t="s">
        <v>484</v>
      </c>
      <c r="B74" s="616" t="s">
        <v>2724</v>
      </c>
      <c r="C74" s="616" t="s">
        <v>2392</v>
      </c>
      <c r="D74" s="616" t="s">
        <v>2725</v>
      </c>
      <c r="E74" s="616" t="s">
        <v>2713</v>
      </c>
      <c r="F74" s="619"/>
      <c r="G74" s="619"/>
      <c r="H74" s="640">
        <v>0</v>
      </c>
      <c r="I74" s="619">
        <v>110.6</v>
      </c>
      <c r="J74" s="619">
        <v>103543.32743864396</v>
      </c>
      <c r="K74" s="640">
        <v>1</v>
      </c>
      <c r="L74" s="619">
        <v>110.6</v>
      </c>
      <c r="M74" s="620">
        <v>103543.32743864396</v>
      </c>
    </row>
    <row r="75" spans="1:13" ht="14.4" customHeight="1" x14ac:dyDescent="0.3">
      <c r="A75" s="615" t="s">
        <v>484</v>
      </c>
      <c r="B75" s="616" t="s">
        <v>2726</v>
      </c>
      <c r="C75" s="616" t="s">
        <v>2326</v>
      </c>
      <c r="D75" s="616" t="s">
        <v>2327</v>
      </c>
      <c r="E75" s="616" t="s">
        <v>2727</v>
      </c>
      <c r="F75" s="619"/>
      <c r="G75" s="619"/>
      <c r="H75" s="640">
        <v>0</v>
      </c>
      <c r="I75" s="619">
        <v>85</v>
      </c>
      <c r="J75" s="619">
        <v>12370.3</v>
      </c>
      <c r="K75" s="640">
        <v>1</v>
      </c>
      <c r="L75" s="619">
        <v>85</v>
      </c>
      <c r="M75" s="620">
        <v>12370.3</v>
      </c>
    </row>
    <row r="76" spans="1:13" ht="14.4" customHeight="1" x14ac:dyDescent="0.3">
      <c r="A76" s="615" t="s">
        <v>484</v>
      </c>
      <c r="B76" s="616" t="s">
        <v>2728</v>
      </c>
      <c r="C76" s="616" t="s">
        <v>2346</v>
      </c>
      <c r="D76" s="616" t="s">
        <v>2729</v>
      </c>
      <c r="E76" s="616" t="s">
        <v>2730</v>
      </c>
      <c r="F76" s="619"/>
      <c r="G76" s="619"/>
      <c r="H76" s="640">
        <v>0</v>
      </c>
      <c r="I76" s="619">
        <v>3.4</v>
      </c>
      <c r="J76" s="619">
        <v>527.33999999999992</v>
      </c>
      <c r="K76" s="640">
        <v>1</v>
      </c>
      <c r="L76" s="619">
        <v>3.4</v>
      </c>
      <c r="M76" s="620">
        <v>527.33999999999992</v>
      </c>
    </row>
    <row r="77" spans="1:13" ht="14.4" customHeight="1" x14ac:dyDescent="0.3">
      <c r="A77" s="615" t="s">
        <v>484</v>
      </c>
      <c r="B77" s="616" t="s">
        <v>2728</v>
      </c>
      <c r="C77" s="616" t="s">
        <v>2342</v>
      </c>
      <c r="D77" s="616" t="s">
        <v>2729</v>
      </c>
      <c r="E77" s="616" t="s">
        <v>2731</v>
      </c>
      <c r="F77" s="619"/>
      <c r="G77" s="619"/>
      <c r="H77" s="640">
        <v>0</v>
      </c>
      <c r="I77" s="619">
        <v>8.4</v>
      </c>
      <c r="J77" s="619">
        <v>2217.6</v>
      </c>
      <c r="K77" s="640">
        <v>1</v>
      </c>
      <c r="L77" s="619">
        <v>8.4</v>
      </c>
      <c r="M77" s="620">
        <v>2217.6</v>
      </c>
    </row>
    <row r="78" spans="1:13" ht="14.4" customHeight="1" x14ac:dyDescent="0.3">
      <c r="A78" s="615" t="s">
        <v>484</v>
      </c>
      <c r="B78" s="616" t="s">
        <v>2732</v>
      </c>
      <c r="C78" s="616" t="s">
        <v>2254</v>
      </c>
      <c r="D78" s="616" t="s">
        <v>2733</v>
      </c>
      <c r="E78" s="616" t="s">
        <v>2734</v>
      </c>
      <c r="F78" s="619">
        <v>4.7</v>
      </c>
      <c r="G78" s="619">
        <v>3044.7773999999999</v>
      </c>
      <c r="H78" s="640">
        <v>1</v>
      </c>
      <c r="I78" s="619"/>
      <c r="J78" s="619"/>
      <c r="K78" s="640">
        <v>0</v>
      </c>
      <c r="L78" s="619">
        <v>4.7</v>
      </c>
      <c r="M78" s="620">
        <v>3044.7773999999999</v>
      </c>
    </row>
    <row r="79" spans="1:13" ht="14.4" customHeight="1" x14ac:dyDescent="0.3">
      <c r="A79" s="615" t="s">
        <v>484</v>
      </c>
      <c r="B79" s="616" t="s">
        <v>2732</v>
      </c>
      <c r="C79" s="616" t="s">
        <v>2208</v>
      </c>
      <c r="D79" s="616" t="s">
        <v>2209</v>
      </c>
      <c r="E79" s="616" t="s">
        <v>2735</v>
      </c>
      <c r="F79" s="619"/>
      <c r="G79" s="619"/>
      <c r="H79" s="640">
        <v>0</v>
      </c>
      <c r="I79" s="619">
        <v>6</v>
      </c>
      <c r="J79" s="619">
        <v>399.10615508520988</v>
      </c>
      <c r="K79" s="640">
        <v>1</v>
      </c>
      <c r="L79" s="619">
        <v>6</v>
      </c>
      <c r="M79" s="620">
        <v>399.10615508520988</v>
      </c>
    </row>
    <row r="80" spans="1:13" ht="14.4" customHeight="1" x14ac:dyDescent="0.3">
      <c r="A80" s="615" t="s">
        <v>484</v>
      </c>
      <c r="B80" s="616" t="s">
        <v>2736</v>
      </c>
      <c r="C80" s="616" t="s">
        <v>2363</v>
      </c>
      <c r="D80" s="616" t="s">
        <v>2364</v>
      </c>
      <c r="E80" s="616" t="s">
        <v>2737</v>
      </c>
      <c r="F80" s="619">
        <v>0.8</v>
      </c>
      <c r="G80" s="619">
        <v>450.29599999999999</v>
      </c>
      <c r="H80" s="640">
        <v>1</v>
      </c>
      <c r="I80" s="619"/>
      <c r="J80" s="619"/>
      <c r="K80" s="640">
        <v>0</v>
      </c>
      <c r="L80" s="619">
        <v>0.8</v>
      </c>
      <c r="M80" s="620">
        <v>450.29599999999999</v>
      </c>
    </row>
    <row r="81" spans="1:13" ht="14.4" customHeight="1" x14ac:dyDescent="0.3">
      <c r="A81" s="615" t="s">
        <v>484</v>
      </c>
      <c r="B81" s="616" t="s">
        <v>2736</v>
      </c>
      <c r="C81" s="616" t="s">
        <v>2275</v>
      </c>
      <c r="D81" s="616" t="s">
        <v>2738</v>
      </c>
      <c r="E81" s="616" t="s">
        <v>2739</v>
      </c>
      <c r="F81" s="619"/>
      <c r="G81" s="619"/>
      <c r="H81" s="640">
        <v>0</v>
      </c>
      <c r="I81" s="619">
        <v>2</v>
      </c>
      <c r="J81" s="619">
        <v>154.51999999999998</v>
      </c>
      <c r="K81" s="640">
        <v>1</v>
      </c>
      <c r="L81" s="619">
        <v>2</v>
      </c>
      <c r="M81" s="620">
        <v>154.51999999999998</v>
      </c>
    </row>
    <row r="82" spans="1:13" ht="14.4" customHeight="1" x14ac:dyDescent="0.3">
      <c r="A82" s="615" t="s">
        <v>484</v>
      </c>
      <c r="B82" s="616" t="s">
        <v>2740</v>
      </c>
      <c r="C82" s="616" t="s">
        <v>2376</v>
      </c>
      <c r="D82" s="616" t="s">
        <v>2741</v>
      </c>
      <c r="E82" s="616" t="s">
        <v>2742</v>
      </c>
      <c r="F82" s="619"/>
      <c r="G82" s="619"/>
      <c r="H82" s="640">
        <v>0</v>
      </c>
      <c r="I82" s="619">
        <v>1</v>
      </c>
      <c r="J82" s="619">
        <v>326.95999999999992</v>
      </c>
      <c r="K82" s="640">
        <v>1</v>
      </c>
      <c r="L82" s="619">
        <v>1</v>
      </c>
      <c r="M82" s="620">
        <v>326.95999999999992</v>
      </c>
    </row>
    <row r="83" spans="1:13" ht="14.4" customHeight="1" x14ac:dyDescent="0.3">
      <c r="A83" s="615" t="s">
        <v>484</v>
      </c>
      <c r="B83" s="616" t="s">
        <v>2743</v>
      </c>
      <c r="C83" s="616" t="s">
        <v>2387</v>
      </c>
      <c r="D83" s="616" t="s">
        <v>2744</v>
      </c>
      <c r="E83" s="616" t="s">
        <v>2727</v>
      </c>
      <c r="F83" s="619"/>
      <c r="G83" s="619"/>
      <c r="H83" s="640">
        <v>0</v>
      </c>
      <c r="I83" s="619">
        <v>46</v>
      </c>
      <c r="J83" s="619">
        <v>1594.36</v>
      </c>
      <c r="K83" s="640">
        <v>1</v>
      </c>
      <c r="L83" s="619">
        <v>46</v>
      </c>
      <c r="M83" s="620">
        <v>1594.36</v>
      </c>
    </row>
    <row r="84" spans="1:13" ht="14.4" customHeight="1" x14ac:dyDescent="0.3">
      <c r="A84" s="615" t="s">
        <v>484</v>
      </c>
      <c r="B84" s="616" t="s">
        <v>2743</v>
      </c>
      <c r="C84" s="616" t="s">
        <v>2389</v>
      </c>
      <c r="D84" s="616" t="s">
        <v>2744</v>
      </c>
      <c r="E84" s="616" t="s">
        <v>2745</v>
      </c>
      <c r="F84" s="619"/>
      <c r="G84" s="619"/>
      <c r="H84" s="640">
        <v>0</v>
      </c>
      <c r="I84" s="619">
        <v>285</v>
      </c>
      <c r="J84" s="619">
        <v>15734.219717046699</v>
      </c>
      <c r="K84" s="640">
        <v>1</v>
      </c>
      <c r="L84" s="619">
        <v>285</v>
      </c>
      <c r="M84" s="620">
        <v>15734.219717046699</v>
      </c>
    </row>
    <row r="85" spans="1:13" ht="14.4" customHeight="1" x14ac:dyDescent="0.3">
      <c r="A85" s="615" t="s">
        <v>484</v>
      </c>
      <c r="B85" s="616" t="s">
        <v>2746</v>
      </c>
      <c r="C85" s="616" t="s">
        <v>2231</v>
      </c>
      <c r="D85" s="616" t="s">
        <v>2747</v>
      </c>
      <c r="E85" s="616" t="s">
        <v>2748</v>
      </c>
      <c r="F85" s="619"/>
      <c r="G85" s="619"/>
      <c r="H85" s="640">
        <v>0</v>
      </c>
      <c r="I85" s="619">
        <v>8</v>
      </c>
      <c r="J85" s="619">
        <v>4790.7200000000012</v>
      </c>
      <c r="K85" s="640">
        <v>1</v>
      </c>
      <c r="L85" s="619">
        <v>8</v>
      </c>
      <c r="M85" s="620">
        <v>4790.7200000000012</v>
      </c>
    </row>
    <row r="86" spans="1:13" ht="14.4" customHeight="1" x14ac:dyDescent="0.3">
      <c r="A86" s="615" t="s">
        <v>484</v>
      </c>
      <c r="B86" s="616" t="s">
        <v>2749</v>
      </c>
      <c r="C86" s="616" t="s">
        <v>2380</v>
      </c>
      <c r="D86" s="616" t="s">
        <v>2750</v>
      </c>
      <c r="E86" s="616" t="s">
        <v>2751</v>
      </c>
      <c r="F86" s="619"/>
      <c r="G86" s="619"/>
      <c r="H86" s="640">
        <v>0</v>
      </c>
      <c r="I86" s="619">
        <v>1335</v>
      </c>
      <c r="J86" s="619">
        <v>38567.665454545458</v>
      </c>
      <c r="K86" s="640">
        <v>1</v>
      </c>
      <c r="L86" s="619">
        <v>1335</v>
      </c>
      <c r="M86" s="620">
        <v>38567.665454545458</v>
      </c>
    </row>
    <row r="87" spans="1:13" ht="14.4" customHeight="1" x14ac:dyDescent="0.3">
      <c r="A87" s="615" t="s">
        <v>484</v>
      </c>
      <c r="B87" s="616" t="s">
        <v>2752</v>
      </c>
      <c r="C87" s="616" t="s">
        <v>2418</v>
      </c>
      <c r="D87" s="616" t="s">
        <v>2753</v>
      </c>
      <c r="E87" s="616" t="s">
        <v>2754</v>
      </c>
      <c r="F87" s="619"/>
      <c r="G87" s="619"/>
      <c r="H87" s="640">
        <v>0</v>
      </c>
      <c r="I87" s="619">
        <v>67.3</v>
      </c>
      <c r="J87" s="619">
        <v>10734.35</v>
      </c>
      <c r="K87" s="640">
        <v>1</v>
      </c>
      <c r="L87" s="619">
        <v>67.3</v>
      </c>
      <c r="M87" s="620">
        <v>10734.35</v>
      </c>
    </row>
    <row r="88" spans="1:13" ht="14.4" customHeight="1" x14ac:dyDescent="0.3">
      <c r="A88" s="615" t="s">
        <v>484</v>
      </c>
      <c r="B88" s="616" t="s">
        <v>2752</v>
      </c>
      <c r="C88" s="616" t="s">
        <v>2421</v>
      </c>
      <c r="D88" s="616" t="s">
        <v>2753</v>
      </c>
      <c r="E88" s="616" t="s">
        <v>2755</v>
      </c>
      <c r="F88" s="619"/>
      <c r="G88" s="619"/>
      <c r="H88" s="640">
        <v>0</v>
      </c>
      <c r="I88" s="619">
        <v>24.6</v>
      </c>
      <c r="J88" s="619">
        <v>7576.7999999999993</v>
      </c>
      <c r="K88" s="640">
        <v>1</v>
      </c>
      <c r="L88" s="619">
        <v>24.6</v>
      </c>
      <c r="M88" s="620">
        <v>7576.7999999999993</v>
      </c>
    </row>
    <row r="89" spans="1:13" ht="14.4" customHeight="1" x14ac:dyDescent="0.3">
      <c r="A89" s="615" t="s">
        <v>484</v>
      </c>
      <c r="B89" s="616" t="s">
        <v>2752</v>
      </c>
      <c r="C89" s="616" t="s">
        <v>2423</v>
      </c>
      <c r="D89" s="616" t="s">
        <v>2756</v>
      </c>
      <c r="E89" s="616" t="s">
        <v>2757</v>
      </c>
      <c r="F89" s="619"/>
      <c r="G89" s="619"/>
      <c r="H89" s="640">
        <v>0</v>
      </c>
      <c r="I89" s="619">
        <v>2</v>
      </c>
      <c r="J89" s="619">
        <v>570.47950493244241</v>
      </c>
      <c r="K89" s="640">
        <v>1</v>
      </c>
      <c r="L89" s="619">
        <v>2</v>
      </c>
      <c r="M89" s="620">
        <v>570.47950493244241</v>
      </c>
    </row>
    <row r="90" spans="1:13" ht="14.4" customHeight="1" x14ac:dyDescent="0.3">
      <c r="A90" s="615" t="s">
        <v>484</v>
      </c>
      <c r="B90" s="616" t="s">
        <v>2758</v>
      </c>
      <c r="C90" s="616" t="s">
        <v>2426</v>
      </c>
      <c r="D90" s="616" t="s">
        <v>2759</v>
      </c>
      <c r="E90" s="616" t="s">
        <v>2760</v>
      </c>
      <c r="F90" s="619"/>
      <c r="G90" s="619"/>
      <c r="H90" s="640">
        <v>0</v>
      </c>
      <c r="I90" s="619">
        <v>50</v>
      </c>
      <c r="J90" s="619">
        <v>24673</v>
      </c>
      <c r="K90" s="640">
        <v>1</v>
      </c>
      <c r="L90" s="619">
        <v>50</v>
      </c>
      <c r="M90" s="620">
        <v>24673</v>
      </c>
    </row>
    <row r="91" spans="1:13" ht="14.4" customHeight="1" x14ac:dyDescent="0.3">
      <c r="A91" s="615" t="s">
        <v>484</v>
      </c>
      <c r="B91" s="616" t="s">
        <v>2758</v>
      </c>
      <c r="C91" s="616" t="s">
        <v>2400</v>
      </c>
      <c r="D91" s="616" t="s">
        <v>2761</v>
      </c>
      <c r="E91" s="616" t="s">
        <v>2762</v>
      </c>
      <c r="F91" s="619">
        <v>1</v>
      </c>
      <c r="G91" s="619">
        <v>13607.949999999997</v>
      </c>
      <c r="H91" s="640">
        <v>1</v>
      </c>
      <c r="I91" s="619"/>
      <c r="J91" s="619"/>
      <c r="K91" s="640">
        <v>0</v>
      </c>
      <c r="L91" s="619">
        <v>1</v>
      </c>
      <c r="M91" s="620">
        <v>13607.949999999997</v>
      </c>
    </row>
    <row r="92" spans="1:13" ht="14.4" customHeight="1" x14ac:dyDescent="0.3">
      <c r="A92" s="615" t="s">
        <v>484</v>
      </c>
      <c r="B92" s="616" t="s">
        <v>2758</v>
      </c>
      <c r="C92" s="616" t="s">
        <v>2396</v>
      </c>
      <c r="D92" s="616" t="s">
        <v>2761</v>
      </c>
      <c r="E92" s="616" t="s">
        <v>2760</v>
      </c>
      <c r="F92" s="619">
        <v>163</v>
      </c>
      <c r="G92" s="619">
        <v>460517.38</v>
      </c>
      <c r="H92" s="640">
        <v>0.89071033083059947</v>
      </c>
      <c r="I92" s="619">
        <v>20</v>
      </c>
      <c r="J92" s="619">
        <v>56505.229999999996</v>
      </c>
      <c r="K92" s="640">
        <v>0.10928966916940054</v>
      </c>
      <c r="L92" s="619">
        <v>183</v>
      </c>
      <c r="M92" s="620">
        <v>517022.61</v>
      </c>
    </row>
    <row r="93" spans="1:13" ht="14.4" customHeight="1" x14ac:dyDescent="0.3">
      <c r="A93" s="615" t="s">
        <v>484</v>
      </c>
      <c r="B93" s="616" t="s">
        <v>2763</v>
      </c>
      <c r="C93" s="616" t="s">
        <v>2051</v>
      </c>
      <c r="D93" s="616" t="s">
        <v>2764</v>
      </c>
      <c r="E93" s="616" t="s">
        <v>2765</v>
      </c>
      <c r="F93" s="619"/>
      <c r="G93" s="619"/>
      <c r="H93" s="640">
        <v>0</v>
      </c>
      <c r="I93" s="619">
        <v>2</v>
      </c>
      <c r="J93" s="619">
        <v>1901.4577896631013</v>
      </c>
      <c r="K93" s="640">
        <v>1</v>
      </c>
      <c r="L93" s="619">
        <v>2</v>
      </c>
      <c r="M93" s="620">
        <v>1901.4577896631013</v>
      </c>
    </row>
    <row r="94" spans="1:13" ht="14.4" customHeight="1" x14ac:dyDescent="0.3">
      <c r="A94" s="615" t="s">
        <v>484</v>
      </c>
      <c r="B94" s="616" t="s">
        <v>2766</v>
      </c>
      <c r="C94" s="616" t="s">
        <v>2048</v>
      </c>
      <c r="D94" s="616" t="s">
        <v>2049</v>
      </c>
      <c r="E94" s="616" t="s">
        <v>2767</v>
      </c>
      <c r="F94" s="619"/>
      <c r="G94" s="619"/>
      <c r="H94" s="640">
        <v>0</v>
      </c>
      <c r="I94" s="619">
        <v>1</v>
      </c>
      <c r="J94" s="619">
        <v>54.780000000000015</v>
      </c>
      <c r="K94" s="640">
        <v>1</v>
      </c>
      <c r="L94" s="619">
        <v>1</v>
      </c>
      <c r="M94" s="620">
        <v>54.780000000000015</v>
      </c>
    </row>
    <row r="95" spans="1:13" ht="14.4" customHeight="1" x14ac:dyDescent="0.3">
      <c r="A95" s="615" t="s">
        <v>484</v>
      </c>
      <c r="B95" s="616" t="s">
        <v>2768</v>
      </c>
      <c r="C95" s="616" t="s">
        <v>1845</v>
      </c>
      <c r="D95" s="616" t="s">
        <v>542</v>
      </c>
      <c r="E95" s="616" t="s">
        <v>2769</v>
      </c>
      <c r="F95" s="619"/>
      <c r="G95" s="619"/>
      <c r="H95" s="640">
        <v>0</v>
      </c>
      <c r="I95" s="619">
        <v>2</v>
      </c>
      <c r="J95" s="619">
        <v>210.11999999999995</v>
      </c>
      <c r="K95" s="640">
        <v>1</v>
      </c>
      <c r="L95" s="619">
        <v>2</v>
      </c>
      <c r="M95" s="620">
        <v>210.11999999999995</v>
      </c>
    </row>
    <row r="96" spans="1:13" ht="14.4" customHeight="1" x14ac:dyDescent="0.3">
      <c r="A96" s="615" t="s">
        <v>484</v>
      </c>
      <c r="B96" s="616" t="s">
        <v>2768</v>
      </c>
      <c r="C96" s="616" t="s">
        <v>541</v>
      </c>
      <c r="D96" s="616" t="s">
        <v>542</v>
      </c>
      <c r="E96" s="616" t="s">
        <v>2769</v>
      </c>
      <c r="F96" s="619">
        <v>1</v>
      </c>
      <c r="G96" s="619">
        <v>103.32000000000002</v>
      </c>
      <c r="H96" s="640">
        <v>1</v>
      </c>
      <c r="I96" s="619"/>
      <c r="J96" s="619"/>
      <c r="K96" s="640">
        <v>0</v>
      </c>
      <c r="L96" s="619">
        <v>1</v>
      </c>
      <c r="M96" s="620">
        <v>103.32000000000002</v>
      </c>
    </row>
    <row r="97" spans="1:13" ht="14.4" customHeight="1" x14ac:dyDescent="0.3">
      <c r="A97" s="615" t="s">
        <v>484</v>
      </c>
      <c r="B97" s="616" t="s">
        <v>2770</v>
      </c>
      <c r="C97" s="616" t="s">
        <v>2030</v>
      </c>
      <c r="D97" s="616" t="s">
        <v>2771</v>
      </c>
      <c r="E97" s="616" t="s">
        <v>2772</v>
      </c>
      <c r="F97" s="619"/>
      <c r="G97" s="619"/>
      <c r="H97" s="640">
        <v>0</v>
      </c>
      <c r="I97" s="619">
        <v>94</v>
      </c>
      <c r="J97" s="619">
        <v>64899.48344369496</v>
      </c>
      <c r="K97" s="640">
        <v>1</v>
      </c>
      <c r="L97" s="619">
        <v>94</v>
      </c>
      <c r="M97" s="620">
        <v>64899.48344369496</v>
      </c>
    </row>
    <row r="98" spans="1:13" ht="14.4" customHeight="1" x14ac:dyDescent="0.3">
      <c r="A98" s="615" t="s">
        <v>484</v>
      </c>
      <c r="B98" s="616" t="s">
        <v>2770</v>
      </c>
      <c r="C98" s="616" t="s">
        <v>514</v>
      </c>
      <c r="D98" s="616" t="s">
        <v>2773</v>
      </c>
      <c r="E98" s="616" t="s">
        <v>2774</v>
      </c>
      <c r="F98" s="619">
        <v>116</v>
      </c>
      <c r="G98" s="619">
        <v>18903.98</v>
      </c>
      <c r="H98" s="640">
        <v>1</v>
      </c>
      <c r="I98" s="619"/>
      <c r="J98" s="619"/>
      <c r="K98" s="640">
        <v>0</v>
      </c>
      <c r="L98" s="619">
        <v>116</v>
      </c>
      <c r="M98" s="620">
        <v>18903.98</v>
      </c>
    </row>
    <row r="99" spans="1:13" ht="14.4" customHeight="1" x14ac:dyDescent="0.3">
      <c r="A99" s="615" t="s">
        <v>484</v>
      </c>
      <c r="B99" s="616" t="s">
        <v>2775</v>
      </c>
      <c r="C99" s="616" t="s">
        <v>2034</v>
      </c>
      <c r="D99" s="616" t="s">
        <v>2035</v>
      </c>
      <c r="E99" s="616" t="s">
        <v>2776</v>
      </c>
      <c r="F99" s="619"/>
      <c r="G99" s="619"/>
      <c r="H99" s="640">
        <v>0</v>
      </c>
      <c r="I99" s="619">
        <v>13</v>
      </c>
      <c r="J99" s="619">
        <v>12483.25</v>
      </c>
      <c r="K99" s="640">
        <v>1</v>
      </c>
      <c r="L99" s="619">
        <v>13</v>
      </c>
      <c r="M99" s="620">
        <v>12483.25</v>
      </c>
    </row>
    <row r="100" spans="1:13" ht="14.4" customHeight="1" x14ac:dyDescent="0.3">
      <c r="A100" s="615" t="s">
        <v>484</v>
      </c>
      <c r="B100" s="616" t="s">
        <v>2775</v>
      </c>
      <c r="C100" s="616" t="s">
        <v>2011</v>
      </c>
      <c r="D100" s="616" t="s">
        <v>2777</v>
      </c>
      <c r="E100" s="616" t="s">
        <v>2778</v>
      </c>
      <c r="F100" s="619"/>
      <c r="G100" s="619"/>
      <c r="H100" s="640">
        <v>0</v>
      </c>
      <c r="I100" s="619">
        <v>1</v>
      </c>
      <c r="J100" s="619">
        <v>126.88885111231643</v>
      </c>
      <c r="K100" s="640">
        <v>1</v>
      </c>
      <c r="L100" s="619">
        <v>1</v>
      </c>
      <c r="M100" s="620">
        <v>126.88885111231643</v>
      </c>
    </row>
    <row r="101" spans="1:13" ht="14.4" customHeight="1" x14ac:dyDescent="0.3">
      <c r="A101" s="615" t="s">
        <v>484</v>
      </c>
      <c r="B101" s="616" t="s">
        <v>2779</v>
      </c>
      <c r="C101" s="616" t="s">
        <v>2001</v>
      </c>
      <c r="D101" s="616" t="s">
        <v>2780</v>
      </c>
      <c r="E101" s="616" t="s">
        <v>2781</v>
      </c>
      <c r="F101" s="619"/>
      <c r="G101" s="619"/>
      <c r="H101" s="640">
        <v>0</v>
      </c>
      <c r="I101" s="619">
        <v>1</v>
      </c>
      <c r="J101" s="619">
        <v>174.61</v>
      </c>
      <c r="K101" s="640">
        <v>1</v>
      </c>
      <c r="L101" s="619">
        <v>1</v>
      </c>
      <c r="M101" s="620">
        <v>174.61</v>
      </c>
    </row>
    <row r="102" spans="1:13" ht="14.4" customHeight="1" x14ac:dyDescent="0.3">
      <c r="A102" s="615" t="s">
        <v>484</v>
      </c>
      <c r="B102" s="616" t="s">
        <v>2779</v>
      </c>
      <c r="C102" s="616" t="s">
        <v>2041</v>
      </c>
      <c r="D102" s="616" t="s">
        <v>2780</v>
      </c>
      <c r="E102" s="616" t="s">
        <v>2782</v>
      </c>
      <c r="F102" s="619"/>
      <c r="G102" s="619"/>
      <c r="H102" s="640">
        <v>0</v>
      </c>
      <c r="I102" s="619">
        <v>1</v>
      </c>
      <c r="J102" s="619">
        <v>64.92</v>
      </c>
      <c r="K102" s="640">
        <v>1</v>
      </c>
      <c r="L102" s="619">
        <v>1</v>
      </c>
      <c r="M102" s="620">
        <v>64.92</v>
      </c>
    </row>
    <row r="103" spans="1:13" ht="14.4" customHeight="1" x14ac:dyDescent="0.3">
      <c r="A103" s="615" t="s">
        <v>484</v>
      </c>
      <c r="B103" s="616" t="s">
        <v>2783</v>
      </c>
      <c r="C103" s="616" t="s">
        <v>2008</v>
      </c>
      <c r="D103" s="616" t="s">
        <v>2784</v>
      </c>
      <c r="E103" s="616" t="s">
        <v>2785</v>
      </c>
      <c r="F103" s="619"/>
      <c r="G103" s="619"/>
      <c r="H103" s="640">
        <v>0</v>
      </c>
      <c r="I103" s="619">
        <v>1</v>
      </c>
      <c r="J103" s="619">
        <v>80.52</v>
      </c>
      <c r="K103" s="640">
        <v>1</v>
      </c>
      <c r="L103" s="619">
        <v>1</v>
      </c>
      <c r="M103" s="620">
        <v>80.52</v>
      </c>
    </row>
    <row r="104" spans="1:13" ht="14.4" customHeight="1" x14ac:dyDescent="0.3">
      <c r="A104" s="615" t="s">
        <v>484</v>
      </c>
      <c r="B104" s="616" t="s">
        <v>2783</v>
      </c>
      <c r="C104" s="616" t="s">
        <v>1903</v>
      </c>
      <c r="D104" s="616" t="s">
        <v>2784</v>
      </c>
      <c r="E104" s="616" t="s">
        <v>2786</v>
      </c>
      <c r="F104" s="619"/>
      <c r="G104" s="619"/>
      <c r="H104" s="640">
        <v>0</v>
      </c>
      <c r="I104" s="619">
        <v>1</v>
      </c>
      <c r="J104" s="619">
        <v>414.79</v>
      </c>
      <c r="K104" s="640">
        <v>1</v>
      </c>
      <c r="L104" s="619">
        <v>1</v>
      </c>
      <c r="M104" s="620">
        <v>414.79</v>
      </c>
    </row>
    <row r="105" spans="1:13" ht="14.4" customHeight="1" x14ac:dyDescent="0.3">
      <c r="A105" s="615" t="s">
        <v>484</v>
      </c>
      <c r="B105" s="616" t="s">
        <v>2783</v>
      </c>
      <c r="C105" s="616" t="s">
        <v>1907</v>
      </c>
      <c r="D105" s="616" t="s">
        <v>2784</v>
      </c>
      <c r="E105" s="616" t="s">
        <v>2787</v>
      </c>
      <c r="F105" s="619"/>
      <c r="G105" s="619"/>
      <c r="H105" s="640">
        <v>0</v>
      </c>
      <c r="I105" s="619">
        <v>2</v>
      </c>
      <c r="J105" s="619">
        <v>644.9799999999999</v>
      </c>
      <c r="K105" s="640">
        <v>1</v>
      </c>
      <c r="L105" s="619">
        <v>2</v>
      </c>
      <c r="M105" s="620">
        <v>644.9799999999999</v>
      </c>
    </row>
    <row r="106" spans="1:13" ht="14.4" customHeight="1" x14ac:dyDescent="0.3">
      <c r="A106" s="615" t="s">
        <v>484</v>
      </c>
      <c r="B106" s="616" t="s">
        <v>2788</v>
      </c>
      <c r="C106" s="616" t="s">
        <v>2026</v>
      </c>
      <c r="D106" s="616" t="s">
        <v>2789</v>
      </c>
      <c r="E106" s="616" t="s">
        <v>2790</v>
      </c>
      <c r="F106" s="619"/>
      <c r="G106" s="619"/>
      <c r="H106" s="640">
        <v>0</v>
      </c>
      <c r="I106" s="619">
        <v>3</v>
      </c>
      <c r="J106" s="619">
        <v>755.93999999999994</v>
      </c>
      <c r="K106" s="640">
        <v>1</v>
      </c>
      <c r="L106" s="619">
        <v>3</v>
      </c>
      <c r="M106" s="620">
        <v>755.93999999999994</v>
      </c>
    </row>
    <row r="107" spans="1:13" ht="14.4" customHeight="1" x14ac:dyDescent="0.3">
      <c r="A107" s="615" t="s">
        <v>484</v>
      </c>
      <c r="B107" s="616" t="s">
        <v>2791</v>
      </c>
      <c r="C107" s="616" t="s">
        <v>1960</v>
      </c>
      <c r="D107" s="616" t="s">
        <v>1961</v>
      </c>
      <c r="E107" s="616" t="s">
        <v>2792</v>
      </c>
      <c r="F107" s="619"/>
      <c r="G107" s="619"/>
      <c r="H107" s="640">
        <v>0</v>
      </c>
      <c r="I107" s="619">
        <v>3</v>
      </c>
      <c r="J107" s="619">
        <v>271.98020407822776</v>
      </c>
      <c r="K107" s="640">
        <v>1</v>
      </c>
      <c r="L107" s="619">
        <v>3</v>
      </c>
      <c r="M107" s="620">
        <v>271.98020407822776</v>
      </c>
    </row>
    <row r="108" spans="1:13" ht="14.4" customHeight="1" x14ac:dyDescent="0.3">
      <c r="A108" s="615" t="s">
        <v>484</v>
      </c>
      <c r="B108" s="616" t="s">
        <v>2791</v>
      </c>
      <c r="C108" s="616" t="s">
        <v>1911</v>
      </c>
      <c r="D108" s="616" t="s">
        <v>1912</v>
      </c>
      <c r="E108" s="616" t="s">
        <v>2793</v>
      </c>
      <c r="F108" s="619"/>
      <c r="G108" s="619"/>
      <c r="H108" s="640">
        <v>0</v>
      </c>
      <c r="I108" s="619">
        <v>1</v>
      </c>
      <c r="J108" s="619">
        <v>46.99000000000003</v>
      </c>
      <c r="K108" s="640">
        <v>1</v>
      </c>
      <c r="L108" s="619">
        <v>1</v>
      </c>
      <c r="M108" s="620">
        <v>46.99000000000003</v>
      </c>
    </row>
    <row r="109" spans="1:13" ht="14.4" customHeight="1" x14ac:dyDescent="0.3">
      <c r="A109" s="615" t="s">
        <v>484</v>
      </c>
      <c r="B109" s="616" t="s">
        <v>2791</v>
      </c>
      <c r="C109" s="616" t="s">
        <v>1995</v>
      </c>
      <c r="D109" s="616" t="s">
        <v>1912</v>
      </c>
      <c r="E109" s="616" t="s">
        <v>2794</v>
      </c>
      <c r="F109" s="619"/>
      <c r="G109" s="619"/>
      <c r="H109" s="640">
        <v>0</v>
      </c>
      <c r="I109" s="619">
        <v>3</v>
      </c>
      <c r="J109" s="619">
        <v>184.97999999999996</v>
      </c>
      <c r="K109" s="640">
        <v>1</v>
      </c>
      <c r="L109" s="619">
        <v>3</v>
      </c>
      <c r="M109" s="620">
        <v>184.97999999999996</v>
      </c>
    </row>
    <row r="110" spans="1:13" ht="14.4" customHeight="1" x14ac:dyDescent="0.3">
      <c r="A110" s="615" t="s">
        <v>484</v>
      </c>
      <c r="B110" s="616" t="s">
        <v>2791</v>
      </c>
      <c r="C110" s="616" t="s">
        <v>532</v>
      </c>
      <c r="D110" s="616" t="s">
        <v>2795</v>
      </c>
      <c r="E110" s="616" t="s">
        <v>2793</v>
      </c>
      <c r="F110" s="619">
        <v>3</v>
      </c>
      <c r="G110" s="619">
        <v>80.61</v>
      </c>
      <c r="H110" s="640">
        <v>1</v>
      </c>
      <c r="I110" s="619"/>
      <c r="J110" s="619"/>
      <c r="K110" s="640">
        <v>0</v>
      </c>
      <c r="L110" s="619">
        <v>3</v>
      </c>
      <c r="M110" s="620">
        <v>80.61</v>
      </c>
    </row>
    <row r="111" spans="1:13" ht="14.4" customHeight="1" x14ac:dyDescent="0.3">
      <c r="A111" s="615" t="s">
        <v>484</v>
      </c>
      <c r="B111" s="616" t="s">
        <v>2796</v>
      </c>
      <c r="C111" s="616" t="s">
        <v>2101</v>
      </c>
      <c r="D111" s="616" t="s">
        <v>2797</v>
      </c>
      <c r="E111" s="616" t="s">
        <v>2798</v>
      </c>
      <c r="F111" s="619"/>
      <c r="G111" s="619"/>
      <c r="H111" s="640">
        <v>0</v>
      </c>
      <c r="I111" s="619">
        <v>1</v>
      </c>
      <c r="J111" s="619">
        <v>67.319999999999993</v>
      </c>
      <c r="K111" s="640">
        <v>1</v>
      </c>
      <c r="L111" s="619">
        <v>1</v>
      </c>
      <c r="M111" s="620">
        <v>67.319999999999993</v>
      </c>
    </row>
    <row r="112" spans="1:13" ht="14.4" customHeight="1" x14ac:dyDescent="0.3">
      <c r="A112" s="615" t="s">
        <v>484</v>
      </c>
      <c r="B112" s="616" t="s">
        <v>2796</v>
      </c>
      <c r="C112" s="616" t="s">
        <v>1858</v>
      </c>
      <c r="D112" s="616" t="s">
        <v>492</v>
      </c>
      <c r="E112" s="616" t="s">
        <v>2799</v>
      </c>
      <c r="F112" s="619"/>
      <c r="G112" s="619"/>
      <c r="H112" s="640">
        <v>0</v>
      </c>
      <c r="I112" s="619">
        <v>1</v>
      </c>
      <c r="J112" s="619">
        <v>60.429999999999993</v>
      </c>
      <c r="K112" s="640">
        <v>1</v>
      </c>
      <c r="L112" s="619">
        <v>1</v>
      </c>
      <c r="M112" s="620">
        <v>60.429999999999993</v>
      </c>
    </row>
    <row r="113" spans="1:13" ht="14.4" customHeight="1" x14ac:dyDescent="0.3">
      <c r="A113" s="615" t="s">
        <v>484</v>
      </c>
      <c r="B113" s="616" t="s">
        <v>2796</v>
      </c>
      <c r="C113" s="616" t="s">
        <v>2037</v>
      </c>
      <c r="D113" s="616" t="s">
        <v>2797</v>
      </c>
      <c r="E113" s="616" t="s">
        <v>2800</v>
      </c>
      <c r="F113" s="619"/>
      <c r="G113" s="619"/>
      <c r="H113" s="640">
        <v>0</v>
      </c>
      <c r="I113" s="619">
        <v>2</v>
      </c>
      <c r="J113" s="619">
        <v>661.97976785904348</v>
      </c>
      <c r="K113" s="640">
        <v>1</v>
      </c>
      <c r="L113" s="619">
        <v>2</v>
      </c>
      <c r="M113" s="620">
        <v>661.97976785904348</v>
      </c>
    </row>
    <row r="114" spans="1:13" ht="14.4" customHeight="1" x14ac:dyDescent="0.3">
      <c r="A114" s="615" t="s">
        <v>484</v>
      </c>
      <c r="B114" s="616" t="s">
        <v>2796</v>
      </c>
      <c r="C114" s="616" t="s">
        <v>535</v>
      </c>
      <c r="D114" s="616" t="s">
        <v>2801</v>
      </c>
      <c r="E114" s="616" t="s">
        <v>2802</v>
      </c>
      <c r="F114" s="619">
        <v>25</v>
      </c>
      <c r="G114" s="619">
        <v>12404.236000000001</v>
      </c>
      <c r="H114" s="640">
        <v>1</v>
      </c>
      <c r="I114" s="619"/>
      <c r="J114" s="619"/>
      <c r="K114" s="640">
        <v>0</v>
      </c>
      <c r="L114" s="619">
        <v>25</v>
      </c>
      <c r="M114" s="620">
        <v>12404.236000000001</v>
      </c>
    </row>
    <row r="115" spans="1:13" ht="14.4" customHeight="1" x14ac:dyDescent="0.3">
      <c r="A115" s="615" t="s">
        <v>484</v>
      </c>
      <c r="B115" s="616" t="s">
        <v>2796</v>
      </c>
      <c r="C115" s="616" t="s">
        <v>491</v>
      </c>
      <c r="D115" s="616" t="s">
        <v>492</v>
      </c>
      <c r="E115" s="616" t="s">
        <v>2803</v>
      </c>
      <c r="F115" s="619">
        <v>1</v>
      </c>
      <c r="G115" s="619">
        <v>94.809999999999988</v>
      </c>
      <c r="H115" s="640">
        <v>1</v>
      </c>
      <c r="I115" s="619"/>
      <c r="J115" s="619"/>
      <c r="K115" s="640">
        <v>0</v>
      </c>
      <c r="L115" s="619">
        <v>1</v>
      </c>
      <c r="M115" s="620">
        <v>94.809999999999988</v>
      </c>
    </row>
    <row r="116" spans="1:13" ht="14.4" customHeight="1" x14ac:dyDescent="0.3">
      <c r="A116" s="615" t="s">
        <v>484</v>
      </c>
      <c r="B116" s="616" t="s">
        <v>2796</v>
      </c>
      <c r="C116" s="616" t="s">
        <v>521</v>
      </c>
      <c r="D116" s="616" t="s">
        <v>2804</v>
      </c>
      <c r="E116" s="616" t="s">
        <v>2805</v>
      </c>
      <c r="F116" s="619">
        <v>5</v>
      </c>
      <c r="G116" s="619">
        <v>4550.6499999999996</v>
      </c>
      <c r="H116" s="640">
        <v>1</v>
      </c>
      <c r="I116" s="619"/>
      <c r="J116" s="619"/>
      <c r="K116" s="640">
        <v>0</v>
      </c>
      <c r="L116" s="619">
        <v>5</v>
      </c>
      <c r="M116" s="620">
        <v>4550.6499999999996</v>
      </c>
    </row>
    <row r="117" spans="1:13" ht="14.4" customHeight="1" x14ac:dyDescent="0.3">
      <c r="A117" s="615" t="s">
        <v>484</v>
      </c>
      <c r="B117" s="616" t="s">
        <v>2806</v>
      </c>
      <c r="C117" s="616" t="s">
        <v>2089</v>
      </c>
      <c r="D117" s="616" t="s">
        <v>1866</v>
      </c>
      <c r="E117" s="616" t="s">
        <v>2807</v>
      </c>
      <c r="F117" s="619"/>
      <c r="G117" s="619"/>
      <c r="H117" s="640">
        <v>0</v>
      </c>
      <c r="I117" s="619">
        <v>1</v>
      </c>
      <c r="J117" s="619">
        <v>161.69</v>
      </c>
      <c r="K117" s="640">
        <v>1</v>
      </c>
      <c r="L117" s="619">
        <v>1</v>
      </c>
      <c r="M117" s="620">
        <v>161.69</v>
      </c>
    </row>
    <row r="118" spans="1:13" ht="14.4" customHeight="1" x14ac:dyDescent="0.3">
      <c r="A118" s="615" t="s">
        <v>484</v>
      </c>
      <c r="B118" s="616" t="s">
        <v>2806</v>
      </c>
      <c r="C118" s="616" t="s">
        <v>1945</v>
      </c>
      <c r="D118" s="616" t="s">
        <v>1946</v>
      </c>
      <c r="E118" s="616" t="s">
        <v>2649</v>
      </c>
      <c r="F118" s="619"/>
      <c r="G118" s="619"/>
      <c r="H118" s="640">
        <v>0</v>
      </c>
      <c r="I118" s="619">
        <v>3</v>
      </c>
      <c r="J118" s="619">
        <v>60.1799991920455</v>
      </c>
      <c r="K118" s="640">
        <v>1</v>
      </c>
      <c r="L118" s="619">
        <v>3</v>
      </c>
      <c r="M118" s="620">
        <v>60.1799991920455</v>
      </c>
    </row>
    <row r="119" spans="1:13" ht="14.4" customHeight="1" x14ac:dyDescent="0.3">
      <c r="A119" s="615" t="s">
        <v>484</v>
      </c>
      <c r="B119" s="616" t="s">
        <v>2806</v>
      </c>
      <c r="C119" s="616" t="s">
        <v>2005</v>
      </c>
      <c r="D119" s="616" t="s">
        <v>1866</v>
      </c>
      <c r="E119" s="616" t="s">
        <v>2808</v>
      </c>
      <c r="F119" s="619"/>
      <c r="G119" s="619"/>
      <c r="H119" s="640">
        <v>0</v>
      </c>
      <c r="I119" s="619">
        <v>6</v>
      </c>
      <c r="J119" s="619">
        <v>304.09818570342276</v>
      </c>
      <c r="K119" s="640">
        <v>1</v>
      </c>
      <c r="L119" s="619">
        <v>6</v>
      </c>
      <c r="M119" s="620">
        <v>304.09818570342276</v>
      </c>
    </row>
    <row r="120" spans="1:13" ht="14.4" customHeight="1" x14ac:dyDescent="0.3">
      <c r="A120" s="615" t="s">
        <v>484</v>
      </c>
      <c r="B120" s="616" t="s">
        <v>2806</v>
      </c>
      <c r="C120" s="616" t="s">
        <v>1865</v>
      </c>
      <c r="D120" s="616" t="s">
        <v>1866</v>
      </c>
      <c r="E120" s="616" t="s">
        <v>2807</v>
      </c>
      <c r="F120" s="619"/>
      <c r="G120" s="619"/>
      <c r="H120" s="640">
        <v>0</v>
      </c>
      <c r="I120" s="619">
        <v>1</v>
      </c>
      <c r="J120" s="619">
        <v>54.68</v>
      </c>
      <c r="K120" s="640">
        <v>1</v>
      </c>
      <c r="L120" s="619">
        <v>1</v>
      </c>
      <c r="M120" s="620">
        <v>54.68</v>
      </c>
    </row>
    <row r="121" spans="1:13" ht="14.4" customHeight="1" x14ac:dyDescent="0.3">
      <c r="A121" s="615" t="s">
        <v>484</v>
      </c>
      <c r="B121" s="616" t="s">
        <v>2809</v>
      </c>
      <c r="C121" s="616" t="s">
        <v>2096</v>
      </c>
      <c r="D121" s="616" t="s">
        <v>2810</v>
      </c>
      <c r="E121" s="616" t="s">
        <v>2603</v>
      </c>
      <c r="F121" s="619"/>
      <c r="G121" s="619"/>
      <c r="H121" s="640">
        <v>0</v>
      </c>
      <c r="I121" s="619">
        <v>1</v>
      </c>
      <c r="J121" s="619">
        <v>214.09053147016326</v>
      </c>
      <c r="K121" s="640">
        <v>1</v>
      </c>
      <c r="L121" s="619">
        <v>1</v>
      </c>
      <c r="M121" s="620">
        <v>214.09053147016326</v>
      </c>
    </row>
    <row r="122" spans="1:13" ht="14.4" customHeight="1" x14ac:dyDescent="0.3">
      <c r="A122" s="615" t="s">
        <v>484</v>
      </c>
      <c r="B122" s="616" t="s">
        <v>2809</v>
      </c>
      <c r="C122" s="616" t="s">
        <v>1982</v>
      </c>
      <c r="D122" s="616" t="s">
        <v>2811</v>
      </c>
      <c r="E122" s="616" t="s">
        <v>2812</v>
      </c>
      <c r="F122" s="619"/>
      <c r="G122" s="619"/>
      <c r="H122" s="640">
        <v>0</v>
      </c>
      <c r="I122" s="619">
        <v>1</v>
      </c>
      <c r="J122" s="619">
        <v>185.16000000000005</v>
      </c>
      <c r="K122" s="640">
        <v>1</v>
      </c>
      <c r="L122" s="619">
        <v>1</v>
      </c>
      <c r="M122" s="620">
        <v>185.16000000000005</v>
      </c>
    </row>
    <row r="123" spans="1:13" ht="14.4" customHeight="1" x14ac:dyDescent="0.3">
      <c r="A123" s="615" t="s">
        <v>484</v>
      </c>
      <c r="B123" s="616" t="s">
        <v>2813</v>
      </c>
      <c r="C123" s="616" t="s">
        <v>545</v>
      </c>
      <c r="D123" s="616" t="s">
        <v>2814</v>
      </c>
      <c r="E123" s="616" t="s">
        <v>2815</v>
      </c>
      <c r="F123" s="619">
        <v>2</v>
      </c>
      <c r="G123" s="619">
        <v>118.87</v>
      </c>
      <c r="H123" s="640">
        <v>1</v>
      </c>
      <c r="I123" s="619"/>
      <c r="J123" s="619"/>
      <c r="K123" s="640">
        <v>0</v>
      </c>
      <c r="L123" s="619">
        <v>2</v>
      </c>
      <c r="M123" s="620">
        <v>118.87</v>
      </c>
    </row>
    <row r="124" spans="1:13" ht="14.4" customHeight="1" x14ac:dyDescent="0.3">
      <c r="A124" s="615" t="s">
        <v>484</v>
      </c>
      <c r="B124" s="616" t="s">
        <v>2813</v>
      </c>
      <c r="C124" s="616" t="s">
        <v>528</v>
      </c>
      <c r="D124" s="616" t="s">
        <v>2814</v>
      </c>
      <c r="E124" s="616" t="s">
        <v>2816</v>
      </c>
      <c r="F124" s="619">
        <v>1</v>
      </c>
      <c r="G124" s="619">
        <v>29.84</v>
      </c>
      <c r="H124" s="640">
        <v>1</v>
      </c>
      <c r="I124" s="619"/>
      <c r="J124" s="619"/>
      <c r="K124" s="640">
        <v>0</v>
      </c>
      <c r="L124" s="619">
        <v>1</v>
      </c>
      <c r="M124" s="620">
        <v>29.84</v>
      </c>
    </row>
    <row r="125" spans="1:13" ht="14.4" customHeight="1" x14ac:dyDescent="0.3">
      <c r="A125" s="615" t="s">
        <v>484</v>
      </c>
      <c r="B125" s="616" t="s">
        <v>2813</v>
      </c>
      <c r="C125" s="616" t="s">
        <v>1975</v>
      </c>
      <c r="D125" s="616" t="s">
        <v>2817</v>
      </c>
      <c r="E125" s="616" t="s">
        <v>2649</v>
      </c>
      <c r="F125" s="619"/>
      <c r="G125" s="619"/>
      <c r="H125" s="640">
        <v>0</v>
      </c>
      <c r="I125" s="619">
        <v>1</v>
      </c>
      <c r="J125" s="619">
        <v>71.170000000000016</v>
      </c>
      <c r="K125" s="640">
        <v>1</v>
      </c>
      <c r="L125" s="619">
        <v>1</v>
      </c>
      <c r="M125" s="620">
        <v>71.170000000000016</v>
      </c>
    </row>
    <row r="126" spans="1:13" ht="14.4" customHeight="1" x14ac:dyDescent="0.3">
      <c r="A126" s="615" t="s">
        <v>484</v>
      </c>
      <c r="B126" s="616" t="s">
        <v>2818</v>
      </c>
      <c r="C126" s="616" t="s">
        <v>548</v>
      </c>
      <c r="D126" s="616" t="s">
        <v>2819</v>
      </c>
      <c r="E126" s="616" t="s">
        <v>2820</v>
      </c>
      <c r="F126" s="619">
        <v>1</v>
      </c>
      <c r="G126" s="619">
        <v>145.75</v>
      </c>
      <c r="H126" s="640">
        <v>1</v>
      </c>
      <c r="I126" s="619"/>
      <c r="J126" s="619"/>
      <c r="K126" s="640">
        <v>0</v>
      </c>
      <c r="L126" s="619">
        <v>1</v>
      </c>
      <c r="M126" s="620">
        <v>145.75</v>
      </c>
    </row>
    <row r="127" spans="1:13" ht="14.4" customHeight="1" x14ac:dyDescent="0.3">
      <c r="A127" s="615" t="s">
        <v>484</v>
      </c>
      <c r="B127" s="616" t="s">
        <v>2821</v>
      </c>
      <c r="C127" s="616" t="s">
        <v>518</v>
      </c>
      <c r="D127" s="616" t="s">
        <v>2822</v>
      </c>
      <c r="E127" s="616" t="s">
        <v>2823</v>
      </c>
      <c r="F127" s="619">
        <v>3</v>
      </c>
      <c r="G127" s="619">
        <v>206.34</v>
      </c>
      <c r="H127" s="640">
        <v>1</v>
      </c>
      <c r="I127" s="619"/>
      <c r="J127" s="619"/>
      <c r="K127" s="640">
        <v>0</v>
      </c>
      <c r="L127" s="619">
        <v>3</v>
      </c>
      <c r="M127" s="620">
        <v>206.34</v>
      </c>
    </row>
    <row r="128" spans="1:13" ht="14.4" customHeight="1" x14ac:dyDescent="0.3">
      <c r="A128" s="615" t="s">
        <v>484</v>
      </c>
      <c r="B128" s="616" t="s">
        <v>2824</v>
      </c>
      <c r="C128" s="616" t="s">
        <v>1952</v>
      </c>
      <c r="D128" s="616" t="s">
        <v>1953</v>
      </c>
      <c r="E128" s="616" t="s">
        <v>2825</v>
      </c>
      <c r="F128" s="619"/>
      <c r="G128" s="619"/>
      <c r="H128" s="640">
        <v>0</v>
      </c>
      <c r="I128" s="619">
        <v>1</v>
      </c>
      <c r="J128" s="619">
        <v>50.17</v>
      </c>
      <c r="K128" s="640">
        <v>1</v>
      </c>
      <c r="L128" s="619">
        <v>1</v>
      </c>
      <c r="M128" s="620">
        <v>50.17</v>
      </c>
    </row>
    <row r="129" spans="1:13" ht="14.4" customHeight="1" x14ac:dyDescent="0.3">
      <c r="A129" s="615" t="s">
        <v>484</v>
      </c>
      <c r="B129" s="616" t="s">
        <v>2824</v>
      </c>
      <c r="C129" s="616" t="s">
        <v>1896</v>
      </c>
      <c r="D129" s="616" t="s">
        <v>2826</v>
      </c>
      <c r="E129" s="616" t="s">
        <v>2827</v>
      </c>
      <c r="F129" s="619"/>
      <c r="G129" s="619"/>
      <c r="H129" s="640">
        <v>0</v>
      </c>
      <c r="I129" s="619">
        <v>36</v>
      </c>
      <c r="J129" s="619">
        <v>2862.1099751206966</v>
      </c>
      <c r="K129" s="640">
        <v>1</v>
      </c>
      <c r="L129" s="619">
        <v>36</v>
      </c>
      <c r="M129" s="620">
        <v>2862.1099751206966</v>
      </c>
    </row>
    <row r="130" spans="1:13" ht="14.4" customHeight="1" x14ac:dyDescent="0.3">
      <c r="A130" s="615" t="s">
        <v>484</v>
      </c>
      <c r="B130" s="616" t="s">
        <v>2828</v>
      </c>
      <c r="C130" s="616" t="s">
        <v>2044</v>
      </c>
      <c r="D130" s="616" t="s">
        <v>2829</v>
      </c>
      <c r="E130" s="616" t="s">
        <v>2830</v>
      </c>
      <c r="F130" s="619"/>
      <c r="G130" s="619"/>
      <c r="H130" s="640">
        <v>0</v>
      </c>
      <c r="I130" s="619">
        <v>1</v>
      </c>
      <c r="J130" s="619">
        <v>680.1</v>
      </c>
      <c r="K130" s="640">
        <v>1</v>
      </c>
      <c r="L130" s="619">
        <v>1</v>
      </c>
      <c r="M130" s="620">
        <v>680.1</v>
      </c>
    </row>
    <row r="131" spans="1:13" ht="14.4" customHeight="1" x14ac:dyDescent="0.3">
      <c r="A131" s="615" t="s">
        <v>484</v>
      </c>
      <c r="B131" s="616" t="s">
        <v>2831</v>
      </c>
      <c r="C131" s="616" t="s">
        <v>2064</v>
      </c>
      <c r="D131" s="616" t="s">
        <v>2832</v>
      </c>
      <c r="E131" s="616" t="s">
        <v>2833</v>
      </c>
      <c r="F131" s="619"/>
      <c r="G131" s="619"/>
      <c r="H131" s="640">
        <v>0</v>
      </c>
      <c r="I131" s="619">
        <v>1</v>
      </c>
      <c r="J131" s="619">
        <v>670.67000000000019</v>
      </c>
      <c r="K131" s="640">
        <v>1</v>
      </c>
      <c r="L131" s="619">
        <v>1</v>
      </c>
      <c r="M131" s="620">
        <v>670.67000000000019</v>
      </c>
    </row>
    <row r="132" spans="1:13" ht="14.4" customHeight="1" x14ac:dyDescent="0.3">
      <c r="A132" s="615" t="s">
        <v>484</v>
      </c>
      <c r="B132" s="616" t="s">
        <v>2834</v>
      </c>
      <c r="C132" s="616" t="s">
        <v>1900</v>
      </c>
      <c r="D132" s="616" t="s">
        <v>1901</v>
      </c>
      <c r="E132" s="616" t="s">
        <v>2649</v>
      </c>
      <c r="F132" s="619"/>
      <c r="G132" s="619"/>
      <c r="H132" s="640">
        <v>0</v>
      </c>
      <c r="I132" s="619">
        <v>5</v>
      </c>
      <c r="J132" s="619">
        <v>151.16000443733768</v>
      </c>
      <c r="K132" s="640">
        <v>1</v>
      </c>
      <c r="L132" s="619">
        <v>5</v>
      </c>
      <c r="M132" s="620">
        <v>151.16000443733768</v>
      </c>
    </row>
    <row r="133" spans="1:13" ht="14.4" customHeight="1" x14ac:dyDescent="0.3">
      <c r="A133" s="615" t="s">
        <v>484</v>
      </c>
      <c r="B133" s="616" t="s">
        <v>2835</v>
      </c>
      <c r="C133" s="616" t="s">
        <v>1986</v>
      </c>
      <c r="D133" s="616" t="s">
        <v>2836</v>
      </c>
      <c r="E133" s="616" t="s">
        <v>2837</v>
      </c>
      <c r="F133" s="619"/>
      <c r="G133" s="619"/>
      <c r="H133" s="640">
        <v>0</v>
      </c>
      <c r="I133" s="619">
        <v>2</v>
      </c>
      <c r="J133" s="619">
        <v>311.03999999999996</v>
      </c>
      <c r="K133" s="640">
        <v>1</v>
      </c>
      <c r="L133" s="619">
        <v>2</v>
      </c>
      <c r="M133" s="620">
        <v>311.03999999999996</v>
      </c>
    </row>
    <row r="134" spans="1:13" ht="14.4" customHeight="1" x14ac:dyDescent="0.3">
      <c r="A134" s="615" t="s">
        <v>484</v>
      </c>
      <c r="B134" s="616" t="s">
        <v>2835</v>
      </c>
      <c r="C134" s="616" t="s">
        <v>525</v>
      </c>
      <c r="D134" s="616" t="s">
        <v>526</v>
      </c>
      <c r="E134" s="616" t="s">
        <v>2838</v>
      </c>
      <c r="F134" s="619">
        <v>1</v>
      </c>
      <c r="G134" s="619">
        <v>107.27995296574204</v>
      </c>
      <c r="H134" s="640">
        <v>1</v>
      </c>
      <c r="I134" s="619"/>
      <c r="J134" s="619"/>
      <c r="K134" s="640">
        <v>0</v>
      </c>
      <c r="L134" s="619">
        <v>1</v>
      </c>
      <c r="M134" s="620">
        <v>107.27995296574204</v>
      </c>
    </row>
    <row r="135" spans="1:13" ht="14.4" customHeight="1" x14ac:dyDescent="0.3">
      <c r="A135" s="615" t="s">
        <v>484</v>
      </c>
      <c r="B135" s="616" t="s">
        <v>2839</v>
      </c>
      <c r="C135" s="616" t="s">
        <v>2108</v>
      </c>
      <c r="D135" s="616" t="s">
        <v>2109</v>
      </c>
      <c r="E135" s="616" t="s">
        <v>2110</v>
      </c>
      <c r="F135" s="619">
        <v>0.33339999999999997</v>
      </c>
      <c r="G135" s="619">
        <v>300.15668599999998</v>
      </c>
      <c r="H135" s="640">
        <v>1</v>
      </c>
      <c r="I135" s="619"/>
      <c r="J135" s="619"/>
      <c r="K135" s="640">
        <v>0</v>
      </c>
      <c r="L135" s="619">
        <v>0.33339999999999997</v>
      </c>
      <c r="M135" s="620">
        <v>300.15668599999998</v>
      </c>
    </row>
    <row r="136" spans="1:13" ht="14.4" customHeight="1" x14ac:dyDescent="0.3">
      <c r="A136" s="615" t="s">
        <v>484</v>
      </c>
      <c r="B136" s="616" t="s">
        <v>2839</v>
      </c>
      <c r="C136" s="616" t="s">
        <v>2166</v>
      </c>
      <c r="D136" s="616" t="s">
        <v>2146</v>
      </c>
      <c r="E136" s="616" t="s">
        <v>2164</v>
      </c>
      <c r="F136" s="619"/>
      <c r="G136" s="619"/>
      <c r="H136" s="640">
        <v>0</v>
      </c>
      <c r="I136" s="619">
        <v>72</v>
      </c>
      <c r="J136" s="619">
        <v>15617.519999999999</v>
      </c>
      <c r="K136" s="640">
        <v>1</v>
      </c>
      <c r="L136" s="619">
        <v>72</v>
      </c>
      <c r="M136" s="620">
        <v>15617.519999999999</v>
      </c>
    </row>
    <row r="137" spans="1:13" ht="14.4" customHeight="1" x14ac:dyDescent="0.3">
      <c r="A137" s="615" t="s">
        <v>484</v>
      </c>
      <c r="B137" s="616" t="s">
        <v>2839</v>
      </c>
      <c r="C137" s="616" t="s">
        <v>2170</v>
      </c>
      <c r="D137" s="616" t="s">
        <v>2171</v>
      </c>
      <c r="E137" s="616" t="s">
        <v>2840</v>
      </c>
      <c r="F137" s="619"/>
      <c r="G137" s="619"/>
      <c r="H137" s="640">
        <v>0</v>
      </c>
      <c r="I137" s="619">
        <v>1</v>
      </c>
      <c r="J137" s="619">
        <v>198.89</v>
      </c>
      <c r="K137" s="640">
        <v>1</v>
      </c>
      <c r="L137" s="619">
        <v>1</v>
      </c>
      <c r="M137" s="620">
        <v>198.89</v>
      </c>
    </row>
    <row r="138" spans="1:13" ht="14.4" customHeight="1" x14ac:dyDescent="0.3">
      <c r="A138" s="615" t="s">
        <v>484</v>
      </c>
      <c r="B138" s="616" t="s">
        <v>2839</v>
      </c>
      <c r="C138" s="616" t="s">
        <v>2149</v>
      </c>
      <c r="D138" s="616" t="s">
        <v>2150</v>
      </c>
      <c r="E138" s="616" t="s">
        <v>2113</v>
      </c>
      <c r="F138" s="619"/>
      <c r="G138" s="619"/>
      <c r="H138" s="640">
        <v>0</v>
      </c>
      <c r="I138" s="619">
        <v>60</v>
      </c>
      <c r="J138" s="619">
        <v>2455.2000000000007</v>
      </c>
      <c r="K138" s="640">
        <v>1</v>
      </c>
      <c r="L138" s="619">
        <v>60</v>
      </c>
      <c r="M138" s="620">
        <v>2455.2000000000007</v>
      </c>
    </row>
    <row r="139" spans="1:13" ht="14.4" customHeight="1" x14ac:dyDescent="0.3">
      <c r="A139" s="615" t="s">
        <v>484</v>
      </c>
      <c r="B139" s="616" t="s">
        <v>2839</v>
      </c>
      <c r="C139" s="616" t="s">
        <v>2152</v>
      </c>
      <c r="D139" s="616" t="s">
        <v>2153</v>
      </c>
      <c r="E139" s="616" t="s">
        <v>2113</v>
      </c>
      <c r="F139" s="619"/>
      <c r="G139" s="619"/>
      <c r="H139" s="640">
        <v>0</v>
      </c>
      <c r="I139" s="619">
        <v>136</v>
      </c>
      <c r="J139" s="619">
        <v>5565.1172888501305</v>
      </c>
      <c r="K139" s="640">
        <v>1</v>
      </c>
      <c r="L139" s="619">
        <v>136</v>
      </c>
      <c r="M139" s="620">
        <v>5565.1172888501305</v>
      </c>
    </row>
    <row r="140" spans="1:13" ht="14.4" customHeight="1" x14ac:dyDescent="0.3">
      <c r="A140" s="615" t="s">
        <v>484</v>
      </c>
      <c r="B140" s="616" t="s">
        <v>2839</v>
      </c>
      <c r="C140" s="616" t="s">
        <v>2155</v>
      </c>
      <c r="D140" s="616" t="s">
        <v>2841</v>
      </c>
      <c r="E140" s="616" t="s">
        <v>2113</v>
      </c>
      <c r="F140" s="619"/>
      <c r="G140" s="619"/>
      <c r="H140" s="640">
        <v>0</v>
      </c>
      <c r="I140" s="619">
        <v>37</v>
      </c>
      <c r="J140" s="619">
        <v>1523.6600000000003</v>
      </c>
      <c r="K140" s="640">
        <v>1</v>
      </c>
      <c r="L140" s="619">
        <v>37</v>
      </c>
      <c r="M140" s="620">
        <v>1523.6600000000003</v>
      </c>
    </row>
    <row r="141" spans="1:13" ht="14.4" customHeight="1" x14ac:dyDescent="0.3">
      <c r="A141" s="615" t="s">
        <v>484</v>
      </c>
      <c r="B141" s="616" t="s">
        <v>2839</v>
      </c>
      <c r="C141" s="616" t="s">
        <v>2158</v>
      </c>
      <c r="D141" s="616" t="s">
        <v>2842</v>
      </c>
      <c r="E141" s="616" t="s">
        <v>2113</v>
      </c>
      <c r="F141" s="619"/>
      <c r="G141" s="619"/>
      <c r="H141" s="640">
        <v>0</v>
      </c>
      <c r="I141" s="619">
        <v>36</v>
      </c>
      <c r="J141" s="619">
        <v>1482.48</v>
      </c>
      <c r="K141" s="640">
        <v>1</v>
      </c>
      <c r="L141" s="619">
        <v>36</v>
      </c>
      <c r="M141" s="620">
        <v>1482.48</v>
      </c>
    </row>
    <row r="142" spans="1:13" ht="14.4" customHeight="1" x14ac:dyDescent="0.3">
      <c r="A142" s="615" t="s">
        <v>484</v>
      </c>
      <c r="B142" s="616" t="s">
        <v>2839</v>
      </c>
      <c r="C142" s="616" t="s">
        <v>2106</v>
      </c>
      <c r="D142" s="616" t="s">
        <v>2843</v>
      </c>
      <c r="E142" s="616" t="s">
        <v>2844</v>
      </c>
      <c r="F142" s="619">
        <v>3</v>
      </c>
      <c r="G142" s="619">
        <v>549.60749999999996</v>
      </c>
      <c r="H142" s="640">
        <v>1</v>
      </c>
      <c r="I142" s="619"/>
      <c r="J142" s="619"/>
      <c r="K142" s="640">
        <v>0</v>
      </c>
      <c r="L142" s="619">
        <v>3</v>
      </c>
      <c r="M142" s="620">
        <v>549.60749999999996</v>
      </c>
    </row>
    <row r="143" spans="1:13" ht="14.4" customHeight="1" x14ac:dyDescent="0.3">
      <c r="A143" s="615" t="s">
        <v>484</v>
      </c>
      <c r="B143" s="616" t="s">
        <v>2839</v>
      </c>
      <c r="C143" s="616" t="s">
        <v>2185</v>
      </c>
      <c r="D143" s="616" t="s">
        <v>2186</v>
      </c>
      <c r="E143" s="616" t="s">
        <v>2162</v>
      </c>
      <c r="F143" s="619"/>
      <c r="G143" s="619"/>
      <c r="H143" s="640">
        <v>0</v>
      </c>
      <c r="I143" s="619">
        <v>12</v>
      </c>
      <c r="J143" s="619">
        <v>1627.1982138913063</v>
      </c>
      <c r="K143" s="640">
        <v>1</v>
      </c>
      <c r="L143" s="619">
        <v>12</v>
      </c>
      <c r="M143" s="620">
        <v>1627.1982138913063</v>
      </c>
    </row>
    <row r="144" spans="1:13" ht="14.4" customHeight="1" x14ac:dyDescent="0.3">
      <c r="A144" s="615" t="s">
        <v>484</v>
      </c>
      <c r="B144" s="616" t="s">
        <v>2839</v>
      </c>
      <c r="C144" s="616" t="s">
        <v>2173</v>
      </c>
      <c r="D144" s="616" t="s">
        <v>2143</v>
      </c>
      <c r="E144" s="616" t="s">
        <v>2174</v>
      </c>
      <c r="F144" s="619"/>
      <c r="G144" s="619"/>
      <c r="H144" s="640">
        <v>0</v>
      </c>
      <c r="I144" s="619">
        <v>144</v>
      </c>
      <c r="J144" s="619">
        <v>19962.720421967388</v>
      </c>
      <c r="K144" s="640">
        <v>1</v>
      </c>
      <c r="L144" s="619">
        <v>144</v>
      </c>
      <c r="M144" s="620">
        <v>19962.720421967388</v>
      </c>
    </row>
    <row r="145" spans="1:13" ht="14.4" customHeight="1" x14ac:dyDescent="0.3">
      <c r="A145" s="615" t="s">
        <v>484</v>
      </c>
      <c r="B145" s="616" t="s">
        <v>2839</v>
      </c>
      <c r="C145" s="616" t="s">
        <v>2163</v>
      </c>
      <c r="D145" s="616" t="s">
        <v>2143</v>
      </c>
      <c r="E145" s="616" t="s">
        <v>2164</v>
      </c>
      <c r="F145" s="619"/>
      <c r="G145" s="619"/>
      <c r="H145" s="640">
        <v>0</v>
      </c>
      <c r="I145" s="619">
        <v>16</v>
      </c>
      <c r="J145" s="619">
        <v>870.07970108680991</v>
      </c>
      <c r="K145" s="640">
        <v>1</v>
      </c>
      <c r="L145" s="619">
        <v>16</v>
      </c>
      <c r="M145" s="620">
        <v>870.07970108680991</v>
      </c>
    </row>
    <row r="146" spans="1:13" ht="14.4" customHeight="1" x14ac:dyDescent="0.3">
      <c r="A146" s="615" t="s">
        <v>484</v>
      </c>
      <c r="B146" s="616" t="s">
        <v>2839</v>
      </c>
      <c r="C146" s="616" t="s">
        <v>2116</v>
      </c>
      <c r="D146" s="616" t="s">
        <v>2845</v>
      </c>
      <c r="E146" s="616" t="s">
        <v>2113</v>
      </c>
      <c r="F146" s="619">
        <v>27</v>
      </c>
      <c r="G146" s="619">
        <v>734.33221448523966</v>
      </c>
      <c r="H146" s="640">
        <v>1</v>
      </c>
      <c r="I146" s="619"/>
      <c r="J146" s="619"/>
      <c r="K146" s="640">
        <v>0</v>
      </c>
      <c r="L146" s="619">
        <v>27</v>
      </c>
      <c r="M146" s="620">
        <v>734.33221448523966</v>
      </c>
    </row>
    <row r="147" spans="1:13" ht="14.4" customHeight="1" x14ac:dyDescent="0.3">
      <c r="A147" s="615" t="s">
        <v>484</v>
      </c>
      <c r="B147" s="616" t="s">
        <v>2839</v>
      </c>
      <c r="C147" s="616" t="s">
        <v>2111</v>
      </c>
      <c r="D147" s="616" t="s">
        <v>2846</v>
      </c>
      <c r="E147" s="616" t="s">
        <v>2113</v>
      </c>
      <c r="F147" s="619">
        <v>22</v>
      </c>
      <c r="G147" s="619">
        <v>598.36701168950435</v>
      </c>
      <c r="H147" s="640">
        <v>1</v>
      </c>
      <c r="I147" s="619"/>
      <c r="J147" s="619"/>
      <c r="K147" s="640">
        <v>0</v>
      </c>
      <c r="L147" s="619">
        <v>22</v>
      </c>
      <c r="M147" s="620">
        <v>598.36701168950435</v>
      </c>
    </row>
    <row r="148" spans="1:13" ht="14.4" customHeight="1" x14ac:dyDescent="0.3">
      <c r="A148" s="615" t="s">
        <v>484</v>
      </c>
      <c r="B148" s="616" t="s">
        <v>2839</v>
      </c>
      <c r="C148" s="616" t="s">
        <v>2114</v>
      </c>
      <c r="D148" s="616" t="s">
        <v>2847</v>
      </c>
      <c r="E148" s="616" t="s">
        <v>2113</v>
      </c>
      <c r="F148" s="619">
        <v>36</v>
      </c>
      <c r="G148" s="619">
        <v>979.02938132193287</v>
      </c>
      <c r="H148" s="640">
        <v>1</v>
      </c>
      <c r="I148" s="619"/>
      <c r="J148" s="619"/>
      <c r="K148" s="640">
        <v>0</v>
      </c>
      <c r="L148" s="619">
        <v>36</v>
      </c>
      <c r="M148" s="620">
        <v>979.02938132193287</v>
      </c>
    </row>
    <row r="149" spans="1:13" ht="14.4" customHeight="1" x14ac:dyDescent="0.3">
      <c r="A149" s="615" t="s">
        <v>484</v>
      </c>
      <c r="B149" s="616" t="s">
        <v>2839</v>
      </c>
      <c r="C149" s="616" t="s">
        <v>2118</v>
      </c>
      <c r="D149" s="616" t="s">
        <v>2848</v>
      </c>
      <c r="E149" s="616" t="s">
        <v>2113</v>
      </c>
      <c r="F149" s="619">
        <v>18</v>
      </c>
      <c r="G149" s="619">
        <v>489.50000000000006</v>
      </c>
      <c r="H149" s="640">
        <v>1</v>
      </c>
      <c r="I149" s="619"/>
      <c r="J149" s="619"/>
      <c r="K149" s="640">
        <v>0</v>
      </c>
      <c r="L149" s="619">
        <v>18</v>
      </c>
      <c r="M149" s="620">
        <v>489.50000000000006</v>
      </c>
    </row>
    <row r="150" spans="1:13" ht="14.4" customHeight="1" x14ac:dyDescent="0.3">
      <c r="A150" s="615" t="s">
        <v>484</v>
      </c>
      <c r="B150" s="616" t="s">
        <v>2839</v>
      </c>
      <c r="C150" s="616" t="s">
        <v>2160</v>
      </c>
      <c r="D150" s="616" t="s">
        <v>2161</v>
      </c>
      <c r="E150" s="616" t="s">
        <v>2162</v>
      </c>
      <c r="F150" s="619"/>
      <c r="G150" s="619"/>
      <c r="H150" s="640">
        <v>0</v>
      </c>
      <c r="I150" s="619">
        <v>1</v>
      </c>
      <c r="J150" s="619">
        <v>148.96</v>
      </c>
      <c r="K150" s="640">
        <v>1</v>
      </c>
      <c r="L150" s="619">
        <v>1</v>
      </c>
      <c r="M150" s="620">
        <v>148.96</v>
      </c>
    </row>
    <row r="151" spans="1:13" ht="14.4" customHeight="1" x14ac:dyDescent="0.3">
      <c r="A151" s="615" t="s">
        <v>484</v>
      </c>
      <c r="B151" s="616" t="s">
        <v>2839</v>
      </c>
      <c r="C151" s="616" t="s">
        <v>2188</v>
      </c>
      <c r="D151" s="616" t="s">
        <v>2189</v>
      </c>
      <c r="E151" s="616" t="s">
        <v>2849</v>
      </c>
      <c r="F151" s="619"/>
      <c r="G151" s="619"/>
      <c r="H151" s="640">
        <v>0</v>
      </c>
      <c r="I151" s="619">
        <v>20</v>
      </c>
      <c r="J151" s="619">
        <v>2239.0005241242493</v>
      </c>
      <c r="K151" s="640">
        <v>1</v>
      </c>
      <c r="L151" s="619">
        <v>20</v>
      </c>
      <c r="M151" s="620">
        <v>2239.0005241242493</v>
      </c>
    </row>
    <row r="152" spans="1:13" ht="14.4" customHeight="1" x14ac:dyDescent="0.3">
      <c r="A152" s="615" t="s">
        <v>484</v>
      </c>
      <c r="B152" s="616" t="s">
        <v>2839</v>
      </c>
      <c r="C152" s="616" t="s">
        <v>2175</v>
      </c>
      <c r="D152" s="616" t="s">
        <v>2176</v>
      </c>
      <c r="E152" s="616" t="s">
        <v>2849</v>
      </c>
      <c r="F152" s="619"/>
      <c r="G152" s="619"/>
      <c r="H152" s="640">
        <v>0</v>
      </c>
      <c r="I152" s="619">
        <v>17</v>
      </c>
      <c r="J152" s="619">
        <v>1903.1506921292648</v>
      </c>
      <c r="K152" s="640">
        <v>1</v>
      </c>
      <c r="L152" s="619">
        <v>17</v>
      </c>
      <c r="M152" s="620">
        <v>1903.1506921292648</v>
      </c>
    </row>
    <row r="153" spans="1:13" ht="14.4" customHeight="1" x14ac:dyDescent="0.3">
      <c r="A153" s="615" t="s">
        <v>484</v>
      </c>
      <c r="B153" s="616" t="s">
        <v>2839</v>
      </c>
      <c r="C153" s="616" t="s">
        <v>2178</v>
      </c>
      <c r="D153" s="616" t="s">
        <v>2179</v>
      </c>
      <c r="E153" s="616" t="s">
        <v>2849</v>
      </c>
      <c r="F153" s="619"/>
      <c r="G153" s="619"/>
      <c r="H153" s="640">
        <v>0</v>
      </c>
      <c r="I153" s="619">
        <v>16</v>
      </c>
      <c r="J153" s="619">
        <v>1791.1998559678052</v>
      </c>
      <c r="K153" s="640">
        <v>1</v>
      </c>
      <c r="L153" s="619">
        <v>16</v>
      </c>
      <c r="M153" s="620">
        <v>1791.1998559678052</v>
      </c>
    </row>
    <row r="154" spans="1:13" ht="14.4" customHeight="1" x14ac:dyDescent="0.3">
      <c r="A154" s="615" t="s">
        <v>484</v>
      </c>
      <c r="B154" s="616" t="s">
        <v>2839</v>
      </c>
      <c r="C154" s="616" t="s">
        <v>2181</v>
      </c>
      <c r="D154" s="616" t="s">
        <v>2850</v>
      </c>
      <c r="E154" s="616" t="s">
        <v>2849</v>
      </c>
      <c r="F154" s="619"/>
      <c r="G154" s="619"/>
      <c r="H154" s="640">
        <v>0</v>
      </c>
      <c r="I154" s="619">
        <v>14</v>
      </c>
      <c r="J154" s="619">
        <v>1567.3000493714785</v>
      </c>
      <c r="K154" s="640">
        <v>1</v>
      </c>
      <c r="L154" s="619">
        <v>14</v>
      </c>
      <c r="M154" s="620">
        <v>1567.3000493714785</v>
      </c>
    </row>
    <row r="155" spans="1:13" ht="14.4" customHeight="1" x14ac:dyDescent="0.3">
      <c r="A155" s="615" t="s">
        <v>484</v>
      </c>
      <c r="B155" s="616" t="s">
        <v>2839</v>
      </c>
      <c r="C155" s="616" t="s">
        <v>2193</v>
      </c>
      <c r="D155" s="616" t="s">
        <v>2194</v>
      </c>
      <c r="E155" s="616" t="s">
        <v>2192</v>
      </c>
      <c r="F155" s="619"/>
      <c r="G155" s="619"/>
      <c r="H155" s="640">
        <v>0</v>
      </c>
      <c r="I155" s="619">
        <v>32</v>
      </c>
      <c r="J155" s="619">
        <v>3926.0800000000004</v>
      </c>
      <c r="K155" s="640">
        <v>1</v>
      </c>
      <c r="L155" s="619">
        <v>32</v>
      </c>
      <c r="M155" s="620">
        <v>3926.0800000000004</v>
      </c>
    </row>
    <row r="156" spans="1:13" ht="14.4" customHeight="1" x14ac:dyDescent="0.3">
      <c r="A156" s="615" t="s">
        <v>484</v>
      </c>
      <c r="B156" s="616" t="s">
        <v>2839</v>
      </c>
      <c r="C156" s="616" t="s">
        <v>2190</v>
      </c>
      <c r="D156" s="616" t="s">
        <v>2191</v>
      </c>
      <c r="E156" s="616" t="s">
        <v>2192</v>
      </c>
      <c r="F156" s="619"/>
      <c r="G156" s="619"/>
      <c r="H156" s="640">
        <v>0</v>
      </c>
      <c r="I156" s="619">
        <v>38</v>
      </c>
      <c r="J156" s="619">
        <v>4662.245585661778</v>
      </c>
      <c r="K156" s="640">
        <v>1</v>
      </c>
      <c r="L156" s="619">
        <v>38</v>
      </c>
      <c r="M156" s="620">
        <v>4662.245585661778</v>
      </c>
    </row>
    <row r="157" spans="1:13" ht="14.4" customHeight="1" x14ac:dyDescent="0.3">
      <c r="A157" s="615" t="s">
        <v>484</v>
      </c>
      <c r="B157" s="616" t="s">
        <v>2839</v>
      </c>
      <c r="C157" s="616" t="s">
        <v>2195</v>
      </c>
      <c r="D157" s="616" t="s">
        <v>2196</v>
      </c>
      <c r="E157" s="616" t="s">
        <v>2192</v>
      </c>
      <c r="F157" s="619"/>
      <c r="G157" s="619"/>
      <c r="H157" s="640">
        <v>0</v>
      </c>
      <c r="I157" s="619">
        <v>44</v>
      </c>
      <c r="J157" s="619">
        <v>5718.6803691487876</v>
      </c>
      <c r="K157" s="640">
        <v>1</v>
      </c>
      <c r="L157" s="619">
        <v>44</v>
      </c>
      <c r="M157" s="620">
        <v>5718.6803691487876</v>
      </c>
    </row>
    <row r="158" spans="1:13" ht="14.4" customHeight="1" x14ac:dyDescent="0.3">
      <c r="A158" s="615" t="s">
        <v>484</v>
      </c>
      <c r="B158" s="616" t="s">
        <v>2839</v>
      </c>
      <c r="C158" s="616" t="s">
        <v>2200</v>
      </c>
      <c r="D158" s="616" t="s">
        <v>2201</v>
      </c>
      <c r="E158" s="616" t="s">
        <v>2113</v>
      </c>
      <c r="F158" s="619"/>
      <c r="G158" s="619"/>
      <c r="H158" s="640">
        <v>0</v>
      </c>
      <c r="I158" s="619">
        <v>8</v>
      </c>
      <c r="J158" s="619">
        <v>245.36000000000004</v>
      </c>
      <c r="K158" s="640">
        <v>1</v>
      </c>
      <c r="L158" s="619">
        <v>8</v>
      </c>
      <c r="M158" s="620">
        <v>245.36000000000004</v>
      </c>
    </row>
    <row r="159" spans="1:13" ht="14.4" customHeight="1" thickBot="1" x14ac:dyDescent="0.35">
      <c r="A159" s="621" t="s">
        <v>484</v>
      </c>
      <c r="B159" s="622" t="s">
        <v>2839</v>
      </c>
      <c r="C159" s="622" t="s">
        <v>2197</v>
      </c>
      <c r="D159" s="622" t="s">
        <v>2198</v>
      </c>
      <c r="E159" s="622" t="s">
        <v>2113</v>
      </c>
      <c r="F159" s="625"/>
      <c r="G159" s="625"/>
      <c r="H159" s="633">
        <v>0</v>
      </c>
      <c r="I159" s="625">
        <v>8</v>
      </c>
      <c r="J159" s="625">
        <v>245.36</v>
      </c>
      <c r="K159" s="633">
        <v>1</v>
      </c>
      <c r="L159" s="625">
        <v>8</v>
      </c>
      <c r="M159" s="626">
        <v>245.36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5" customWidth="1"/>
    <col min="2" max="2" width="5.44140625" style="318" bestFit="1" customWidth="1"/>
    <col min="3" max="3" width="6.109375" style="318" bestFit="1" customWidth="1"/>
    <col min="4" max="4" width="7.44140625" style="318" bestFit="1" customWidth="1"/>
    <col min="5" max="5" width="6.21875" style="318" bestFit="1" customWidth="1"/>
    <col min="6" max="6" width="6.33203125" style="321" bestFit="1" customWidth="1"/>
    <col min="7" max="7" width="6.109375" style="321" bestFit="1" customWidth="1"/>
    <col min="8" max="8" width="7.44140625" style="321" bestFit="1" customWidth="1"/>
    <col min="9" max="9" width="6.21875" style="321" bestFit="1" customWidth="1"/>
    <col min="10" max="10" width="5.44140625" style="318" bestFit="1" customWidth="1"/>
    <col min="11" max="11" width="6.109375" style="318" bestFit="1" customWidth="1"/>
    <col min="12" max="12" width="7.44140625" style="318" bestFit="1" customWidth="1"/>
    <col min="13" max="13" width="6.21875" style="318" bestFit="1" customWidth="1"/>
    <col min="14" max="14" width="5.33203125" style="321" bestFit="1" customWidth="1"/>
    <col min="15" max="15" width="6.109375" style="321" bestFit="1" customWidth="1"/>
    <col min="16" max="16" width="7.44140625" style="321" bestFit="1" customWidth="1"/>
    <col min="17" max="17" width="6.21875" style="321" bestFit="1" customWidth="1"/>
    <col min="18" max="16384" width="8.88671875" style="238"/>
  </cols>
  <sheetData>
    <row r="1" spans="1:17" ht="18.600000000000001" customHeight="1" thickBot="1" x14ac:dyDescent="0.4">
      <c r="A1" s="492" t="s">
        <v>232</v>
      </c>
      <c r="B1" s="492"/>
      <c r="C1" s="492"/>
      <c r="D1" s="492"/>
      <c r="E1" s="492"/>
      <c r="F1" s="455"/>
      <c r="G1" s="455"/>
      <c r="H1" s="455"/>
      <c r="I1" s="455"/>
      <c r="J1" s="485"/>
      <c r="K1" s="485"/>
      <c r="L1" s="485"/>
      <c r="M1" s="485"/>
      <c r="N1" s="485"/>
      <c r="O1" s="485"/>
      <c r="P1" s="485"/>
      <c r="Q1" s="485"/>
    </row>
    <row r="2" spans="1:17" ht="14.4" customHeight="1" thickBot="1" x14ac:dyDescent="0.35">
      <c r="A2" s="360" t="s">
        <v>280</v>
      </c>
      <c r="B2" s="325"/>
      <c r="C2" s="325"/>
      <c r="D2" s="325"/>
      <c r="E2" s="325"/>
    </row>
    <row r="3" spans="1:17" ht="14.4" customHeight="1" thickBot="1" x14ac:dyDescent="0.35">
      <c r="A3" s="434" t="s">
        <v>3</v>
      </c>
      <c r="B3" s="438">
        <f>SUM(B6:B1048576)</f>
        <v>2779</v>
      </c>
      <c r="C3" s="439">
        <f>SUM(C6:C1048576)</f>
        <v>1117</v>
      </c>
      <c r="D3" s="439">
        <f>SUM(D6:D1048576)</f>
        <v>1603</v>
      </c>
      <c r="E3" s="440">
        <f>SUM(E6:E1048576)</f>
        <v>0</v>
      </c>
      <c r="F3" s="437">
        <f>IF(SUM($B3:$E3)=0,"",B3/SUM($B3:$E3))</f>
        <v>0.50536461174759051</v>
      </c>
      <c r="G3" s="435">
        <f t="shared" ref="G3:I3" si="0">IF(SUM($B3:$E3)=0,"",C3/SUM($B3:$E3))</f>
        <v>0.20312784142571377</v>
      </c>
      <c r="H3" s="435">
        <f t="shared" si="0"/>
        <v>0.29150754682669577</v>
      </c>
      <c r="I3" s="436">
        <f t="shared" si="0"/>
        <v>0</v>
      </c>
      <c r="J3" s="439">
        <f>SUM(J6:J1048576)</f>
        <v>168</v>
      </c>
      <c r="K3" s="439">
        <f>SUM(K6:K1048576)</f>
        <v>412</v>
      </c>
      <c r="L3" s="439">
        <f>SUM(L6:L1048576)</f>
        <v>1603</v>
      </c>
      <c r="M3" s="440">
        <f>SUM(M6:M1048576)</f>
        <v>0</v>
      </c>
      <c r="N3" s="437">
        <f>IF(SUM($J3:$M3)=0,"",J3/SUM($J3:$M3))</f>
        <v>7.6958314246449847E-2</v>
      </c>
      <c r="O3" s="435">
        <f t="shared" ref="O3:Q3" si="1">IF(SUM($J3:$M3)=0,"",K3/SUM($J3:$M3))</f>
        <v>0.18873110398534126</v>
      </c>
      <c r="P3" s="435">
        <f t="shared" si="1"/>
        <v>0.73431058176820885</v>
      </c>
      <c r="Q3" s="436">
        <f t="shared" si="1"/>
        <v>0</v>
      </c>
    </row>
    <row r="4" spans="1:17" ht="14.4" customHeight="1" thickBot="1" x14ac:dyDescent="0.35">
      <c r="A4" s="433"/>
      <c r="B4" s="505" t="s">
        <v>234</v>
      </c>
      <c r="C4" s="506"/>
      <c r="D4" s="506"/>
      <c r="E4" s="507"/>
      <c r="F4" s="502" t="s">
        <v>239</v>
      </c>
      <c r="G4" s="503"/>
      <c r="H4" s="503"/>
      <c r="I4" s="504"/>
      <c r="J4" s="505" t="s">
        <v>240</v>
      </c>
      <c r="K4" s="506"/>
      <c r="L4" s="506"/>
      <c r="M4" s="507"/>
      <c r="N4" s="502" t="s">
        <v>241</v>
      </c>
      <c r="O4" s="503"/>
      <c r="P4" s="503"/>
      <c r="Q4" s="504"/>
    </row>
    <row r="5" spans="1:17" ht="14.4" customHeight="1" thickBot="1" x14ac:dyDescent="0.35">
      <c r="A5" s="650" t="s">
        <v>233</v>
      </c>
      <c r="B5" s="651" t="s">
        <v>235</v>
      </c>
      <c r="C5" s="651" t="s">
        <v>236</v>
      </c>
      <c r="D5" s="651" t="s">
        <v>237</v>
      </c>
      <c r="E5" s="652" t="s">
        <v>238</v>
      </c>
      <c r="F5" s="653" t="s">
        <v>235</v>
      </c>
      <c r="G5" s="654" t="s">
        <v>236</v>
      </c>
      <c r="H5" s="654" t="s">
        <v>237</v>
      </c>
      <c r="I5" s="655" t="s">
        <v>238</v>
      </c>
      <c r="J5" s="651" t="s">
        <v>235</v>
      </c>
      <c r="K5" s="651" t="s">
        <v>236</v>
      </c>
      <c r="L5" s="651" t="s">
        <v>237</v>
      </c>
      <c r="M5" s="652" t="s">
        <v>238</v>
      </c>
      <c r="N5" s="653" t="s">
        <v>235</v>
      </c>
      <c r="O5" s="654" t="s">
        <v>236</v>
      </c>
      <c r="P5" s="654" t="s">
        <v>237</v>
      </c>
      <c r="Q5" s="655" t="s">
        <v>238</v>
      </c>
    </row>
    <row r="6" spans="1:17" ht="14.4" customHeight="1" x14ac:dyDescent="0.3">
      <c r="A6" s="658" t="s">
        <v>2852</v>
      </c>
      <c r="B6" s="662"/>
      <c r="C6" s="613"/>
      <c r="D6" s="613"/>
      <c r="E6" s="614"/>
      <c r="F6" s="660"/>
      <c r="G6" s="632"/>
      <c r="H6" s="632"/>
      <c r="I6" s="664"/>
      <c r="J6" s="662"/>
      <c r="K6" s="613"/>
      <c r="L6" s="613"/>
      <c r="M6" s="614"/>
      <c r="N6" s="660"/>
      <c r="O6" s="632"/>
      <c r="P6" s="632"/>
      <c r="Q6" s="656"/>
    </row>
    <row r="7" spans="1:17" ht="14.4" customHeight="1" thickBot="1" x14ac:dyDescent="0.35">
      <c r="A7" s="659" t="s">
        <v>2853</v>
      </c>
      <c r="B7" s="663">
        <v>2779</v>
      </c>
      <c r="C7" s="625">
        <v>1117</v>
      </c>
      <c r="D7" s="625">
        <v>1603</v>
      </c>
      <c r="E7" s="626"/>
      <c r="F7" s="661">
        <v>0.50536461174759051</v>
      </c>
      <c r="G7" s="633">
        <v>0.20312784142571377</v>
      </c>
      <c r="H7" s="633">
        <v>0.29150754682669577</v>
      </c>
      <c r="I7" s="665">
        <v>0</v>
      </c>
      <c r="J7" s="663">
        <v>168</v>
      </c>
      <c r="K7" s="625">
        <v>412</v>
      </c>
      <c r="L7" s="625">
        <v>1603</v>
      </c>
      <c r="M7" s="626"/>
      <c r="N7" s="661">
        <v>7.6958314246449847E-2</v>
      </c>
      <c r="O7" s="633">
        <v>0.18873110398534126</v>
      </c>
      <c r="P7" s="633">
        <v>0.73431058176820885</v>
      </c>
      <c r="Q7" s="65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19" customWidth="1"/>
    <col min="2" max="2" width="61.109375" style="319" customWidth="1"/>
    <col min="3" max="3" width="9.5546875" style="238" customWidth="1"/>
    <col min="4" max="4" width="9.5546875" style="320" customWidth="1"/>
    <col min="5" max="5" width="2.21875" style="320" customWidth="1"/>
    <col min="6" max="6" width="9.5546875" style="321" customWidth="1"/>
    <col min="7" max="7" width="9.5546875" style="318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3" t="s">
        <v>159</v>
      </c>
      <c r="B1" s="484"/>
      <c r="C1" s="484"/>
      <c r="D1" s="484"/>
      <c r="E1" s="484"/>
      <c r="F1" s="484"/>
      <c r="G1" s="455"/>
      <c r="H1" s="485"/>
      <c r="I1" s="485"/>
    </row>
    <row r="2" spans="1:10" ht="14.4" customHeight="1" thickBot="1" x14ac:dyDescent="0.35">
      <c r="A2" s="360" t="s">
        <v>280</v>
      </c>
      <c r="B2" s="317"/>
      <c r="C2" s="317"/>
      <c r="D2" s="317"/>
      <c r="E2" s="317"/>
      <c r="F2" s="317"/>
    </row>
    <row r="3" spans="1:10" ht="14.4" customHeight="1" thickBot="1" x14ac:dyDescent="0.35">
      <c r="A3" s="360"/>
      <c r="B3" s="317"/>
      <c r="C3" s="420">
        <v>2014</v>
      </c>
      <c r="D3" s="421">
        <v>2015</v>
      </c>
      <c r="E3" s="11"/>
      <c r="F3" s="478">
        <v>2016</v>
      </c>
      <c r="G3" s="479"/>
      <c r="H3" s="479"/>
      <c r="I3" s="480"/>
    </row>
    <row r="4" spans="1:10" ht="14.4" customHeight="1" thickBot="1" x14ac:dyDescent="0.35">
      <c r="A4" s="425" t="s">
        <v>0</v>
      </c>
      <c r="B4" s="426" t="s">
        <v>229</v>
      </c>
      <c r="C4" s="481" t="s">
        <v>81</v>
      </c>
      <c r="D4" s="482"/>
      <c r="E4" s="427"/>
      <c r="F4" s="422" t="s">
        <v>81</v>
      </c>
      <c r="G4" s="423" t="s">
        <v>82</v>
      </c>
      <c r="H4" s="423" t="s">
        <v>56</v>
      </c>
      <c r="I4" s="424" t="s">
        <v>83</v>
      </c>
    </row>
    <row r="5" spans="1:10" ht="14.4" customHeight="1" x14ac:dyDescent="0.3">
      <c r="A5" s="597" t="s">
        <v>479</v>
      </c>
      <c r="B5" s="598" t="s">
        <v>480</v>
      </c>
      <c r="C5" s="599" t="s">
        <v>481</v>
      </c>
      <c r="D5" s="599" t="s">
        <v>481</v>
      </c>
      <c r="E5" s="599"/>
      <c r="F5" s="599" t="s">
        <v>481</v>
      </c>
      <c r="G5" s="599" t="s">
        <v>481</v>
      </c>
      <c r="H5" s="599" t="s">
        <v>481</v>
      </c>
      <c r="I5" s="600" t="s">
        <v>481</v>
      </c>
      <c r="J5" s="601" t="s">
        <v>61</v>
      </c>
    </row>
    <row r="6" spans="1:10" ht="14.4" customHeight="1" x14ac:dyDescent="0.3">
      <c r="A6" s="597" t="s">
        <v>479</v>
      </c>
      <c r="B6" s="598" t="s">
        <v>303</v>
      </c>
      <c r="C6" s="599">
        <v>343.69386999999995</v>
      </c>
      <c r="D6" s="599">
        <v>551.10703999999987</v>
      </c>
      <c r="E6" s="599"/>
      <c r="F6" s="599">
        <v>578.27326999999991</v>
      </c>
      <c r="G6" s="599">
        <v>600.00005416769102</v>
      </c>
      <c r="H6" s="599">
        <v>-21.726784167691108</v>
      </c>
      <c r="I6" s="600">
        <v>0.96378869632298603</v>
      </c>
      <c r="J6" s="601" t="s">
        <v>1</v>
      </c>
    </row>
    <row r="7" spans="1:10" ht="14.4" customHeight="1" x14ac:dyDescent="0.3">
      <c r="A7" s="597" t="s">
        <v>479</v>
      </c>
      <c r="B7" s="598" t="s">
        <v>304</v>
      </c>
      <c r="C7" s="599">
        <v>0.36951999999999996</v>
      </c>
      <c r="D7" s="599">
        <v>1.1046899999999999</v>
      </c>
      <c r="E7" s="599"/>
      <c r="F7" s="599">
        <v>0.24743999999999999</v>
      </c>
      <c r="G7" s="599">
        <v>1.0000000902790001</v>
      </c>
      <c r="H7" s="599">
        <v>-0.75256009027900006</v>
      </c>
      <c r="I7" s="600">
        <v>0.24743997766136624</v>
      </c>
      <c r="J7" s="601" t="s">
        <v>1</v>
      </c>
    </row>
    <row r="8" spans="1:10" ht="14.4" customHeight="1" x14ac:dyDescent="0.3">
      <c r="A8" s="597" t="s">
        <v>479</v>
      </c>
      <c r="B8" s="598" t="s">
        <v>305</v>
      </c>
      <c r="C8" s="599">
        <v>374.51211999999992</v>
      </c>
      <c r="D8" s="599">
        <v>372.94107999999994</v>
      </c>
      <c r="E8" s="599"/>
      <c r="F8" s="599">
        <v>390.47676000000007</v>
      </c>
      <c r="G8" s="599">
        <v>380.00003430620399</v>
      </c>
      <c r="H8" s="599">
        <v>10.476725693796084</v>
      </c>
      <c r="I8" s="600">
        <v>1.0275703282841127</v>
      </c>
      <c r="J8" s="601" t="s">
        <v>1</v>
      </c>
    </row>
    <row r="9" spans="1:10" ht="14.4" customHeight="1" x14ac:dyDescent="0.3">
      <c r="A9" s="597" t="s">
        <v>479</v>
      </c>
      <c r="B9" s="598" t="s">
        <v>306</v>
      </c>
      <c r="C9" s="599">
        <v>2001.1269800000009</v>
      </c>
      <c r="D9" s="599">
        <v>2281.1239400000009</v>
      </c>
      <c r="E9" s="599"/>
      <c r="F9" s="599">
        <v>2071.8252700000012</v>
      </c>
      <c r="G9" s="599">
        <v>2253.0002033996798</v>
      </c>
      <c r="H9" s="599">
        <v>-181.17493339967859</v>
      </c>
      <c r="I9" s="600">
        <v>0.91958503460128704</v>
      </c>
      <c r="J9" s="601" t="s">
        <v>1</v>
      </c>
    </row>
    <row r="10" spans="1:10" ht="14.4" customHeight="1" x14ac:dyDescent="0.3">
      <c r="A10" s="597" t="s">
        <v>479</v>
      </c>
      <c r="B10" s="598" t="s">
        <v>307</v>
      </c>
      <c r="C10" s="599">
        <v>94.015999999999991</v>
      </c>
      <c r="D10" s="599">
        <v>111.18277999999898</v>
      </c>
      <c r="E10" s="599"/>
      <c r="F10" s="599">
        <v>116.512819999999</v>
      </c>
      <c r="G10" s="599">
        <v>90.000008125153002</v>
      </c>
      <c r="H10" s="599">
        <v>26.512811874845994</v>
      </c>
      <c r="I10" s="600">
        <v>1.2945867720142601</v>
      </c>
      <c r="J10" s="601" t="s">
        <v>1</v>
      </c>
    </row>
    <row r="11" spans="1:10" ht="14.4" customHeight="1" x14ac:dyDescent="0.3">
      <c r="A11" s="597" t="s">
        <v>479</v>
      </c>
      <c r="B11" s="598" t="s">
        <v>308</v>
      </c>
      <c r="C11" s="599">
        <v>9.5498399999999997</v>
      </c>
      <c r="D11" s="599">
        <v>26.712510000000005</v>
      </c>
      <c r="E11" s="599"/>
      <c r="F11" s="599">
        <v>17.433130000000002</v>
      </c>
      <c r="G11" s="599">
        <v>20.000001805589001</v>
      </c>
      <c r="H11" s="599">
        <v>-2.566871805588999</v>
      </c>
      <c r="I11" s="600">
        <v>0.87165642130733778</v>
      </c>
      <c r="J11" s="601" t="s">
        <v>1</v>
      </c>
    </row>
    <row r="12" spans="1:10" ht="14.4" customHeight="1" x14ac:dyDescent="0.3">
      <c r="A12" s="597" t="s">
        <v>479</v>
      </c>
      <c r="B12" s="598" t="s">
        <v>309</v>
      </c>
      <c r="C12" s="599">
        <v>18.566770000000002</v>
      </c>
      <c r="D12" s="599">
        <v>26.344360000000002</v>
      </c>
      <c r="E12" s="599"/>
      <c r="F12" s="599">
        <v>29.179569999999998</v>
      </c>
      <c r="G12" s="599">
        <v>25.000002256986999</v>
      </c>
      <c r="H12" s="599">
        <v>4.1795677430129992</v>
      </c>
      <c r="I12" s="600">
        <v>1.1671826946273531</v>
      </c>
      <c r="J12" s="601" t="s">
        <v>1</v>
      </c>
    </row>
    <row r="13" spans="1:10" ht="14.4" customHeight="1" x14ac:dyDescent="0.3">
      <c r="A13" s="597" t="s">
        <v>479</v>
      </c>
      <c r="B13" s="598" t="s">
        <v>310</v>
      </c>
      <c r="C13" s="599">
        <v>168.75314</v>
      </c>
      <c r="D13" s="599">
        <v>203.56461999999999</v>
      </c>
      <c r="E13" s="599"/>
      <c r="F13" s="599">
        <v>190.00628999999998</v>
      </c>
      <c r="G13" s="599">
        <v>180.000016250307</v>
      </c>
      <c r="H13" s="599">
        <v>10.00627374969298</v>
      </c>
      <c r="I13" s="600">
        <v>1.0555904047018436</v>
      </c>
      <c r="J13" s="601" t="s">
        <v>1</v>
      </c>
    </row>
    <row r="14" spans="1:10" ht="14.4" customHeight="1" x14ac:dyDescent="0.3">
      <c r="A14" s="597" t="s">
        <v>479</v>
      </c>
      <c r="B14" s="598" t="s">
        <v>311</v>
      </c>
      <c r="C14" s="599">
        <v>150.43680999999998</v>
      </c>
      <c r="D14" s="599">
        <v>229.80733999999998</v>
      </c>
      <c r="E14" s="599"/>
      <c r="F14" s="599">
        <v>160.16390999999999</v>
      </c>
      <c r="G14" s="599">
        <v>200.00001805589699</v>
      </c>
      <c r="H14" s="599">
        <v>-39.836108055897</v>
      </c>
      <c r="I14" s="600">
        <v>0.80081947770243</v>
      </c>
      <c r="J14" s="601" t="s">
        <v>1</v>
      </c>
    </row>
    <row r="15" spans="1:10" ht="14.4" customHeight="1" x14ac:dyDescent="0.3">
      <c r="A15" s="597" t="s">
        <v>479</v>
      </c>
      <c r="B15" s="598" t="s">
        <v>312</v>
      </c>
      <c r="C15" s="599" t="s">
        <v>481</v>
      </c>
      <c r="D15" s="599">
        <v>177.44334000000003</v>
      </c>
      <c r="E15" s="599"/>
      <c r="F15" s="599">
        <v>190.39203000000001</v>
      </c>
      <c r="G15" s="599">
        <v>157.00001417387901</v>
      </c>
      <c r="H15" s="599">
        <v>33.392015826120996</v>
      </c>
      <c r="I15" s="600">
        <v>1.2126879796911294</v>
      </c>
      <c r="J15" s="601" t="s">
        <v>1</v>
      </c>
    </row>
    <row r="16" spans="1:10" ht="14.4" customHeight="1" x14ac:dyDescent="0.3">
      <c r="A16" s="597" t="s">
        <v>479</v>
      </c>
      <c r="B16" s="598" t="s">
        <v>313</v>
      </c>
      <c r="C16" s="599">
        <v>3.5675900000000009</v>
      </c>
      <c r="D16" s="599">
        <v>2.8614199999999999</v>
      </c>
      <c r="E16" s="599"/>
      <c r="F16" s="599">
        <v>3.4190300000000007</v>
      </c>
      <c r="G16" s="599">
        <v>4.0000003611170003</v>
      </c>
      <c r="H16" s="599">
        <v>-0.58097036111699962</v>
      </c>
      <c r="I16" s="600">
        <v>0.85475742283314105</v>
      </c>
      <c r="J16" s="601" t="s">
        <v>1</v>
      </c>
    </row>
    <row r="17" spans="1:10" ht="14.4" customHeight="1" x14ac:dyDescent="0.3">
      <c r="A17" s="597" t="s">
        <v>479</v>
      </c>
      <c r="B17" s="598" t="s">
        <v>482</v>
      </c>
      <c r="C17" s="599">
        <v>3164.5926400000008</v>
      </c>
      <c r="D17" s="599">
        <v>3984.1931199999999</v>
      </c>
      <c r="E17" s="599"/>
      <c r="F17" s="599">
        <v>3747.9295199999997</v>
      </c>
      <c r="G17" s="599">
        <v>3910.0003529927826</v>
      </c>
      <c r="H17" s="599">
        <v>-162.07083299278293</v>
      </c>
      <c r="I17" s="600">
        <v>0.95854966282324472</v>
      </c>
      <c r="J17" s="601" t="s">
        <v>483</v>
      </c>
    </row>
    <row r="19" spans="1:10" ht="14.4" customHeight="1" x14ac:dyDescent="0.3">
      <c r="A19" s="597" t="s">
        <v>479</v>
      </c>
      <c r="B19" s="598" t="s">
        <v>480</v>
      </c>
      <c r="C19" s="599" t="s">
        <v>481</v>
      </c>
      <c r="D19" s="599" t="s">
        <v>481</v>
      </c>
      <c r="E19" s="599"/>
      <c r="F19" s="599" t="s">
        <v>481</v>
      </c>
      <c r="G19" s="599" t="s">
        <v>481</v>
      </c>
      <c r="H19" s="599" t="s">
        <v>481</v>
      </c>
      <c r="I19" s="600" t="s">
        <v>481</v>
      </c>
      <c r="J19" s="601" t="s">
        <v>61</v>
      </c>
    </row>
    <row r="20" spans="1:10" ht="14.4" customHeight="1" x14ac:dyDescent="0.3">
      <c r="A20" s="597" t="s">
        <v>484</v>
      </c>
      <c r="B20" s="598" t="s">
        <v>485</v>
      </c>
      <c r="C20" s="599" t="s">
        <v>481</v>
      </c>
      <c r="D20" s="599" t="s">
        <v>481</v>
      </c>
      <c r="E20" s="599"/>
      <c r="F20" s="599" t="s">
        <v>481</v>
      </c>
      <c r="G20" s="599" t="s">
        <v>481</v>
      </c>
      <c r="H20" s="599" t="s">
        <v>481</v>
      </c>
      <c r="I20" s="600" t="s">
        <v>481</v>
      </c>
      <c r="J20" s="601" t="s">
        <v>0</v>
      </c>
    </row>
    <row r="21" spans="1:10" ht="14.4" customHeight="1" x14ac:dyDescent="0.3">
      <c r="A21" s="597" t="s">
        <v>484</v>
      </c>
      <c r="B21" s="598" t="s">
        <v>303</v>
      </c>
      <c r="C21" s="599">
        <v>343.69386999999995</v>
      </c>
      <c r="D21" s="599">
        <v>551.10703999999987</v>
      </c>
      <c r="E21" s="599"/>
      <c r="F21" s="599">
        <v>578.27326999999991</v>
      </c>
      <c r="G21" s="599">
        <v>600.00005416769102</v>
      </c>
      <c r="H21" s="599">
        <v>-21.726784167691108</v>
      </c>
      <c r="I21" s="600">
        <v>0.96378869632298603</v>
      </c>
      <c r="J21" s="601" t="s">
        <v>1</v>
      </c>
    </row>
    <row r="22" spans="1:10" ht="14.4" customHeight="1" x14ac:dyDescent="0.3">
      <c r="A22" s="597" t="s">
        <v>484</v>
      </c>
      <c r="B22" s="598" t="s">
        <v>304</v>
      </c>
      <c r="C22" s="599">
        <v>0.36951999999999996</v>
      </c>
      <c r="D22" s="599">
        <v>1.1046899999999999</v>
      </c>
      <c r="E22" s="599"/>
      <c r="F22" s="599">
        <v>0.24743999999999999</v>
      </c>
      <c r="G22" s="599">
        <v>1.0000000902790001</v>
      </c>
      <c r="H22" s="599">
        <v>-0.75256009027900006</v>
      </c>
      <c r="I22" s="600">
        <v>0.24743997766136624</v>
      </c>
      <c r="J22" s="601" t="s">
        <v>1</v>
      </c>
    </row>
    <row r="23" spans="1:10" ht="14.4" customHeight="1" x14ac:dyDescent="0.3">
      <c r="A23" s="597" t="s">
        <v>484</v>
      </c>
      <c r="B23" s="598" t="s">
        <v>305</v>
      </c>
      <c r="C23" s="599">
        <v>374.51211999999992</v>
      </c>
      <c r="D23" s="599">
        <v>372.94107999999994</v>
      </c>
      <c r="E23" s="599"/>
      <c r="F23" s="599">
        <v>390.47676000000007</v>
      </c>
      <c r="G23" s="599">
        <v>380.00003430620399</v>
      </c>
      <c r="H23" s="599">
        <v>10.476725693796084</v>
      </c>
      <c r="I23" s="600">
        <v>1.0275703282841127</v>
      </c>
      <c r="J23" s="601" t="s">
        <v>1</v>
      </c>
    </row>
    <row r="24" spans="1:10" ht="14.4" customHeight="1" x14ac:dyDescent="0.3">
      <c r="A24" s="597" t="s">
        <v>484</v>
      </c>
      <c r="B24" s="598" t="s">
        <v>306</v>
      </c>
      <c r="C24" s="599">
        <v>2001.1269800000009</v>
      </c>
      <c r="D24" s="599">
        <v>2281.1239400000009</v>
      </c>
      <c r="E24" s="599"/>
      <c r="F24" s="599">
        <v>2071.8252700000012</v>
      </c>
      <c r="G24" s="599">
        <v>2253.0002033996798</v>
      </c>
      <c r="H24" s="599">
        <v>-181.17493339967859</v>
      </c>
      <c r="I24" s="600">
        <v>0.91958503460128704</v>
      </c>
      <c r="J24" s="601" t="s">
        <v>1</v>
      </c>
    </row>
    <row r="25" spans="1:10" ht="14.4" customHeight="1" x14ac:dyDescent="0.3">
      <c r="A25" s="597" t="s">
        <v>484</v>
      </c>
      <c r="B25" s="598" t="s">
        <v>307</v>
      </c>
      <c r="C25" s="599">
        <v>94.015999999999991</v>
      </c>
      <c r="D25" s="599">
        <v>111.18277999999898</v>
      </c>
      <c r="E25" s="599"/>
      <c r="F25" s="599">
        <v>116.512819999999</v>
      </c>
      <c r="G25" s="599">
        <v>90.000008125153002</v>
      </c>
      <c r="H25" s="599">
        <v>26.512811874845994</v>
      </c>
      <c r="I25" s="600">
        <v>1.2945867720142601</v>
      </c>
      <c r="J25" s="601" t="s">
        <v>1</v>
      </c>
    </row>
    <row r="26" spans="1:10" ht="14.4" customHeight="1" x14ac:dyDescent="0.3">
      <c r="A26" s="597" t="s">
        <v>484</v>
      </c>
      <c r="B26" s="598" t="s">
        <v>308</v>
      </c>
      <c r="C26" s="599">
        <v>9.5498399999999997</v>
      </c>
      <c r="D26" s="599">
        <v>26.712510000000005</v>
      </c>
      <c r="E26" s="599"/>
      <c r="F26" s="599">
        <v>17.433130000000002</v>
      </c>
      <c r="G26" s="599">
        <v>20.000001805589001</v>
      </c>
      <c r="H26" s="599">
        <v>-2.566871805588999</v>
      </c>
      <c r="I26" s="600">
        <v>0.87165642130733778</v>
      </c>
      <c r="J26" s="601" t="s">
        <v>1</v>
      </c>
    </row>
    <row r="27" spans="1:10" ht="14.4" customHeight="1" x14ac:dyDescent="0.3">
      <c r="A27" s="597" t="s">
        <v>484</v>
      </c>
      <c r="B27" s="598" t="s">
        <v>309</v>
      </c>
      <c r="C27" s="599">
        <v>18.566770000000002</v>
      </c>
      <c r="D27" s="599">
        <v>26.344360000000002</v>
      </c>
      <c r="E27" s="599"/>
      <c r="F27" s="599">
        <v>29.179569999999998</v>
      </c>
      <c r="G27" s="599">
        <v>25.000002256986999</v>
      </c>
      <c r="H27" s="599">
        <v>4.1795677430129992</v>
      </c>
      <c r="I27" s="600">
        <v>1.1671826946273531</v>
      </c>
      <c r="J27" s="601" t="s">
        <v>1</v>
      </c>
    </row>
    <row r="28" spans="1:10" ht="14.4" customHeight="1" x14ac:dyDescent="0.3">
      <c r="A28" s="597" t="s">
        <v>484</v>
      </c>
      <c r="B28" s="598" t="s">
        <v>310</v>
      </c>
      <c r="C28" s="599">
        <v>168.75314</v>
      </c>
      <c r="D28" s="599">
        <v>203.56461999999999</v>
      </c>
      <c r="E28" s="599"/>
      <c r="F28" s="599">
        <v>190.00628999999998</v>
      </c>
      <c r="G28" s="599">
        <v>180.000016250307</v>
      </c>
      <c r="H28" s="599">
        <v>10.00627374969298</v>
      </c>
      <c r="I28" s="600">
        <v>1.0555904047018436</v>
      </c>
      <c r="J28" s="601" t="s">
        <v>1</v>
      </c>
    </row>
    <row r="29" spans="1:10" ht="14.4" customHeight="1" x14ac:dyDescent="0.3">
      <c r="A29" s="597" t="s">
        <v>484</v>
      </c>
      <c r="B29" s="598" t="s">
        <v>311</v>
      </c>
      <c r="C29" s="599">
        <v>150.43680999999998</v>
      </c>
      <c r="D29" s="599">
        <v>229.80733999999998</v>
      </c>
      <c r="E29" s="599"/>
      <c r="F29" s="599">
        <v>160.16390999999999</v>
      </c>
      <c r="G29" s="599">
        <v>200.00001805589699</v>
      </c>
      <c r="H29" s="599">
        <v>-39.836108055897</v>
      </c>
      <c r="I29" s="600">
        <v>0.80081947770243</v>
      </c>
      <c r="J29" s="601" t="s">
        <v>1</v>
      </c>
    </row>
    <row r="30" spans="1:10" ht="14.4" customHeight="1" x14ac:dyDescent="0.3">
      <c r="A30" s="597" t="s">
        <v>484</v>
      </c>
      <c r="B30" s="598" t="s">
        <v>312</v>
      </c>
      <c r="C30" s="599" t="s">
        <v>481</v>
      </c>
      <c r="D30" s="599">
        <v>177.44334000000003</v>
      </c>
      <c r="E30" s="599"/>
      <c r="F30" s="599">
        <v>190.39203000000001</v>
      </c>
      <c r="G30" s="599">
        <v>157.00001417387901</v>
      </c>
      <c r="H30" s="599">
        <v>33.392015826120996</v>
      </c>
      <c r="I30" s="600">
        <v>1.2126879796911294</v>
      </c>
      <c r="J30" s="601" t="s">
        <v>1</v>
      </c>
    </row>
    <row r="31" spans="1:10" ht="14.4" customHeight="1" x14ac:dyDescent="0.3">
      <c r="A31" s="597" t="s">
        <v>484</v>
      </c>
      <c r="B31" s="598" t="s">
        <v>313</v>
      </c>
      <c r="C31" s="599">
        <v>3.5675900000000009</v>
      </c>
      <c r="D31" s="599">
        <v>2.8614199999999999</v>
      </c>
      <c r="E31" s="599"/>
      <c r="F31" s="599">
        <v>3.4190300000000007</v>
      </c>
      <c r="G31" s="599">
        <v>4.0000003611170003</v>
      </c>
      <c r="H31" s="599">
        <v>-0.58097036111699962</v>
      </c>
      <c r="I31" s="600">
        <v>0.85475742283314105</v>
      </c>
      <c r="J31" s="601" t="s">
        <v>1</v>
      </c>
    </row>
    <row r="32" spans="1:10" ht="14.4" customHeight="1" x14ac:dyDescent="0.3">
      <c r="A32" s="597" t="s">
        <v>484</v>
      </c>
      <c r="B32" s="598" t="s">
        <v>486</v>
      </c>
      <c r="C32" s="599">
        <v>3164.5926400000008</v>
      </c>
      <c r="D32" s="599">
        <v>3984.1931199999999</v>
      </c>
      <c r="E32" s="599"/>
      <c r="F32" s="599">
        <v>3747.9295199999997</v>
      </c>
      <c r="G32" s="599">
        <v>3910.0003529927826</v>
      </c>
      <c r="H32" s="599">
        <v>-162.07083299278293</v>
      </c>
      <c r="I32" s="600">
        <v>0.95854966282324472</v>
      </c>
      <c r="J32" s="601" t="s">
        <v>487</v>
      </c>
    </row>
    <row r="33" spans="1:10" ht="14.4" customHeight="1" x14ac:dyDescent="0.3">
      <c r="A33" s="597" t="s">
        <v>481</v>
      </c>
      <c r="B33" s="598" t="s">
        <v>481</v>
      </c>
      <c r="C33" s="599" t="s">
        <v>481</v>
      </c>
      <c r="D33" s="599" t="s">
        <v>481</v>
      </c>
      <c r="E33" s="599"/>
      <c r="F33" s="599" t="s">
        <v>481</v>
      </c>
      <c r="G33" s="599" t="s">
        <v>481</v>
      </c>
      <c r="H33" s="599" t="s">
        <v>481</v>
      </c>
      <c r="I33" s="600" t="s">
        <v>481</v>
      </c>
      <c r="J33" s="601" t="s">
        <v>488</v>
      </c>
    </row>
    <row r="34" spans="1:10" ht="14.4" customHeight="1" x14ac:dyDescent="0.3">
      <c r="A34" s="597" t="s">
        <v>479</v>
      </c>
      <c r="B34" s="598" t="s">
        <v>482</v>
      </c>
      <c r="C34" s="599">
        <v>3164.5926400000008</v>
      </c>
      <c r="D34" s="599">
        <v>3984.1931199999999</v>
      </c>
      <c r="E34" s="599"/>
      <c r="F34" s="599">
        <v>3747.9295199999997</v>
      </c>
      <c r="G34" s="599">
        <v>3910.0003529927826</v>
      </c>
      <c r="H34" s="599">
        <v>-162.07083299278293</v>
      </c>
      <c r="I34" s="600">
        <v>0.95854966282324472</v>
      </c>
      <c r="J34" s="601" t="s">
        <v>483</v>
      </c>
    </row>
  </sheetData>
  <mergeCells count="3">
    <mergeCell ref="A1:I1"/>
    <mergeCell ref="F3:I3"/>
    <mergeCell ref="C4:D4"/>
  </mergeCells>
  <conditionalFormatting sqref="F18 F35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34">
    <cfRule type="expression" dxfId="32" priority="5">
      <formula>$H19&gt;0</formula>
    </cfRule>
  </conditionalFormatting>
  <conditionalFormatting sqref="A19:A34">
    <cfRule type="expression" dxfId="31" priority="2">
      <formula>AND($J19&lt;&gt;"mezeraKL",$J19&lt;&gt;"")</formula>
    </cfRule>
  </conditionalFormatting>
  <conditionalFormatting sqref="I19:I34">
    <cfRule type="expression" dxfId="30" priority="6">
      <formula>$I19&gt;1</formula>
    </cfRule>
  </conditionalFormatting>
  <conditionalFormatting sqref="B19:B34">
    <cfRule type="expression" dxfId="29" priority="1">
      <formula>OR($J19="NS",$J19="SumaNS",$J19="Účet")</formula>
    </cfRule>
  </conditionalFormatting>
  <conditionalFormatting sqref="A19:D34 F19:I34">
    <cfRule type="expression" dxfId="28" priority="8">
      <formula>AND($J19&lt;&gt;"",$J19&lt;&gt;"mezeraKL")</formula>
    </cfRule>
  </conditionalFormatting>
  <conditionalFormatting sqref="B19:D34 F19:I34">
    <cfRule type="expression" dxfId="27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34 F19:I34">
    <cfRule type="expression" dxfId="26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0" bestFit="1" customWidth="1" collapsed="1"/>
    <col min="4" max="4" width="18.77734375" style="324" customWidth="1"/>
    <col min="5" max="5" width="9" style="320" bestFit="1" customWidth="1"/>
    <col min="6" max="6" width="18.77734375" style="324" customWidth="1"/>
    <col min="7" max="7" width="12.44140625" style="320" hidden="1" customWidth="1" outlineLevel="1"/>
    <col min="8" max="8" width="25.77734375" style="320" customWidth="1" collapsed="1"/>
    <col min="9" max="9" width="7.77734375" style="318" customWidth="1"/>
    <col min="10" max="10" width="10" style="318" customWidth="1"/>
    <col min="11" max="11" width="11.109375" style="318" customWidth="1"/>
    <col min="12" max="16384" width="8.88671875" style="238"/>
  </cols>
  <sheetData>
    <row r="1" spans="1:11" ht="18.600000000000001" customHeight="1" thickBot="1" x14ac:dyDescent="0.4">
      <c r="A1" s="490" t="s">
        <v>3587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</row>
    <row r="2" spans="1:11" ht="14.4" customHeight="1" thickBot="1" x14ac:dyDescent="0.35">
      <c r="A2" s="360" t="s">
        <v>280</v>
      </c>
      <c r="B2" s="66"/>
      <c r="C2" s="322"/>
      <c r="D2" s="322"/>
      <c r="E2" s="322"/>
      <c r="F2" s="322"/>
      <c r="G2" s="322"/>
      <c r="H2" s="322"/>
      <c r="I2" s="323"/>
      <c r="J2" s="323"/>
      <c r="K2" s="323"/>
    </row>
    <row r="3" spans="1:11" ht="14.4" customHeight="1" thickBot="1" x14ac:dyDescent="0.35">
      <c r="A3" s="66"/>
      <c r="B3" s="66"/>
      <c r="C3" s="486"/>
      <c r="D3" s="487"/>
      <c r="E3" s="487"/>
      <c r="F3" s="487"/>
      <c r="G3" s="487"/>
      <c r="H3" s="251" t="s">
        <v>142</v>
      </c>
      <c r="I3" s="192">
        <f>IF(J3&lt;&gt;0,K3/J3,0)</f>
        <v>5.7146828520576038</v>
      </c>
      <c r="J3" s="192">
        <f>SUBTOTAL(9,J5:J1048576)</f>
        <v>655817.75</v>
      </c>
      <c r="K3" s="193">
        <f>SUBTOTAL(9,K5:K1048576)</f>
        <v>3747790.4500000007</v>
      </c>
    </row>
    <row r="4" spans="1:11" s="319" customFormat="1" ht="14.4" customHeight="1" thickBot="1" x14ac:dyDescent="0.35">
      <c r="A4" s="602" t="s">
        <v>4</v>
      </c>
      <c r="B4" s="603" t="s">
        <v>5</v>
      </c>
      <c r="C4" s="603" t="s">
        <v>0</v>
      </c>
      <c r="D4" s="603" t="s">
        <v>6</v>
      </c>
      <c r="E4" s="603" t="s">
        <v>7</v>
      </c>
      <c r="F4" s="603" t="s">
        <v>1</v>
      </c>
      <c r="G4" s="603" t="s">
        <v>77</v>
      </c>
      <c r="H4" s="604" t="s">
        <v>11</v>
      </c>
      <c r="I4" s="605" t="s">
        <v>165</v>
      </c>
      <c r="J4" s="605" t="s">
        <v>13</v>
      </c>
      <c r="K4" s="606" t="s">
        <v>176</v>
      </c>
    </row>
    <row r="5" spans="1:11" ht="14.4" customHeight="1" x14ac:dyDescent="0.3">
      <c r="A5" s="609" t="s">
        <v>479</v>
      </c>
      <c r="B5" s="610" t="s">
        <v>2514</v>
      </c>
      <c r="C5" s="611" t="s">
        <v>484</v>
      </c>
      <c r="D5" s="612" t="s">
        <v>2515</v>
      </c>
      <c r="E5" s="611" t="s">
        <v>3565</v>
      </c>
      <c r="F5" s="612" t="s">
        <v>3566</v>
      </c>
      <c r="G5" s="611" t="s">
        <v>2854</v>
      </c>
      <c r="H5" s="611" t="s">
        <v>2855</v>
      </c>
      <c r="I5" s="613">
        <v>156.11000000000001</v>
      </c>
      <c r="J5" s="613">
        <v>1</v>
      </c>
      <c r="K5" s="614">
        <v>156.11000000000001</v>
      </c>
    </row>
    <row r="6" spans="1:11" ht="14.4" customHeight="1" x14ac:dyDescent="0.3">
      <c r="A6" s="615" t="s">
        <v>479</v>
      </c>
      <c r="B6" s="616" t="s">
        <v>2514</v>
      </c>
      <c r="C6" s="617" t="s">
        <v>484</v>
      </c>
      <c r="D6" s="618" t="s">
        <v>2515</v>
      </c>
      <c r="E6" s="617" t="s">
        <v>3565</v>
      </c>
      <c r="F6" s="618" t="s">
        <v>3566</v>
      </c>
      <c r="G6" s="617" t="s">
        <v>2856</v>
      </c>
      <c r="H6" s="617" t="s">
        <v>2857</v>
      </c>
      <c r="I6" s="619">
        <v>166.73</v>
      </c>
      <c r="J6" s="619">
        <v>1</v>
      </c>
      <c r="K6" s="620">
        <v>166.73</v>
      </c>
    </row>
    <row r="7" spans="1:11" ht="14.4" customHeight="1" x14ac:dyDescent="0.3">
      <c r="A7" s="615" t="s">
        <v>479</v>
      </c>
      <c r="B7" s="616" t="s">
        <v>2514</v>
      </c>
      <c r="C7" s="617" t="s">
        <v>484</v>
      </c>
      <c r="D7" s="618" t="s">
        <v>2515</v>
      </c>
      <c r="E7" s="617" t="s">
        <v>3565</v>
      </c>
      <c r="F7" s="618" t="s">
        <v>3566</v>
      </c>
      <c r="G7" s="617" t="s">
        <v>2858</v>
      </c>
      <c r="H7" s="617" t="s">
        <v>2859</v>
      </c>
      <c r="I7" s="619">
        <v>4.3</v>
      </c>
      <c r="J7" s="619">
        <v>120</v>
      </c>
      <c r="K7" s="620">
        <v>516</v>
      </c>
    </row>
    <row r="8" spans="1:11" ht="14.4" customHeight="1" x14ac:dyDescent="0.3">
      <c r="A8" s="615" t="s">
        <v>479</v>
      </c>
      <c r="B8" s="616" t="s">
        <v>2514</v>
      </c>
      <c r="C8" s="617" t="s">
        <v>484</v>
      </c>
      <c r="D8" s="618" t="s">
        <v>2515</v>
      </c>
      <c r="E8" s="617" t="s">
        <v>3565</v>
      </c>
      <c r="F8" s="618" t="s">
        <v>3566</v>
      </c>
      <c r="G8" s="617" t="s">
        <v>2860</v>
      </c>
      <c r="H8" s="617" t="s">
        <v>2861</v>
      </c>
      <c r="I8" s="619">
        <v>4.8433333333333337</v>
      </c>
      <c r="J8" s="619">
        <v>900</v>
      </c>
      <c r="K8" s="620">
        <v>4359.5</v>
      </c>
    </row>
    <row r="9" spans="1:11" ht="14.4" customHeight="1" x14ac:dyDescent="0.3">
      <c r="A9" s="615" t="s">
        <v>479</v>
      </c>
      <c r="B9" s="616" t="s">
        <v>2514</v>
      </c>
      <c r="C9" s="617" t="s">
        <v>484</v>
      </c>
      <c r="D9" s="618" t="s">
        <v>2515</v>
      </c>
      <c r="E9" s="617" t="s">
        <v>3565</v>
      </c>
      <c r="F9" s="618" t="s">
        <v>3566</v>
      </c>
      <c r="G9" s="617" t="s">
        <v>2862</v>
      </c>
      <c r="H9" s="617" t="s">
        <v>2863</v>
      </c>
      <c r="I9" s="619">
        <v>93.728333333333339</v>
      </c>
      <c r="J9" s="619">
        <v>52</v>
      </c>
      <c r="K9" s="620">
        <v>4873.8600000000006</v>
      </c>
    </row>
    <row r="10" spans="1:11" ht="14.4" customHeight="1" x14ac:dyDescent="0.3">
      <c r="A10" s="615" t="s">
        <v>479</v>
      </c>
      <c r="B10" s="616" t="s">
        <v>2514</v>
      </c>
      <c r="C10" s="617" t="s">
        <v>484</v>
      </c>
      <c r="D10" s="618" t="s">
        <v>2515</v>
      </c>
      <c r="E10" s="617" t="s">
        <v>3565</v>
      </c>
      <c r="F10" s="618" t="s">
        <v>3566</v>
      </c>
      <c r="G10" s="617" t="s">
        <v>2864</v>
      </c>
      <c r="H10" s="617" t="s">
        <v>2865</v>
      </c>
      <c r="I10" s="619">
        <v>2.5033333333333334</v>
      </c>
      <c r="J10" s="619">
        <v>60</v>
      </c>
      <c r="K10" s="620">
        <v>150.19999999999999</v>
      </c>
    </row>
    <row r="11" spans="1:11" ht="14.4" customHeight="1" x14ac:dyDescent="0.3">
      <c r="A11" s="615" t="s">
        <v>479</v>
      </c>
      <c r="B11" s="616" t="s">
        <v>2514</v>
      </c>
      <c r="C11" s="617" t="s">
        <v>484</v>
      </c>
      <c r="D11" s="618" t="s">
        <v>2515</v>
      </c>
      <c r="E11" s="617" t="s">
        <v>3565</v>
      </c>
      <c r="F11" s="618" t="s">
        <v>3566</v>
      </c>
      <c r="G11" s="617" t="s">
        <v>2866</v>
      </c>
      <c r="H11" s="617" t="s">
        <v>2867</v>
      </c>
      <c r="I11" s="619">
        <v>3.2675000000000001</v>
      </c>
      <c r="J11" s="619">
        <v>100</v>
      </c>
      <c r="K11" s="620">
        <v>326.60000000000002</v>
      </c>
    </row>
    <row r="12" spans="1:11" ht="14.4" customHeight="1" x14ac:dyDescent="0.3">
      <c r="A12" s="615" t="s">
        <v>479</v>
      </c>
      <c r="B12" s="616" t="s">
        <v>2514</v>
      </c>
      <c r="C12" s="617" t="s">
        <v>484</v>
      </c>
      <c r="D12" s="618" t="s">
        <v>2515</v>
      </c>
      <c r="E12" s="617" t="s">
        <v>3565</v>
      </c>
      <c r="F12" s="618" t="s">
        <v>3566</v>
      </c>
      <c r="G12" s="617" t="s">
        <v>2868</v>
      </c>
      <c r="H12" s="617" t="s">
        <v>2869</v>
      </c>
      <c r="I12" s="619">
        <v>3.9683333333333333</v>
      </c>
      <c r="J12" s="619">
        <v>180</v>
      </c>
      <c r="K12" s="620">
        <v>714.40000000000009</v>
      </c>
    </row>
    <row r="13" spans="1:11" ht="14.4" customHeight="1" x14ac:dyDescent="0.3">
      <c r="A13" s="615" t="s">
        <v>479</v>
      </c>
      <c r="B13" s="616" t="s">
        <v>2514</v>
      </c>
      <c r="C13" s="617" t="s">
        <v>484</v>
      </c>
      <c r="D13" s="618" t="s">
        <v>2515</v>
      </c>
      <c r="E13" s="617" t="s">
        <v>3565</v>
      </c>
      <c r="F13" s="618" t="s">
        <v>3566</v>
      </c>
      <c r="G13" s="617" t="s">
        <v>2870</v>
      </c>
      <c r="H13" s="617" t="s">
        <v>2871</v>
      </c>
      <c r="I13" s="619">
        <v>2.1800000000000002</v>
      </c>
      <c r="J13" s="619">
        <v>40</v>
      </c>
      <c r="K13" s="620">
        <v>87.2</v>
      </c>
    </row>
    <row r="14" spans="1:11" ht="14.4" customHeight="1" x14ac:dyDescent="0.3">
      <c r="A14" s="615" t="s">
        <v>479</v>
      </c>
      <c r="B14" s="616" t="s">
        <v>2514</v>
      </c>
      <c r="C14" s="617" t="s">
        <v>484</v>
      </c>
      <c r="D14" s="618" t="s">
        <v>2515</v>
      </c>
      <c r="E14" s="617" t="s">
        <v>3565</v>
      </c>
      <c r="F14" s="618" t="s">
        <v>3566</v>
      </c>
      <c r="G14" s="617" t="s">
        <v>2872</v>
      </c>
      <c r="H14" s="617" t="s">
        <v>2873</v>
      </c>
      <c r="I14" s="619">
        <v>2.88</v>
      </c>
      <c r="J14" s="619">
        <v>40</v>
      </c>
      <c r="K14" s="620">
        <v>115.2</v>
      </c>
    </row>
    <row r="15" spans="1:11" ht="14.4" customHeight="1" x14ac:dyDescent="0.3">
      <c r="A15" s="615" t="s">
        <v>479</v>
      </c>
      <c r="B15" s="616" t="s">
        <v>2514</v>
      </c>
      <c r="C15" s="617" t="s">
        <v>484</v>
      </c>
      <c r="D15" s="618" t="s">
        <v>2515</v>
      </c>
      <c r="E15" s="617" t="s">
        <v>3565</v>
      </c>
      <c r="F15" s="618" t="s">
        <v>3566</v>
      </c>
      <c r="G15" s="617" t="s">
        <v>2874</v>
      </c>
      <c r="H15" s="617" t="s">
        <v>2875</v>
      </c>
      <c r="I15" s="619">
        <v>4.3099999999999996</v>
      </c>
      <c r="J15" s="619">
        <v>110</v>
      </c>
      <c r="K15" s="620">
        <v>474.2</v>
      </c>
    </row>
    <row r="16" spans="1:11" ht="14.4" customHeight="1" x14ac:dyDescent="0.3">
      <c r="A16" s="615" t="s">
        <v>479</v>
      </c>
      <c r="B16" s="616" t="s">
        <v>2514</v>
      </c>
      <c r="C16" s="617" t="s">
        <v>484</v>
      </c>
      <c r="D16" s="618" t="s">
        <v>2515</v>
      </c>
      <c r="E16" s="617" t="s">
        <v>3565</v>
      </c>
      <c r="F16" s="618" t="s">
        <v>3566</v>
      </c>
      <c r="G16" s="617" t="s">
        <v>2876</v>
      </c>
      <c r="H16" s="617" t="s">
        <v>2877</v>
      </c>
      <c r="I16" s="619">
        <v>9.2949999999999982</v>
      </c>
      <c r="J16" s="619">
        <v>450</v>
      </c>
      <c r="K16" s="620">
        <v>4182.5999999999995</v>
      </c>
    </row>
    <row r="17" spans="1:11" ht="14.4" customHeight="1" x14ac:dyDescent="0.3">
      <c r="A17" s="615" t="s">
        <v>479</v>
      </c>
      <c r="B17" s="616" t="s">
        <v>2514</v>
      </c>
      <c r="C17" s="617" t="s">
        <v>484</v>
      </c>
      <c r="D17" s="618" t="s">
        <v>2515</v>
      </c>
      <c r="E17" s="617" t="s">
        <v>3565</v>
      </c>
      <c r="F17" s="618" t="s">
        <v>3566</v>
      </c>
      <c r="G17" s="617" t="s">
        <v>2878</v>
      </c>
      <c r="H17" s="617" t="s">
        <v>2879</v>
      </c>
      <c r="I17" s="619">
        <v>67.760000000000005</v>
      </c>
      <c r="J17" s="619">
        <v>46</v>
      </c>
      <c r="K17" s="620">
        <v>3116.96</v>
      </c>
    </row>
    <row r="18" spans="1:11" ht="14.4" customHeight="1" x14ac:dyDescent="0.3">
      <c r="A18" s="615" t="s">
        <v>479</v>
      </c>
      <c r="B18" s="616" t="s">
        <v>2514</v>
      </c>
      <c r="C18" s="617" t="s">
        <v>484</v>
      </c>
      <c r="D18" s="618" t="s">
        <v>2515</v>
      </c>
      <c r="E18" s="617" t="s">
        <v>3565</v>
      </c>
      <c r="F18" s="618" t="s">
        <v>3566</v>
      </c>
      <c r="G18" s="617" t="s">
        <v>2880</v>
      </c>
      <c r="H18" s="617" t="s">
        <v>2881</v>
      </c>
      <c r="I18" s="619">
        <v>3.56</v>
      </c>
      <c r="J18" s="619">
        <v>20</v>
      </c>
      <c r="K18" s="620">
        <v>71.2</v>
      </c>
    </row>
    <row r="19" spans="1:11" ht="14.4" customHeight="1" x14ac:dyDescent="0.3">
      <c r="A19" s="615" t="s">
        <v>479</v>
      </c>
      <c r="B19" s="616" t="s">
        <v>2514</v>
      </c>
      <c r="C19" s="617" t="s">
        <v>484</v>
      </c>
      <c r="D19" s="618" t="s">
        <v>2515</v>
      </c>
      <c r="E19" s="617" t="s">
        <v>3565</v>
      </c>
      <c r="F19" s="618" t="s">
        <v>3566</v>
      </c>
      <c r="G19" s="617" t="s">
        <v>2882</v>
      </c>
      <c r="H19" s="617" t="s">
        <v>2883</v>
      </c>
      <c r="I19" s="619">
        <v>210.63499999999999</v>
      </c>
      <c r="J19" s="619">
        <v>2</v>
      </c>
      <c r="K19" s="620">
        <v>421.27</v>
      </c>
    </row>
    <row r="20" spans="1:11" ht="14.4" customHeight="1" x14ac:dyDescent="0.3">
      <c r="A20" s="615" t="s">
        <v>479</v>
      </c>
      <c r="B20" s="616" t="s">
        <v>2514</v>
      </c>
      <c r="C20" s="617" t="s">
        <v>484</v>
      </c>
      <c r="D20" s="618" t="s">
        <v>2515</v>
      </c>
      <c r="E20" s="617" t="s">
        <v>3565</v>
      </c>
      <c r="F20" s="618" t="s">
        <v>3566</v>
      </c>
      <c r="G20" s="617" t="s">
        <v>2884</v>
      </c>
      <c r="H20" s="617" t="s">
        <v>2885</v>
      </c>
      <c r="I20" s="619">
        <v>0.42153846153846153</v>
      </c>
      <c r="J20" s="619">
        <v>33000</v>
      </c>
      <c r="K20" s="620">
        <v>13910</v>
      </c>
    </row>
    <row r="21" spans="1:11" ht="14.4" customHeight="1" x14ac:dyDescent="0.3">
      <c r="A21" s="615" t="s">
        <v>479</v>
      </c>
      <c r="B21" s="616" t="s">
        <v>2514</v>
      </c>
      <c r="C21" s="617" t="s">
        <v>484</v>
      </c>
      <c r="D21" s="618" t="s">
        <v>2515</v>
      </c>
      <c r="E21" s="617" t="s">
        <v>3565</v>
      </c>
      <c r="F21" s="618" t="s">
        <v>3566</v>
      </c>
      <c r="G21" s="617" t="s">
        <v>2886</v>
      </c>
      <c r="H21" s="617" t="s">
        <v>2887</v>
      </c>
      <c r="I21" s="619">
        <v>28.732142857142861</v>
      </c>
      <c r="J21" s="619">
        <v>912</v>
      </c>
      <c r="K21" s="620">
        <v>26203.700000000004</v>
      </c>
    </row>
    <row r="22" spans="1:11" ht="14.4" customHeight="1" x14ac:dyDescent="0.3">
      <c r="A22" s="615" t="s">
        <v>479</v>
      </c>
      <c r="B22" s="616" t="s">
        <v>2514</v>
      </c>
      <c r="C22" s="617" t="s">
        <v>484</v>
      </c>
      <c r="D22" s="618" t="s">
        <v>2515</v>
      </c>
      <c r="E22" s="617" t="s">
        <v>3565</v>
      </c>
      <c r="F22" s="618" t="s">
        <v>3566</v>
      </c>
      <c r="G22" s="617" t="s">
        <v>2888</v>
      </c>
      <c r="H22" s="617" t="s">
        <v>2889</v>
      </c>
      <c r="I22" s="619">
        <v>46.316666666666663</v>
      </c>
      <c r="J22" s="619">
        <v>53</v>
      </c>
      <c r="K22" s="620">
        <v>2454.8500000000004</v>
      </c>
    </row>
    <row r="23" spans="1:11" ht="14.4" customHeight="1" x14ac:dyDescent="0.3">
      <c r="A23" s="615" t="s">
        <v>479</v>
      </c>
      <c r="B23" s="616" t="s">
        <v>2514</v>
      </c>
      <c r="C23" s="617" t="s">
        <v>484</v>
      </c>
      <c r="D23" s="618" t="s">
        <v>2515</v>
      </c>
      <c r="E23" s="617" t="s">
        <v>3565</v>
      </c>
      <c r="F23" s="618" t="s">
        <v>3566</v>
      </c>
      <c r="G23" s="617" t="s">
        <v>2890</v>
      </c>
      <c r="H23" s="617" t="s">
        <v>2891</v>
      </c>
      <c r="I23" s="619">
        <v>6.2399999999999993</v>
      </c>
      <c r="J23" s="619">
        <v>205</v>
      </c>
      <c r="K23" s="620">
        <v>1279.5</v>
      </c>
    </row>
    <row r="24" spans="1:11" ht="14.4" customHeight="1" x14ac:dyDescent="0.3">
      <c r="A24" s="615" t="s">
        <v>479</v>
      </c>
      <c r="B24" s="616" t="s">
        <v>2514</v>
      </c>
      <c r="C24" s="617" t="s">
        <v>484</v>
      </c>
      <c r="D24" s="618" t="s">
        <v>2515</v>
      </c>
      <c r="E24" s="617" t="s">
        <v>3565</v>
      </c>
      <c r="F24" s="618" t="s">
        <v>3566</v>
      </c>
      <c r="G24" s="617" t="s">
        <v>2892</v>
      </c>
      <c r="H24" s="617" t="s">
        <v>2893</v>
      </c>
      <c r="I24" s="619">
        <v>3.01</v>
      </c>
      <c r="J24" s="619">
        <v>1000</v>
      </c>
      <c r="K24" s="620">
        <v>3010</v>
      </c>
    </row>
    <row r="25" spans="1:11" ht="14.4" customHeight="1" x14ac:dyDescent="0.3">
      <c r="A25" s="615" t="s">
        <v>479</v>
      </c>
      <c r="B25" s="616" t="s">
        <v>2514</v>
      </c>
      <c r="C25" s="617" t="s">
        <v>484</v>
      </c>
      <c r="D25" s="618" t="s">
        <v>2515</v>
      </c>
      <c r="E25" s="617" t="s">
        <v>3565</v>
      </c>
      <c r="F25" s="618" t="s">
        <v>3566</v>
      </c>
      <c r="G25" s="617" t="s">
        <v>2894</v>
      </c>
      <c r="H25" s="617" t="s">
        <v>2895</v>
      </c>
      <c r="I25" s="619">
        <v>0.88</v>
      </c>
      <c r="J25" s="619">
        <v>2500</v>
      </c>
      <c r="K25" s="620">
        <v>2200</v>
      </c>
    </row>
    <row r="26" spans="1:11" ht="14.4" customHeight="1" x14ac:dyDescent="0.3">
      <c r="A26" s="615" t="s">
        <v>479</v>
      </c>
      <c r="B26" s="616" t="s">
        <v>2514</v>
      </c>
      <c r="C26" s="617" t="s">
        <v>484</v>
      </c>
      <c r="D26" s="618" t="s">
        <v>2515</v>
      </c>
      <c r="E26" s="617" t="s">
        <v>3565</v>
      </c>
      <c r="F26" s="618" t="s">
        <v>3566</v>
      </c>
      <c r="G26" s="617" t="s">
        <v>2896</v>
      </c>
      <c r="H26" s="617" t="s">
        <v>2897</v>
      </c>
      <c r="I26" s="619">
        <v>1.42</v>
      </c>
      <c r="J26" s="619">
        <v>1800</v>
      </c>
      <c r="K26" s="620">
        <v>2558.88</v>
      </c>
    </row>
    <row r="27" spans="1:11" ht="14.4" customHeight="1" x14ac:dyDescent="0.3">
      <c r="A27" s="615" t="s">
        <v>479</v>
      </c>
      <c r="B27" s="616" t="s">
        <v>2514</v>
      </c>
      <c r="C27" s="617" t="s">
        <v>484</v>
      </c>
      <c r="D27" s="618" t="s">
        <v>2515</v>
      </c>
      <c r="E27" s="617" t="s">
        <v>3565</v>
      </c>
      <c r="F27" s="618" t="s">
        <v>3566</v>
      </c>
      <c r="G27" s="617" t="s">
        <v>2898</v>
      </c>
      <c r="H27" s="617" t="s">
        <v>2899</v>
      </c>
      <c r="I27" s="619">
        <v>0.15</v>
      </c>
      <c r="J27" s="619">
        <v>100</v>
      </c>
      <c r="K27" s="620">
        <v>15</v>
      </c>
    </row>
    <row r="28" spans="1:11" ht="14.4" customHeight="1" x14ac:dyDescent="0.3">
      <c r="A28" s="615" t="s">
        <v>479</v>
      </c>
      <c r="B28" s="616" t="s">
        <v>2514</v>
      </c>
      <c r="C28" s="617" t="s">
        <v>484</v>
      </c>
      <c r="D28" s="618" t="s">
        <v>2515</v>
      </c>
      <c r="E28" s="617" t="s">
        <v>3565</v>
      </c>
      <c r="F28" s="618" t="s">
        <v>3566</v>
      </c>
      <c r="G28" s="617" t="s">
        <v>2900</v>
      </c>
      <c r="H28" s="617" t="s">
        <v>2901</v>
      </c>
      <c r="I28" s="619">
        <v>86.38</v>
      </c>
      <c r="J28" s="619">
        <v>60</v>
      </c>
      <c r="K28" s="620">
        <v>5182.57</v>
      </c>
    </row>
    <row r="29" spans="1:11" ht="14.4" customHeight="1" x14ac:dyDescent="0.3">
      <c r="A29" s="615" t="s">
        <v>479</v>
      </c>
      <c r="B29" s="616" t="s">
        <v>2514</v>
      </c>
      <c r="C29" s="617" t="s">
        <v>484</v>
      </c>
      <c r="D29" s="618" t="s">
        <v>2515</v>
      </c>
      <c r="E29" s="617" t="s">
        <v>3565</v>
      </c>
      <c r="F29" s="618" t="s">
        <v>3566</v>
      </c>
      <c r="G29" s="617" t="s">
        <v>2902</v>
      </c>
      <c r="H29" s="617" t="s">
        <v>2903</v>
      </c>
      <c r="I29" s="619">
        <v>0.99249999999999994</v>
      </c>
      <c r="J29" s="619">
        <v>260</v>
      </c>
      <c r="K29" s="620">
        <v>258.73</v>
      </c>
    </row>
    <row r="30" spans="1:11" ht="14.4" customHeight="1" x14ac:dyDescent="0.3">
      <c r="A30" s="615" t="s">
        <v>479</v>
      </c>
      <c r="B30" s="616" t="s">
        <v>2514</v>
      </c>
      <c r="C30" s="617" t="s">
        <v>484</v>
      </c>
      <c r="D30" s="618" t="s">
        <v>2515</v>
      </c>
      <c r="E30" s="617" t="s">
        <v>3565</v>
      </c>
      <c r="F30" s="618" t="s">
        <v>3566</v>
      </c>
      <c r="G30" s="617" t="s">
        <v>2904</v>
      </c>
      <c r="H30" s="617" t="s">
        <v>2905</v>
      </c>
      <c r="I30" s="619">
        <v>233.79</v>
      </c>
      <c r="J30" s="619">
        <v>30</v>
      </c>
      <c r="K30" s="620">
        <v>7013.8499999999995</v>
      </c>
    </row>
    <row r="31" spans="1:11" ht="14.4" customHeight="1" x14ac:dyDescent="0.3">
      <c r="A31" s="615" t="s">
        <v>479</v>
      </c>
      <c r="B31" s="616" t="s">
        <v>2514</v>
      </c>
      <c r="C31" s="617" t="s">
        <v>484</v>
      </c>
      <c r="D31" s="618" t="s">
        <v>2515</v>
      </c>
      <c r="E31" s="617" t="s">
        <v>3565</v>
      </c>
      <c r="F31" s="618" t="s">
        <v>3566</v>
      </c>
      <c r="G31" s="617" t="s">
        <v>2906</v>
      </c>
      <c r="H31" s="617" t="s">
        <v>2907</v>
      </c>
      <c r="I31" s="619">
        <v>0.434</v>
      </c>
      <c r="J31" s="619">
        <v>8000</v>
      </c>
      <c r="K31" s="620">
        <v>3460</v>
      </c>
    </row>
    <row r="32" spans="1:11" ht="14.4" customHeight="1" x14ac:dyDescent="0.3">
      <c r="A32" s="615" t="s">
        <v>479</v>
      </c>
      <c r="B32" s="616" t="s">
        <v>2514</v>
      </c>
      <c r="C32" s="617" t="s">
        <v>484</v>
      </c>
      <c r="D32" s="618" t="s">
        <v>2515</v>
      </c>
      <c r="E32" s="617" t="s">
        <v>3565</v>
      </c>
      <c r="F32" s="618" t="s">
        <v>3566</v>
      </c>
      <c r="G32" s="617" t="s">
        <v>2908</v>
      </c>
      <c r="H32" s="617" t="s">
        <v>2909</v>
      </c>
      <c r="I32" s="619">
        <v>25.552500000000002</v>
      </c>
      <c r="J32" s="619">
        <v>96</v>
      </c>
      <c r="K32" s="620">
        <v>2452.94</v>
      </c>
    </row>
    <row r="33" spans="1:11" ht="14.4" customHeight="1" x14ac:dyDescent="0.3">
      <c r="A33" s="615" t="s">
        <v>479</v>
      </c>
      <c r="B33" s="616" t="s">
        <v>2514</v>
      </c>
      <c r="C33" s="617" t="s">
        <v>484</v>
      </c>
      <c r="D33" s="618" t="s">
        <v>2515</v>
      </c>
      <c r="E33" s="617" t="s">
        <v>3565</v>
      </c>
      <c r="F33" s="618" t="s">
        <v>3566</v>
      </c>
      <c r="G33" s="617" t="s">
        <v>2910</v>
      </c>
      <c r="H33" s="617" t="s">
        <v>2911</v>
      </c>
      <c r="I33" s="619">
        <v>22.148124999999997</v>
      </c>
      <c r="J33" s="619">
        <v>1225</v>
      </c>
      <c r="K33" s="620">
        <v>27131.75</v>
      </c>
    </row>
    <row r="34" spans="1:11" ht="14.4" customHeight="1" x14ac:dyDescent="0.3">
      <c r="A34" s="615" t="s">
        <v>479</v>
      </c>
      <c r="B34" s="616" t="s">
        <v>2514</v>
      </c>
      <c r="C34" s="617" t="s">
        <v>484</v>
      </c>
      <c r="D34" s="618" t="s">
        <v>2515</v>
      </c>
      <c r="E34" s="617" t="s">
        <v>3565</v>
      </c>
      <c r="F34" s="618" t="s">
        <v>3566</v>
      </c>
      <c r="G34" s="617" t="s">
        <v>2912</v>
      </c>
      <c r="H34" s="617" t="s">
        <v>2913</v>
      </c>
      <c r="I34" s="619">
        <v>30.175333333333342</v>
      </c>
      <c r="J34" s="619">
        <v>950</v>
      </c>
      <c r="K34" s="620">
        <v>28666</v>
      </c>
    </row>
    <row r="35" spans="1:11" ht="14.4" customHeight="1" x14ac:dyDescent="0.3">
      <c r="A35" s="615" t="s">
        <v>479</v>
      </c>
      <c r="B35" s="616" t="s">
        <v>2514</v>
      </c>
      <c r="C35" s="617" t="s">
        <v>484</v>
      </c>
      <c r="D35" s="618" t="s">
        <v>2515</v>
      </c>
      <c r="E35" s="617" t="s">
        <v>3565</v>
      </c>
      <c r="F35" s="618" t="s">
        <v>3566</v>
      </c>
      <c r="G35" s="617" t="s">
        <v>2914</v>
      </c>
      <c r="H35" s="617" t="s">
        <v>2915</v>
      </c>
      <c r="I35" s="619">
        <v>272.43</v>
      </c>
      <c r="J35" s="619">
        <v>12</v>
      </c>
      <c r="K35" s="620">
        <v>3269.2</v>
      </c>
    </row>
    <row r="36" spans="1:11" ht="14.4" customHeight="1" x14ac:dyDescent="0.3">
      <c r="A36" s="615" t="s">
        <v>479</v>
      </c>
      <c r="B36" s="616" t="s">
        <v>2514</v>
      </c>
      <c r="C36" s="617" t="s">
        <v>484</v>
      </c>
      <c r="D36" s="618" t="s">
        <v>2515</v>
      </c>
      <c r="E36" s="617" t="s">
        <v>3565</v>
      </c>
      <c r="F36" s="618" t="s">
        <v>3566</v>
      </c>
      <c r="G36" s="617" t="s">
        <v>2916</v>
      </c>
      <c r="H36" s="617" t="s">
        <v>2917</v>
      </c>
      <c r="I36" s="619">
        <v>1.25</v>
      </c>
      <c r="J36" s="619">
        <v>6375</v>
      </c>
      <c r="K36" s="620">
        <v>7993.9999999999982</v>
      </c>
    </row>
    <row r="37" spans="1:11" ht="14.4" customHeight="1" x14ac:dyDescent="0.3">
      <c r="A37" s="615" t="s">
        <v>479</v>
      </c>
      <c r="B37" s="616" t="s">
        <v>2514</v>
      </c>
      <c r="C37" s="617" t="s">
        <v>484</v>
      </c>
      <c r="D37" s="618" t="s">
        <v>2515</v>
      </c>
      <c r="E37" s="617" t="s">
        <v>3565</v>
      </c>
      <c r="F37" s="618" t="s">
        <v>3566</v>
      </c>
      <c r="G37" s="617" t="s">
        <v>2918</v>
      </c>
      <c r="H37" s="617" t="s">
        <v>2919</v>
      </c>
      <c r="I37" s="619">
        <v>13.048888888888888</v>
      </c>
      <c r="J37" s="619">
        <v>1120</v>
      </c>
      <c r="K37" s="620">
        <v>14606.900000000001</v>
      </c>
    </row>
    <row r="38" spans="1:11" ht="14.4" customHeight="1" x14ac:dyDescent="0.3">
      <c r="A38" s="615" t="s">
        <v>479</v>
      </c>
      <c r="B38" s="616" t="s">
        <v>2514</v>
      </c>
      <c r="C38" s="617" t="s">
        <v>484</v>
      </c>
      <c r="D38" s="618" t="s">
        <v>2515</v>
      </c>
      <c r="E38" s="617" t="s">
        <v>3565</v>
      </c>
      <c r="F38" s="618" t="s">
        <v>3566</v>
      </c>
      <c r="G38" s="617" t="s">
        <v>2920</v>
      </c>
      <c r="H38" s="617" t="s">
        <v>2921</v>
      </c>
      <c r="I38" s="619">
        <v>1.3800000000000001</v>
      </c>
      <c r="J38" s="619">
        <v>700</v>
      </c>
      <c r="K38" s="620">
        <v>966</v>
      </c>
    </row>
    <row r="39" spans="1:11" ht="14.4" customHeight="1" x14ac:dyDescent="0.3">
      <c r="A39" s="615" t="s">
        <v>479</v>
      </c>
      <c r="B39" s="616" t="s">
        <v>2514</v>
      </c>
      <c r="C39" s="617" t="s">
        <v>484</v>
      </c>
      <c r="D39" s="618" t="s">
        <v>2515</v>
      </c>
      <c r="E39" s="617" t="s">
        <v>3565</v>
      </c>
      <c r="F39" s="618" t="s">
        <v>3566</v>
      </c>
      <c r="G39" s="617" t="s">
        <v>2922</v>
      </c>
      <c r="H39" s="617" t="s">
        <v>2923</v>
      </c>
      <c r="I39" s="619">
        <v>8.59</v>
      </c>
      <c r="J39" s="619">
        <v>480</v>
      </c>
      <c r="K39" s="620">
        <v>4123.2</v>
      </c>
    </row>
    <row r="40" spans="1:11" ht="14.4" customHeight="1" x14ac:dyDescent="0.3">
      <c r="A40" s="615" t="s">
        <v>479</v>
      </c>
      <c r="B40" s="616" t="s">
        <v>2514</v>
      </c>
      <c r="C40" s="617" t="s">
        <v>484</v>
      </c>
      <c r="D40" s="618" t="s">
        <v>2515</v>
      </c>
      <c r="E40" s="617" t="s">
        <v>3565</v>
      </c>
      <c r="F40" s="618" t="s">
        <v>3566</v>
      </c>
      <c r="G40" s="617" t="s">
        <v>2924</v>
      </c>
      <c r="H40" s="617" t="s">
        <v>2925</v>
      </c>
      <c r="I40" s="619">
        <v>3.9399999999999995</v>
      </c>
      <c r="J40" s="619">
        <v>5690</v>
      </c>
      <c r="K40" s="620">
        <v>22443.91</v>
      </c>
    </row>
    <row r="41" spans="1:11" ht="14.4" customHeight="1" x14ac:dyDescent="0.3">
      <c r="A41" s="615" t="s">
        <v>479</v>
      </c>
      <c r="B41" s="616" t="s">
        <v>2514</v>
      </c>
      <c r="C41" s="617" t="s">
        <v>484</v>
      </c>
      <c r="D41" s="618" t="s">
        <v>2515</v>
      </c>
      <c r="E41" s="617" t="s">
        <v>3565</v>
      </c>
      <c r="F41" s="618" t="s">
        <v>3566</v>
      </c>
      <c r="G41" s="617" t="s">
        <v>2926</v>
      </c>
      <c r="H41" s="617" t="s">
        <v>2927</v>
      </c>
      <c r="I41" s="619">
        <v>0.44</v>
      </c>
      <c r="J41" s="619">
        <v>3300</v>
      </c>
      <c r="K41" s="620">
        <v>1452</v>
      </c>
    </row>
    <row r="42" spans="1:11" ht="14.4" customHeight="1" x14ac:dyDescent="0.3">
      <c r="A42" s="615" t="s">
        <v>479</v>
      </c>
      <c r="B42" s="616" t="s">
        <v>2514</v>
      </c>
      <c r="C42" s="617" t="s">
        <v>484</v>
      </c>
      <c r="D42" s="618" t="s">
        <v>2515</v>
      </c>
      <c r="E42" s="617" t="s">
        <v>3565</v>
      </c>
      <c r="F42" s="618" t="s">
        <v>3566</v>
      </c>
      <c r="G42" s="617" t="s">
        <v>2928</v>
      </c>
      <c r="H42" s="617" t="s">
        <v>2929</v>
      </c>
      <c r="I42" s="619">
        <v>347.31</v>
      </c>
      <c r="J42" s="619">
        <v>5</v>
      </c>
      <c r="K42" s="620">
        <v>1736.55</v>
      </c>
    </row>
    <row r="43" spans="1:11" ht="14.4" customHeight="1" x14ac:dyDescent="0.3">
      <c r="A43" s="615" t="s">
        <v>479</v>
      </c>
      <c r="B43" s="616" t="s">
        <v>2514</v>
      </c>
      <c r="C43" s="617" t="s">
        <v>484</v>
      </c>
      <c r="D43" s="618" t="s">
        <v>2515</v>
      </c>
      <c r="E43" s="617" t="s">
        <v>3565</v>
      </c>
      <c r="F43" s="618" t="s">
        <v>3566</v>
      </c>
      <c r="G43" s="617" t="s">
        <v>2928</v>
      </c>
      <c r="H43" s="617" t="s">
        <v>2930</v>
      </c>
      <c r="I43" s="619">
        <v>347.31</v>
      </c>
      <c r="J43" s="619">
        <v>10</v>
      </c>
      <c r="K43" s="620">
        <v>3473.1</v>
      </c>
    </row>
    <row r="44" spans="1:11" ht="14.4" customHeight="1" x14ac:dyDescent="0.3">
      <c r="A44" s="615" t="s">
        <v>479</v>
      </c>
      <c r="B44" s="616" t="s">
        <v>2514</v>
      </c>
      <c r="C44" s="617" t="s">
        <v>484</v>
      </c>
      <c r="D44" s="618" t="s">
        <v>2515</v>
      </c>
      <c r="E44" s="617" t="s">
        <v>3565</v>
      </c>
      <c r="F44" s="618" t="s">
        <v>3566</v>
      </c>
      <c r="G44" s="617" t="s">
        <v>2931</v>
      </c>
      <c r="H44" s="617" t="s">
        <v>2932</v>
      </c>
      <c r="I44" s="619">
        <v>8.5780952380952407</v>
      </c>
      <c r="J44" s="619">
        <v>684</v>
      </c>
      <c r="K44" s="620">
        <v>5867.1600000000008</v>
      </c>
    </row>
    <row r="45" spans="1:11" ht="14.4" customHeight="1" x14ac:dyDescent="0.3">
      <c r="A45" s="615" t="s">
        <v>479</v>
      </c>
      <c r="B45" s="616" t="s">
        <v>2514</v>
      </c>
      <c r="C45" s="617" t="s">
        <v>484</v>
      </c>
      <c r="D45" s="618" t="s">
        <v>2515</v>
      </c>
      <c r="E45" s="617" t="s">
        <v>3565</v>
      </c>
      <c r="F45" s="618" t="s">
        <v>3566</v>
      </c>
      <c r="G45" s="617" t="s">
        <v>2933</v>
      </c>
      <c r="H45" s="617" t="s">
        <v>2934</v>
      </c>
      <c r="I45" s="619">
        <v>27.874444444444446</v>
      </c>
      <c r="J45" s="619">
        <v>70</v>
      </c>
      <c r="K45" s="620">
        <v>1951.25</v>
      </c>
    </row>
    <row r="46" spans="1:11" ht="14.4" customHeight="1" x14ac:dyDescent="0.3">
      <c r="A46" s="615" t="s">
        <v>479</v>
      </c>
      <c r="B46" s="616" t="s">
        <v>2514</v>
      </c>
      <c r="C46" s="617" t="s">
        <v>484</v>
      </c>
      <c r="D46" s="618" t="s">
        <v>2515</v>
      </c>
      <c r="E46" s="617" t="s">
        <v>3565</v>
      </c>
      <c r="F46" s="618" t="s">
        <v>3566</v>
      </c>
      <c r="G46" s="617" t="s">
        <v>2935</v>
      </c>
      <c r="H46" s="617" t="s">
        <v>2936</v>
      </c>
      <c r="I46" s="619">
        <v>0.6284615384615384</v>
      </c>
      <c r="J46" s="619">
        <v>12300</v>
      </c>
      <c r="K46" s="620">
        <v>7729</v>
      </c>
    </row>
    <row r="47" spans="1:11" ht="14.4" customHeight="1" x14ac:dyDescent="0.3">
      <c r="A47" s="615" t="s">
        <v>479</v>
      </c>
      <c r="B47" s="616" t="s">
        <v>2514</v>
      </c>
      <c r="C47" s="617" t="s">
        <v>484</v>
      </c>
      <c r="D47" s="618" t="s">
        <v>2515</v>
      </c>
      <c r="E47" s="617" t="s">
        <v>3565</v>
      </c>
      <c r="F47" s="618" t="s">
        <v>3566</v>
      </c>
      <c r="G47" s="617" t="s">
        <v>2937</v>
      </c>
      <c r="H47" s="617" t="s">
        <v>2938</v>
      </c>
      <c r="I47" s="619">
        <v>159.55000000000001</v>
      </c>
      <c r="J47" s="619">
        <v>30</v>
      </c>
      <c r="K47" s="620">
        <v>4786.55</v>
      </c>
    </row>
    <row r="48" spans="1:11" ht="14.4" customHeight="1" x14ac:dyDescent="0.3">
      <c r="A48" s="615" t="s">
        <v>479</v>
      </c>
      <c r="B48" s="616" t="s">
        <v>2514</v>
      </c>
      <c r="C48" s="617" t="s">
        <v>484</v>
      </c>
      <c r="D48" s="618" t="s">
        <v>2515</v>
      </c>
      <c r="E48" s="617" t="s">
        <v>3565</v>
      </c>
      <c r="F48" s="618" t="s">
        <v>3566</v>
      </c>
      <c r="G48" s="617" t="s">
        <v>2939</v>
      </c>
      <c r="H48" s="617" t="s">
        <v>2940</v>
      </c>
      <c r="I48" s="619">
        <v>3.2450000000000001</v>
      </c>
      <c r="J48" s="619">
        <v>1000</v>
      </c>
      <c r="K48" s="620">
        <v>3245</v>
      </c>
    </row>
    <row r="49" spans="1:11" ht="14.4" customHeight="1" x14ac:dyDescent="0.3">
      <c r="A49" s="615" t="s">
        <v>479</v>
      </c>
      <c r="B49" s="616" t="s">
        <v>2514</v>
      </c>
      <c r="C49" s="617" t="s">
        <v>484</v>
      </c>
      <c r="D49" s="618" t="s">
        <v>2515</v>
      </c>
      <c r="E49" s="617" t="s">
        <v>3565</v>
      </c>
      <c r="F49" s="618" t="s">
        <v>3566</v>
      </c>
      <c r="G49" s="617" t="s">
        <v>2941</v>
      </c>
      <c r="H49" s="617" t="s">
        <v>2942</v>
      </c>
      <c r="I49" s="619">
        <v>1.2899999999999996</v>
      </c>
      <c r="J49" s="619">
        <v>14885</v>
      </c>
      <c r="K49" s="620">
        <v>19201.650000000001</v>
      </c>
    </row>
    <row r="50" spans="1:11" ht="14.4" customHeight="1" x14ac:dyDescent="0.3">
      <c r="A50" s="615" t="s">
        <v>479</v>
      </c>
      <c r="B50" s="616" t="s">
        <v>2514</v>
      </c>
      <c r="C50" s="617" t="s">
        <v>484</v>
      </c>
      <c r="D50" s="618" t="s">
        <v>2515</v>
      </c>
      <c r="E50" s="617" t="s">
        <v>3565</v>
      </c>
      <c r="F50" s="618" t="s">
        <v>3566</v>
      </c>
      <c r="G50" s="617" t="s">
        <v>2943</v>
      </c>
      <c r="H50" s="617" t="s">
        <v>2944</v>
      </c>
      <c r="I50" s="619">
        <v>9.017142857142856</v>
      </c>
      <c r="J50" s="619">
        <v>670</v>
      </c>
      <c r="K50" s="620">
        <v>6041</v>
      </c>
    </row>
    <row r="51" spans="1:11" ht="14.4" customHeight="1" x14ac:dyDescent="0.3">
      <c r="A51" s="615" t="s">
        <v>479</v>
      </c>
      <c r="B51" s="616" t="s">
        <v>2514</v>
      </c>
      <c r="C51" s="617" t="s">
        <v>484</v>
      </c>
      <c r="D51" s="618" t="s">
        <v>2515</v>
      </c>
      <c r="E51" s="617" t="s">
        <v>3565</v>
      </c>
      <c r="F51" s="618" t="s">
        <v>3566</v>
      </c>
      <c r="G51" s="617" t="s">
        <v>2945</v>
      </c>
      <c r="H51" s="617" t="s">
        <v>2946</v>
      </c>
      <c r="I51" s="619">
        <v>46.884999999999998</v>
      </c>
      <c r="J51" s="619">
        <v>14</v>
      </c>
      <c r="K51" s="620">
        <v>658.16</v>
      </c>
    </row>
    <row r="52" spans="1:11" ht="14.4" customHeight="1" x14ac:dyDescent="0.3">
      <c r="A52" s="615" t="s">
        <v>479</v>
      </c>
      <c r="B52" s="616" t="s">
        <v>2514</v>
      </c>
      <c r="C52" s="617" t="s">
        <v>484</v>
      </c>
      <c r="D52" s="618" t="s">
        <v>2515</v>
      </c>
      <c r="E52" s="617" t="s">
        <v>3565</v>
      </c>
      <c r="F52" s="618" t="s">
        <v>3566</v>
      </c>
      <c r="G52" s="617" t="s">
        <v>2947</v>
      </c>
      <c r="H52" s="617" t="s">
        <v>2948</v>
      </c>
      <c r="I52" s="619">
        <v>29.9</v>
      </c>
      <c r="J52" s="619">
        <v>30</v>
      </c>
      <c r="K52" s="620">
        <v>897</v>
      </c>
    </row>
    <row r="53" spans="1:11" ht="14.4" customHeight="1" x14ac:dyDescent="0.3">
      <c r="A53" s="615" t="s">
        <v>479</v>
      </c>
      <c r="B53" s="616" t="s">
        <v>2514</v>
      </c>
      <c r="C53" s="617" t="s">
        <v>484</v>
      </c>
      <c r="D53" s="618" t="s">
        <v>2515</v>
      </c>
      <c r="E53" s="617" t="s">
        <v>3565</v>
      </c>
      <c r="F53" s="618" t="s">
        <v>3566</v>
      </c>
      <c r="G53" s="617" t="s">
        <v>2949</v>
      </c>
      <c r="H53" s="617" t="s">
        <v>2950</v>
      </c>
      <c r="I53" s="619">
        <v>0.97</v>
      </c>
      <c r="J53" s="619">
        <v>100</v>
      </c>
      <c r="K53" s="620">
        <v>97</v>
      </c>
    </row>
    <row r="54" spans="1:11" ht="14.4" customHeight="1" x14ac:dyDescent="0.3">
      <c r="A54" s="615" t="s">
        <v>479</v>
      </c>
      <c r="B54" s="616" t="s">
        <v>2514</v>
      </c>
      <c r="C54" s="617" t="s">
        <v>484</v>
      </c>
      <c r="D54" s="618" t="s">
        <v>2515</v>
      </c>
      <c r="E54" s="617" t="s">
        <v>3565</v>
      </c>
      <c r="F54" s="618" t="s">
        <v>3566</v>
      </c>
      <c r="G54" s="617" t="s">
        <v>2951</v>
      </c>
      <c r="H54" s="617" t="s">
        <v>2952</v>
      </c>
      <c r="I54" s="619">
        <v>123.18666666666667</v>
      </c>
      <c r="J54" s="619">
        <v>30</v>
      </c>
      <c r="K54" s="620">
        <v>3695.5600000000004</v>
      </c>
    </row>
    <row r="55" spans="1:11" ht="14.4" customHeight="1" x14ac:dyDescent="0.3">
      <c r="A55" s="615" t="s">
        <v>479</v>
      </c>
      <c r="B55" s="616" t="s">
        <v>2514</v>
      </c>
      <c r="C55" s="617" t="s">
        <v>484</v>
      </c>
      <c r="D55" s="618" t="s">
        <v>2515</v>
      </c>
      <c r="E55" s="617" t="s">
        <v>3565</v>
      </c>
      <c r="F55" s="618" t="s">
        <v>3566</v>
      </c>
      <c r="G55" s="617" t="s">
        <v>2953</v>
      </c>
      <c r="H55" s="617" t="s">
        <v>2954</v>
      </c>
      <c r="I55" s="619">
        <v>7.5099999999999989</v>
      </c>
      <c r="J55" s="619">
        <v>222</v>
      </c>
      <c r="K55" s="620">
        <v>1667.2199999999998</v>
      </c>
    </row>
    <row r="56" spans="1:11" ht="14.4" customHeight="1" x14ac:dyDescent="0.3">
      <c r="A56" s="615" t="s">
        <v>479</v>
      </c>
      <c r="B56" s="616" t="s">
        <v>2514</v>
      </c>
      <c r="C56" s="617" t="s">
        <v>484</v>
      </c>
      <c r="D56" s="618" t="s">
        <v>2515</v>
      </c>
      <c r="E56" s="617" t="s">
        <v>3565</v>
      </c>
      <c r="F56" s="618" t="s">
        <v>3566</v>
      </c>
      <c r="G56" s="617" t="s">
        <v>2955</v>
      </c>
      <c r="H56" s="617" t="s">
        <v>2956</v>
      </c>
      <c r="I56" s="619">
        <v>0.8566666666666668</v>
      </c>
      <c r="J56" s="619">
        <v>1100</v>
      </c>
      <c r="K56" s="620">
        <v>942</v>
      </c>
    </row>
    <row r="57" spans="1:11" ht="14.4" customHeight="1" x14ac:dyDescent="0.3">
      <c r="A57" s="615" t="s">
        <v>479</v>
      </c>
      <c r="B57" s="616" t="s">
        <v>2514</v>
      </c>
      <c r="C57" s="617" t="s">
        <v>484</v>
      </c>
      <c r="D57" s="618" t="s">
        <v>2515</v>
      </c>
      <c r="E57" s="617" t="s">
        <v>3565</v>
      </c>
      <c r="F57" s="618" t="s">
        <v>3566</v>
      </c>
      <c r="G57" s="617" t="s">
        <v>2955</v>
      </c>
      <c r="H57" s="617" t="s">
        <v>2957</v>
      </c>
      <c r="I57" s="619">
        <v>0.85571428571428576</v>
      </c>
      <c r="J57" s="619">
        <v>1400</v>
      </c>
      <c r="K57" s="620">
        <v>1196</v>
      </c>
    </row>
    <row r="58" spans="1:11" ht="14.4" customHeight="1" x14ac:dyDescent="0.3">
      <c r="A58" s="615" t="s">
        <v>479</v>
      </c>
      <c r="B58" s="616" t="s">
        <v>2514</v>
      </c>
      <c r="C58" s="617" t="s">
        <v>484</v>
      </c>
      <c r="D58" s="618" t="s">
        <v>2515</v>
      </c>
      <c r="E58" s="617" t="s">
        <v>3565</v>
      </c>
      <c r="F58" s="618" t="s">
        <v>3566</v>
      </c>
      <c r="G58" s="617" t="s">
        <v>2958</v>
      </c>
      <c r="H58" s="617" t="s">
        <v>2959</v>
      </c>
      <c r="I58" s="619">
        <v>1.5183333333333333</v>
      </c>
      <c r="J58" s="619">
        <v>850</v>
      </c>
      <c r="K58" s="620">
        <v>1290</v>
      </c>
    </row>
    <row r="59" spans="1:11" ht="14.4" customHeight="1" x14ac:dyDescent="0.3">
      <c r="A59" s="615" t="s">
        <v>479</v>
      </c>
      <c r="B59" s="616" t="s">
        <v>2514</v>
      </c>
      <c r="C59" s="617" t="s">
        <v>484</v>
      </c>
      <c r="D59" s="618" t="s">
        <v>2515</v>
      </c>
      <c r="E59" s="617" t="s">
        <v>3565</v>
      </c>
      <c r="F59" s="618" t="s">
        <v>3566</v>
      </c>
      <c r="G59" s="617" t="s">
        <v>2958</v>
      </c>
      <c r="H59" s="617" t="s">
        <v>2960</v>
      </c>
      <c r="I59" s="619">
        <v>1.5133333333333334</v>
      </c>
      <c r="J59" s="619">
        <v>950</v>
      </c>
      <c r="K59" s="620">
        <v>1436.5</v>
      </c>
    </row>
    <row r="60" spans="1:11" ht="14.4" customHeight="1" x14ac:dyDescent="0.3">
      <c r="A60" s="615" t="s">
        <v>479</v>
      </c>
      <c r="B60" s="616" t="s">
        <v>2514</v>
      </c>
      <c r="C60" s="617" t="s">
        <v>484</v>
      </c>
      <c r="D60" s="618" t="s">
        <v>2515</v>
      </c>
      <c r="E60" s="617" t="s">
        <v>3565</v>
      </c>
      <c r="F60" s="618" t="s">
        <v>3566</v>
      </c>
      <c r="G60" s="617" t="s">
        <v>2961</v>
      </c>
      <c r="H60" s="617" t="s">
        <v>2962</v>
      </c>
      <c r="I60" s="619">
        <v>2.0633333333333335</v>
      </c>
      <c r="J60" s="619">
        <v>700</v>
      </c>
      <c r="K60" s="620">
        <v>1444</v>
      </c>
    </row>
    <row r="61" spans="1:11" ht="14.4" customHeight="1" x14ac:dyDescent="0.3">
      <c r="A61" s="615" t="s">
        <v>479</v>
      </c>
      <c r="B61" s="616" t="s">
        <v>2514</v>
      </c>
      <c r="C61" s="617" t="s">
        <v>484</v>
      </c>
      <c r="D61" s="618" t="s">
        <v>2515</v>
      </c>
      <c r="E61" s="617" t="s">
        <v>3565</v>
      </c>
      <c r="F61" s="618" t="s">
        <v>3566</v>
      </c>
      <c r="G61" s="617" t="s">
        <v>2963</v>
      </c>
      <c r="H61" s="617" t="s">
        <v>2964</v>
      </c>
      <c r="I61" s="619">
        <v>3.3666666666666671</v>
      </c>
      <c r="J61" s="619">
        <v>150</v>
      </c>
      <c r="K61" s="620">
        <v>505</v>
      </c>
    </row>
    <row r="62" spans="1:11" ht="14.4" customHeight="1" x14ac:dyDescent="0.3">
      <c r="A62" s="615" t="s">
        <v>479</v>
      </c>
      <c r="B62" s="616" t="s">
        <v>2514</v>
      </c>
      <c r="C62" s="617" t="s">
        <v>484</v>
      </c>
      <c r="D62" s="618" t="s">
        <v>2515</v>
      </c>
      <c r="E62" s="617" t="s">
        <v>3565</v>
      </c>
      <c r="F62" s="618" t="s">
        <v>3566</v>
      </c>
      <c r="G62" s="617" t="s">
        <v>2965</v>
      </c>
      <c r="H62" s="617" t="s">
        <v>2966</v>
      </c>
      <c r="I62" s="619">
        <v>5.84</v>
      </c>
      <c r="J62" s="619">
        <v>50</v>
      </c>
      <c r="K62" s="620">
        <v>291.92</v>
      </c>
    </row>
    <row r="63" spans="1:11" ht="14.4" customHeight="1" x14ac:dyDescent="0.3">
      <c r="A63" s="615" t="s">
        <v>479</v>
      </c>
      <c r="B63" s="616" t="s">
        <v>2514</v>
      </c>
      <c r="C63" s="617" t="s">
        <v>484</v>
      </c>
      <c r="D63" s="618" t="s">
        <v>2515</v>
      </c>
      <c r="E63" s="617" t="s">
        <v>3565</v>
      </c>
      <c r="F63" s="618" t="s">
        <v>3566</v>
      </c>
      <c r="G63" s="617" t="s">
        <v>2967</v>
      </c>
      <c r="H63" s="617" t="s">
        <v>2968</v>
      </c>
      <c r="I63" s="619">
        <v>733.68</v>
      </c>
      <c r="J63" s="619">
        <v>1</v>
      </c>
      <c r="K63" s="620">
        <v>733.68</v>
      </c>
    </row>
    <row r="64" spans="1:11" ht="14.4" customHeight="1" x14ac:dyDescent="0.3">
      <c r="A64" s="615" t="s">
        <v>479</v>
      </c>
      <c r="B64" s="616" t="s">
        <v>2514</v>
      </c>
      <c r="C64" s="617" t="s">
        <v>484</v>
      </c>
      <c r="D64" s="618" t="s">
        <v>2515</v>
      </c>
      <c r="E64" s="617" t="s">
        <v>3565</v>
      </c>
      <c r="F64" s="618" t="s">
        <v>3566</v>
      </c>
      <c r="G64" s="617" t="s">
        <v>2969</v>
      </c>
      <c r="H64" s="617" t="s">
        <v>2970</v>
      </c>
      <c r="I64" s="619">
        <v>191.13</v>
      </c>
      <c r="J64" s="619">
        <v>5</v>
      </c>
      <c r="K64" s="620">
        <v>955.65</v>
      </c>
    </row>
    <row r="65" spans="1:11" ht="14.4" customHeight="1" x14ac:dyDescent="0.3">
      <c r="A65" s="615" t="s">
        <v>479</v>
      </c>
      <c r="B65" s="616" t="s">
        <v>2514</v>
      </c>
      <c r="C65" s="617" t="s">
        <v>484</v>
      </c>
      <c r="D65" s="618" t="s">
        <v>2515</v>
      </c>
      <c r="E65" s="617" t="s">
        <v>3565</v>
      </c>
      <c r="F65" s="618" t="s">
        <v>3566</v>
      </c>
      <c r="G65" s="617" t="s">
        <v>2971</v>
      </c>
      <c r="H65" s="617" t="s">
        <v>2972</v>
      </c>
      <c r="I65" s="619">
        <v>66.72</v>
      </c>
      <c r="J65" s="619">
        <v>30</v>
      </c>
      <c r="K65" s="620">
        <v>2001.72</v>
      </c>
    </row>
    <row r="66" spans="1:11" ht="14.4" customHeight="1" x14ac:dyDescent="0.3">
      <c r="A66" s="615" t="s">
        <v>479</v>
      </c>
      <c r="B66" s="616" t="s">
        <v>2514</v>
      </c>
      <c r="C66" s="617" t="s">
        <v>484</v>
      </c>
      <c r="D66" s="618" t="s">
        <v>2515</v>
      </c>
      <c r="E66" s="617" t="s">
        <v>3565</v>
      </c>
      <c r="F66" s="618" t="s">
        <v>3566</v>
      </c>
      <c r="G66" s="617" t="s">
        <v>2973</v>
      </c>
      <c r="H66" s="617" t="s">
        <v>2974</v>
      </c>
      <c r="I66" s="619">
        <v>243.52</v>
      </c>
      <c r="J66" s="619">
        <v>2</v>
      </c>
      <c r="K66" s="620">
        <v>487.04</v>
      </c>
    </row>
    <row r="67" spans="1:11" ht="14.4" customHeight="1" x14ac:dyDescent="0.3">
      <c r="A67" s="615" t="s">
        <v>479</v>
      </c>
      <c r="B67" s="616" t="s">
        <v>2514</v>
      </c>
      <c r="C67" s="617" t="s">
        <v>484</v>
      </c>
      <c r="D67" s="618" t="s">
        <v>2515</v>
      </c>
      <c r="E67" s="617" t="s">
        <v>3565</v>
      </c>
      <c r="F67" s="618" t="s">
        <v>3566</v>
      </c>
      <c r="G67" s="617" t="s">
        <v>2975</v>
      </c>
      <c r="H67" s="617" t="s">
        <v>2976</v>
      </c>
      <c r="I67" s="619">
        <v>3.01</v>
      </c>
      <c r="J67" s="619">
        <v>100</v>
      </c>
      <c r="K67" s="620">
        <v>300.98</v>
      </c>
    </row>
    <row r="68" spans="1:11" ht="14.4" customHeight="1" x14ac:dyDescent="0.3">
      <c r="A68" s="615" t="s">
        <v>479</v>
      </c>
      <c r="B68" s="616" t="s">
        <v>2514</v>
      </c>
      <c r="C68" s="617" t="s">
        <v>484</v>
      </c>
      <c r="D68" s="618" t="s">
        <v>2515</v>
      </c>
      <c r="E68" s="617" t="s">
        <v>3565</v>
      </c>
      <c r="F68" s="618" t="s">
        <v>3566</v>
      </c>
      <c r="G68" s="617" t="s">
        <v>2977</v>
      </c>
      <c r="H68" s="617" t="s">
        <v>2978</v>
      </c>
      <c r="I68" s="619">
        <v>659.91</v>
      </c>
      <c r="J68" s="619">
        <v>24</v>
      </c>
      <c r="K68" s="620">
        <v>15837.8</v>
      </c>
    </row>
    <row r="69" spans="1:11" ht="14.4" customHeight="1" x14ac:dyDescent="0.3">
      <c r="A69" s="615" t="s">
        <v>479</v>
      </c>
      <c r="B69" s="616" t="s">
        <v>2514</v>
      </c>
      <c r="C69" s="617" t="s">
        <v>484</v>
      </c>
      <c r="D69" s="618" t="s">
        <v>2515</v>
      </c>
      <c r="E69" s="617" t="s">
        <v>3565</v>
      </c>
      <c r="F69" s="618" t="s">
        <v>3566</v>
      </c>
      <c r="G69" s="617" t="s">
        <v>2979</v>
      </c>
      <c r="H69" s="617" t="s">
        <v>2980</v>
      </c>
      <c r="I69" s="619">
        <v>798.17000000000007</v>
      </c>
      <c r="J69" s="619">
        <v>8</v>
      </c>
      <c r="K69" s="620">
        <v>6414.52</v>
      </c>
    </row>
    <row r="70" spans="1:11" ht="14.4" customHeight="1" x14ac:dyDescent="0.3">
      <c r="A70" s="615" t="s">
        <v>479</v>
      </c>
      <c r="B70" s="616" t="s">
        <v>2514</v>
      </c>
      <c r="C70" s="617" t="s">
        <v>484</v>
      </c>
      <c r="D70" s="618" t="s">
        <v>2515</v>
      </c>
      <c r="E70" s="617" t="s">
        <v>3565</v>
      </c>
      <c r="F70" s="618" t="s">
        <v>3566</v>
      </c>
      <c r="G70" s="617" t="s">
        <v>2981</v>
      </c>
      <c r="H70" s="617" t="s">
        <v>2982</v>
      </c>
      <c r="I70" s="619">
        <v>9.7774999999999999</v>
      </c>
      <c r="J70" s="619">
        <v>330</v>
      </c>
      <c r="K70" s="620">
        <v>3225.95</v>
      </c>
    </row>
    <row r="71" spans="1:11" ht="14.4" customHeight="1" x14ac:dyDescent="0.3">
      <c r="A71" s="615" t="s">
        <v>479</v>
      </c>
      <c r="B71" s="616" t="s">
        <v>2514</v>
      </c>
      <c r="C71" s="617" t="s">
        <v>484</v>
      </c>
      <c r="D71" s="618" t="s">
        <v>2515</v>
      </c>
      <c r="E71" s="617" t="s">
        <v>3565</v>
      </c>
      <c r="F71" s="618" t="s">
        <v>3566</v>
      </c>
      <c r="G71" s="617" t="s">
        <v>2983</v>
      </c>
      <c r="H71" s="617" t="s">
        <v>2984</v>
      </c>
      <c r="I71" s="619">
        <v>185.97499999999999</v>
      </c>
      <c r="J71" s="619">
        <v>96</v>
      </c>
      <c r="K71" s="620">
        <v>17853.599999999999</v>
      </c>
    </row>
    <row r="72" spans="1:11" ht="14.4" customHeight="1" x14ac:dyDescent="0.3">
      <c r="A72" s="615" t="s">
        <v>479</v>
      </c>
      <c r="B72" s="616" t="s">
        <v>2514</v>
      </c>
      <c r="C72" s="617" t="s">
        <v>484</v>
      </c>
      <c r="D72" s="618" t="s">
        <v>2515</v>
      </c>
      <c r="E72" s="617" t="s">
        <v>3565</v>
      </c>
      <c r="F72" s="618" t="s">
        <v>3566</v>
      </c>
      <c r="G72" s="617" t="s">
        <v>2985</v>
      </c>
      <c r="H72" s="617" t="s">
        <v>2986</v>
      </c>
      <c r="I72" s="619">
        <v>899.84</v>
      </c>
      <c r="J72" s="619">
        <v>3</v>
      </c>
      <c r="K72" s="620">
        <v>2699.52</v>
      </c>
    </row>
    <row r="73" spans="1:11" ht="14.4" customHeight="1" x14ac:dyDescent="0.3">
      <c r="A73" s="615" t="s">
        <v>479</v>
      </c>
      <c r="B73" s="616" t="s">
        <v>2514</v>
      </c>
      <c r="C73" s="617" t="s">
        <v>484</v>
      </c>
      <c r="D73" s="618" t="s">
        <v>2515</v>
      </c>
      <c r="E73" s="617" t="s">
        <v>3565</v>
      </c>
      <c r="F73" s="618" t="s">
        <v>3566</v>
      </c>
      <c r="G73" s="617" t="s">
        <v>2987</v>
      </c>
      <c r="H73" s="617" t="s">
        <v>2988</v>
      </c>
      <c r="I73" s="619">
        <v>1084.3499999999999</v>
      </c>
      <c r="J73" s="619">
        <v>2</v>
      </c>
      <c r="K73" s="620">
        <v>2168.6999999999998</v>
      </c>
    </row>
    <row r="74" spans="1:11" ht="14.4" customHeight="1" x14ac:dyDescent="0.3">
      <c r="A74" s="615" t="s">
        <v>479</v>
      </c>
      <c r="B74" s="616" t="s">
        <v>2514</v>
      </c>
      <c r="C74" s="617" t="s">
        <v>484</v>
      </c>
      <c r="D74" s="618" t="s">
        <v>2515</v>
      </c>
      <c r="E74" s="617" t="s">
        <v>3565</v>
      </c>
      <c r="F74" s="618" t="s">
        <v>3566</v>
      </c>
      <c r="G74" s="617" t="s">
        <v>2989</v>
      </c>
      <c r="H74" s="617" t="s">
        <v>2990</v>
      </c>
      <c r="I74" s="619">
        <v>2.67</v>
      </c>
      <c r="J74" s="619">
        <v>45</v>
      </c>
      <c r="K74" s="620">
        <v>120.15</v>
      </c>
    </row>
    <row r="75" spans="1:11" ht="14.4" customHeight="1" x14ac:dyDescent="0.3">
      <c r="A75" s="615" t="s">
        <v>479</v>
      </c>
      <c r="B75" s="616" t="s">
        <v>2514</v>
      </c>
      <c r="C75" s="617" t="s">
        <v>484</v>
      </c>
      <c r="D75" s="618" t="s">
        <v>2515</v>
      </c>
      <c r="E75" s="617" t="s">
        <v>3565</v>
      </c>
      <c r="F75" s="618" t="s">
        <v>3566</v>
      </c>
      <c r="G75" s="617" t="s">
        <v>2991</v>
      </c>
      <c r="H75" s="617" t="s">
        <v>2992</v>
      </c>
      <c r="I75" s="619">
        <v>5.2726666666666651</v>
      </c>
      <c r="J75" s="619">
        <v>640</v>
      </c>
      <c r="K75" s="620">
        <v>3374.8</v>
      </c>
    </row>
    <row r="76" spans="1:11" ht="14.4" customHeight="1" x14ac:dyDescent="0.3">
      <c r="A76" s="615" t="s">
        <v>479</v>
      </c>
      <c r="B76" s="616" t="s">
        <v>2514</v>
      </c>
      <c r="C76" s="617" t="s">
        <v>484</v>
      </c>
      <c r="D76" s="618" t="s">
        <v>2515</v>
      </c>
      <c r="E76" s="617" t="s">
        <v>3565</v>
      </c>
      <c r="F76" s="618" t="s">
        <v>3566</v>
      </c>
      <c r="G76" s="617" t="s">
        <v>2993</v>
      </c>
      <c r="H76" s="617" t="s">
        <v>2994</v>
      </c>
      <c r="I76" s="619">
        <v>314.80500000000001</v>
      </c>
      <c r="J76" s="619">
        <v>4</v>
      </c>
      <c r="K76" s="620">
        <v>1259.23</v>
      </c>
    </row>
    <row r="77" spans="1:11" ht="14.4" customHeight="1" x14ac:dyDescent="0.3">
      <c r="A77" s="615" t="s">
        <v>479</v>
      </c>
      <c r="B77" s="616" t="s">
        <v>2514</v>
      </c>
      <c r="C77" s="617" t="s">
        <v>484</v>
      </c>
      <c r="D77" s="618" t="s">
        <v>2515</v>
      </c>
      <c r="E77" s="617" t="s">
        <v>3565</v>
      </c>
      <c r="F77" s="618" t="s">
        <v>3566</v>
      </c>
      <c r="G77" s="617" t="s">
        <v>2995</v>
      </c>
      <c r="H77" s="617" t="s">
        <v>2996</v>
      </c>
      <c r="I77" s="619">
        <v>120.31000000000002</v>
      </c>
      <c r="J77" s="619">
        <v>75</v>
      </c>
      <c r="K77" s="620">
        <v>8947.9200000000019</v>
      </c>
    </row>
    <row r="78" spans="1:11" ht="14.4" customHeight="1" x14ac:dyDescent="0.3">
      <c r="A78" s="615" t="s">
        <v>479</v>
      </c>
      <c r="B78" s="616" t="s">
        <v>2514</v>
      </c>
      <c r="C78" s="617" t="s">
        <v>484</v>
      </c>
      <c r="D78" s="618" t="s">
        <v>2515</v>
      </c>
      <c r="E78" s="617" t="s">
        <v>3565</v>
      </c>
      <c r="F78" s="618" t="s">
        <v>3566</v>
      </c>
      <c r="G78" s="617" t="s">
        <v>2997</v>
      </c>
      <c r="H78" s="617" t="s">
        <v>2998</v>
      </c>
      <c r="I78" s="619">
        <v>5.8639999999999999</v>
      </c>
      <c r="J78" s="619">
        <v>500</v>
      </c>
      <c r="K78" s="620">
        <v>2933</v>
      </c>
    </row>
    <row r="79" spans="1:11" ht="14.4" customHeight="1" x14ac:dyDescent="0.3">
      <c r="A79" s="615" t="s">
        <v>479</v>
      </c>
      <c r="B79" s="616" t="s">
        <v>2514</v>
      </c>
      <c r="C79" s="617" t="s">
        <v>484</v>
      </c>
      <c r="D79" s="618" t="s">
        <v>2515</v>
      </c>
      <c r="E79" s="617" t="s">
        <v>3565</v>
      </c>
      <c r="F79" s="618" t="s">
        <v>3566</v>
      </c>
      <c r="G79" s="617" t="s">
        <v>2997</v>
      </c>
      <c r="H79" s="617" t="s">
        <v>2999</v>
      </c>
      <c r="I79" s="619">
        <v>5.17</v>
      </c>
      <c r="J79" s="619">
        <v>200</v>
      </c>
      <c r="K79" s="620">
        <v>1035</v>
      </c>
    </row>
    <row r="80" spans="1:11" ht="14.4" customHeight="1" x14ac:dyDescent="0.3">
      <c r="A80" s="615" t="s">
        <v>479</v>
      </c>
      <c r="B80" s="616" t="s">
        <v>2514</v>
      </c>
      <c r="C80" s="617" t="s">
        <v>484</v>
      </c>
      <c r="D80" s="618" t="s">
        <v>2515</v>
      </c>
      <c r="E80" s="617" t="s">
        <v>3565</v>
      </c>
      <c r="F80" s="618" t="s">
        <v>3566</v>
      </c>
      <c r="G80" s="617" t="s">
        <v>3000</v>
      </c>
      <c r="H80" s="617" t="s">
        <v>3001</v>
      </c>
      <c r="I80" s="619">
        <v>153</v>
      </c>
      <c r="J80" s="619">
        <v>20</v>
      </c>
      <c r="K80" s="620">
        <v>3059.96</v>
      </c>
    </row>
    <row r="81" spans="1:11" ht="14.4" customHeight="1" x14ac:dyDescent="0.3">
      <c r="A81" s="615" t="s">
        <v>479</v>
      </c>
      <c r="B81" s="616" t="s">
        <v>2514</v>
      </c>
      <c r="C81" s="617" t="s">
        <v>484</v>
      </c>
      <c r="D81" s="618" t="s">
        <v>2515</v>
      </c>
      <c r="E81" s="617" t="s">
        <v>3565</v>
      </c>
      <c r="F81" s="618" t="s">
        <v>3566</v>
      </c>
      <c r="G81" s="617" t="s">
        <v>3002</v>
      </c>
      <c r="H81" s="617" t="s">
        <v>3003</v>
      </c>
      <c r="I81" s="619">
        <v>235.13</v>
      </c>
      <c r="J81" s="619">
        <v>10</v>
      </c>
      <c r="K81" s="620">
        <v>2351.29</v>
      </c>
    </row>
    <row r="82" spans="1:11" ht="14.4" customHeight="1" x14ac:dyDescent="0.3">
      <c r="A82" s="615" t="s">
        <v>479</v>
      </c>
      <c r="B82" s="616" t="s">
        <v>2514</v>
      </c>
      <c r="C82" s="617" t="s">
        <v>484</v>
      </c>
      <c r="D82" s="618" t="s">
        <v>2515</v>
      </c>
      <c r="E82" s="617" t="s">
        <v>3565</v>
      </c>
      <c r="F82" s="618" t="s">
        <v>3566</v>
      </c>
      <c r="G82" s="617" t="s">
        <v>3004</v>
      </c>
      <c r="H82" s="617" t="s">
        <v>3005</v>
      </c>
      <c r="I82" s="619">
        <v>314.8</v>
      </c>
      <c r="J82" s="619">
        <v>5</v>
      </c>
      <c r="K82" s="620">
        <v>1574</v>
      </c>
    </row>
    <row r="83" spans="1:11" ht="14.4" customHeight="1" x14ac:dyDescent="0.3">
      <c r="A83" s="615" t="s">
        <v>479</v>
      </c>
      <c r="B83" s="616" t="s">
        <v>2514</v>
      </c>
      <c r="C83" s="617" t="s">
        <v>484</v>
      </c>
      <c r="D83" s="618" t="s">
        <v>2515</v>
      </c>
      <c r="E83" s="617" t="s">
        <v>3565</v>
      </c>
      <c r="F83" s="618" t="s">
        <v>3566</v>
      </c>
      <c r="G83" s="617" t="s">
        <v>3006</v>
      </c>
      <c r="H83" s="617" t="s">
        <v>3007</v>
      </c>
      <c r="I83" s="619">
        <v>8.7718181818181797</v>
      </c>
      <c r="J83" s="619">
        <v>2304</v>
      </c>
      <c r="K83" s="620">
        <v>20217.310000000005</v>
      </c>
    </row>
    <row r="84" spans="1:11" ht="14.4" customHeight="1" x14ac:dyDescent="0.3">
      <c r="A84" s="615" t="s">
        <v>479</v>
      </c>
      <c r="B84" s="616" t="s">
        <v>2514</v>
      </c>
      <c r="C84" s="617" t="s">
        <v>484</v>
      </c>
      <c r="D84" s="618" t="s">
        <v>2515</v>
      </c>
      <c r="E84" s="617" t="s">
        <v>3565</v>
      </c>
      <c r="F84" s="618" t="s">
        <v>3566</v>
      </c>
      <c r="G84" s="617" t="s">
        <v>3008</v>
      </c>
      <c r="H84" s="617" t="s">
        <v>3009</v>
      </c>
      <c r="I84" s="619">
        <v>314.8</v>
      </c>
      <c r="J84" s="619">
        <v>5</v>
      </c>
      <c r="K84" s="620">
        <v>1574</v>
      </c>
    </row>
    <row r="85" spans="1:11" ht="14.4" customHeight="1" x14ac:dyDescent="0.3">
      <c r="A85" s="615" t="s">
        <v>479</v>
      </c>
      <c r="B85" s="616" t="s">
        <v>2514</v>
      </c>
      <c r="C85" s="617" t="s">
        <v>484</v>
      </c>
      <c r="D85" s="618" t="s">
        <v>2515</v>
      </c>
      <c r="E85" s="617" t="s">
        <v>3565</v>
      </c>
      <c r="F85" s="618" t="s">
        <v>3566</v>
      </c>
      <c r="G85" s="617" t="s">
        <v>3010</v>
      </c>
      <c r="H85" s="617" t="s">
        <v>3011</v>
      </c>
      <c r="I85" s="619">
        <v>2.9</v>
      </c>
      <c r="J85" s="619">
        <v>300</v>
      </c>
      <c r="K85" s="620">
        <v>869.40000000000009</v>
      </c>
    </row>
    <row r="86" spans="1:11" ht="14.4" customHeight="1" x14ac:dyDescent="0.3">
      <c r="A86" s="615" t="s">
        <v>479</v>
      </c>
      <c r="B86" s="616" t="s">
        <v>2514</v>
      </c>
      <c r="C86" s="617" t="s">
        <v>484</v>
      </c>
      <c r="D86" s="618" t="s">
        <v>2515</v>
      </c>
      <c r="E86" s="617" t="s">
        <v>3565</v>
      </c>
      <c r="F86" s="618" t="s">
        <v>3566</v>
      </c>
      <c r="G86" s="617" t="s">
        <v>3012</v>
      </c>
      <c r="H86" s="617" t="s">
        <v>3013</v>
      </c>
      <c r="I86" s="619">
        <v>1.18</v>
      </c>
      <c r="J86" s="619">
        <v>100</v>
      </c>
      <c r="K86" s="620">
        <v>118</v>
      </c>
    </row>
    <row r="87" spans="1:11" ht="14.4" customHeight="1" x14ac:dyDescent="0.3">
      <c r="A87" s="615" t="s">
        <v>479</v>
      </c>
      <c r="B87" s="616" t="s">
        <v>2514</v>
      </c>
      <c r="C87" s="617" t="s">
        <v>484</v>
      </c>
      <c r="D87" s="618" t="s">
        <v>2515</v>
      </c>
      <c r="E87" s="617" t="s">
        <v>3565</v>
      </c>
      <c r="F87" s="618" t="s">
        <v>3566</v>
      </c>
      <c r="G87" s="617" t="s">
        <v>3014</v>
      </c>
      <c r="H87" s="617" t="s">
        <v>3015</v>
      </c>
      <c r="I87" s="619">
        <v>10.524285714285712</v>
      </c>
      <c r="J87" s="619">
        <v>240</v>
      </c>
      <c r="K87" s="620">
        <v>2525.6999999999998</v>
      </c>
    </row>
    <row r="88" spans="1:11" ht="14.4" customHeight="1" x14ac:dyDescent="0.3">
      <c r="A88" s="615" t="s">
        <v>479</v>
      </c>
      <c r="B88" s="616" t="s">
        <v>2514</v>
      </c>
      <c r="C88" s="617" t="s">
        <v>484</v>
      </c>
      <c r="D88" s="618" t="s">
        <v>2515</v>
      </c>
      <c r="E88" s="617" t="s">
        <v>3565</v>
      </c>
      <c r="F88" s="618" t="s">
        <v>3566</v>
      </c>
      <c r="G88" s="617" t="s">
        <v>3016</v>
      </c>
      <c r="H88" s="617" t="s">
        <v>3017</v>
      </c>
      <c r="I88" s="619">
        <v>13.23</v>
      </c>
      <c r="J88" s="619">
        <v>30</v>
      </c>
      <c r="K88" s="620">
        <v>396.9</v>
      </c>
    </row>
    <row r="89" spans="1:11" ht="14.4" customHeight="1" x14ac:dyDescent="0.3">
      <c r="A89" s="615" t="s">
        <v>479</v>
      </c>
      <c r="B89" s="616" t="s">
        <v>2514</v>
      </c>
      <c r="C89" s="617" t="s">
        <v>484</v>
      </c>
      <c r="D89" s="618" t="s">
        <v>2515</v>
      </c>
      <c r="E89" s="617" t="s">
        <v>3565</v>
      </c>
      <c r="F89" s="618" t="s">
        <v>3566</v>
      </c>
      <c r="G89" s="617" t="s">
        <v>3018</v>
      </c>
      <c r="H89" s="617" t="s">
        <v>3019</v>
      </c>
      <c r="I89" s="619">
        <v>8.6260000000000012</v>
      </c>
      <c r="J89" s="619">
        <v>140</v>
      </c>
      <c r="K89" s="620">
        <v>1207.6999999999998</v>
      </c>
    </row>
    <row r="90" spans="1:11" ht="14.4" customHeight="1" x14ac:dyDescent="0.3">
      <c r="A90" s="615" t="s">
        <v>479</v>
      </c>
      <c r="B90" s="616" t="s">
        <v>2514</v>
      </c>
      <c r="C90" s="617" t="s">
        <v>484</v>
      </c>
      <c r="D90" s="618" t="s">
        <v>2515</v>
      </c>
      <c r="E90" s="617" t="s">
        <v>3565</v>
      </c>
      <c r="F90" s="618" t="s">
        <v>3566</v>
      </c>
      <c r="G90" s="617" t="s">
        <v>3020</v>
      </c>
      <c r="H90" s="617" t="s">
        <v>3021</v>
      </c>
      <c r="I90" s="619">
        <v>7.59</v>
      </c>
      <c r="J90" s="619">
        <v>91</v>
      </c>
      <c r="K90" s="620">
        <v>690.69</v>
      </c>
    </row>
    <row r="91" spans="1:11" ht="14.4" customHeight="1" x14ac:dyDescent="0.3">
      <c r="A91" s="615" t="s">
        <v>479</v>
      </c>
      <c r="B91" s="616" t="s">
        <v>2514</v>
      </c>
      <c r="C91" s="617" t="s">
        <v>484</v>
      </c>
      <c r="D91" s="618" t="s">
        <v>2515</v>
      </c>
      <c r="E91" s="617" t="s">
        <v>3565</v>
      </c>
      <c r="F91" s="618" t="s">
        <v>3566</v>
      </c>
      <c r="G91" s="617" t="s">
        <v>3022</v>
      </c>
      <c r="H91" s="617" t="s">
        <v>3023</v>
      </c>
      <c r="I91" s="619">
        <v>573.85</v>
      </c>
      <c r="J91" s="619">
        <v>0</v>
      </c>
      <c r="K91" s="620">
        <v>0</v>
      </c>
    </row>
    <row r="92" spans="1:11" ht="14.4" customHeight="1" x14ac:dyDescent="0.3">
      <c r="A92" s="615" t="s">
        <v>479</v>
      </c>
      <c r="B92" s="616" t="s">
        <v>2514</v>
      </c>
      <c r="C92" s="617" t="s">
        <v>484</v>
      </c>
      <c r="D92" s="618" t="s">
        <v>2515</v>
      </c>
      <c r="E92" s="617" t="s">
        <v>3565</v>
      </c>
      <c r="F92" s="618" t="s">
        <v>3566</v>
      </c>
      <c r="G92" s="617" t="s">
        <v>3024</v>
      </c>
      <c r="H92" s="617" t="s">
        <v>3025</v>
      </c>
      <c r="I92" s="619">
        <v>309.35000000000002</v>
      </c>
      <c r="J92" s="619">
        <v>5</v>
      </c>
      <c r="K92" s="620">
        <v>1546.75</v>
      </c>
    </row>
    <row r="93" spans="1:11" ht="14.4" customHeight="1" x14ac:dyDescent="0.3">
      <c r="A93" s="615" t="s">
        <v>479</v>
      </c>
      <c r="B93" s="616" t="s">
        <v>2514</v>
      </c>
      <c r="C93" s="617" t="s">
        <v>484</v>
      </c>
      <c r="D93" s="618" t="s">
        <v>2515</v>
      </c>
      <c r="E93" s="617" t="s">
        <v>3565</v>
      </c>
      <c r="F93" s="618" t="s">
        <v>3566</v>
      </c>
      <c r="G93" s="617" t="s">
        <v>3026</v>
      </c>
      <c r="H93" s="617" t="s">
        <v>3027</v>
      </c>
      <c r="I93" s="619">
        <v>690.49</v>
      </c>
      <c r="J93" s="619">
        <v>1</v>
      </c>
      <c r="K93" s="620">
        <v>690.49</v>
      </c>
    </row>
    <row r="94" spans="1:11" ht="14.4" customHeight="1" x14ac:dyDescent="0.3">
      <c r="A94" s="615" t="s">
        <v>479</v>
      </c>
      <c r="B94" s="616" t="s">
        <v>2514</v>
      </c>
      <c r="C94" s="617" t="s">
        <v>484</v>
      </c>
      <c r="D94" s="618" t="s">
        <v>2515</v>
      </c>
      <c r="E94" s="617" t="s">
        <v>3565</v>
      </c>
      <c r="F94" s="618" t="s">
        <v>3566</v>
      </c>
      <c r="G94" s="617" t="s">
        <v>3028</v>
      </c>
      <c r="H94" s="617" t="s">
        <v>3029</v>
      </c>
      <c r="I94" s="619">
        <v>11.83</v>
      </c>
      <c r="J94" s="619">
        <v>300</v>
      </c>
      <c r="K94" s="620">
        <v>3549.95</v>
      </c>
    </row>
    <row r="95" spans="1:11" ht="14.4" customHeight="1" x14ac:dyDescent="0.3">
      <c r="A95" s="615" t="s">
        <v>479</v>
      </c>
      <c r="B95" s="616" t="s">
        <v>2514</v>
      </c>
      <c r="C95" s="617" t="s">
        <v>484</v>
      </c>
      <c r="D95" s="618" t="s">
        <v>2515</v>
      </c>
      <c r="E95" s="617" t="s">
        <v>3565</v>
      </c>
      <c r="F95" s="618" t="s">
        <v>3566</v>
      </c>
      <c r="G95" s="617" t="s">
        <v>3030</v>
      </c>
      <c r="H95" s="617" t="s">
        <v>3031</v>
      </c>
      <c r="I95" s="619">
        <v>99.71</v>
      </c>
      <c r="J95" s="619">
        <v>60</v>
      </c>
      <c r="K95" s="620">
        <v>5982.36</v>
      </c>
    </row>
    <row r="96" spans="1:11" ht="14.4" customHeight="1" x14ac:dyDescent="0.3">
      <c r="A96" s="615" t="s">
        <v>479</v>
      </c>
      <c r="B96" s="616" t="s">
        <v>2514</v>
      </c>
      <c r="C96" s="617" t="s">
        <v>484</v>
      </c>
      <c r="D96" s="618" t="s">
        <v>2515</v>
      </c>
      <c r="E96" s="617" t="s">
        <v>3565</v>
      </c>
      <c r="F96" s="618" t="s">
        <v>3566</v>
      </c>
      <c r="G96" s="617" t="s">
        <v>3032</v>
      </c>
      <c r="H96" s="617" t="s">
        <v>3033</v>
      </c>
      <c r="I96" s="619">
        <v>124.55</v>
      </c>
      <c r="J96" s="619">
        <v>30</v>
      </c>
      <c r="K96" s="620">
        <v>3736.37</v>
      </c>
    </row>
    <row r="97" spans="1:11" ht="14.4" customHeight="1" x14ac:dyDescent="0.3">
      <c r="A97" s="615" t="s">
        <v>479</v>
      </c>
      <c r="B97" s="616" t="s">
        <v>2514</v>
      </c>
      <c r="C97" s="617" t="s">
        <v>484</v>
      </c>
      <c r="D97" s="618" t="s">
        <v>2515</v>
      </c>
      <c r="E97" s="617" t="s">
        <v>3565</v>
      </c>
      <c r="F97" s="618" t="s">
        <v>3566</v>
      </c>
      <c r="G97" s="617" t="s">
        <v>3034</v>
      </c>
      <c r="H97" s="617" t="s">
        <v>3035</v>
      </c>
      <c r="I97" s="619">
        <v>300</v>
      </c>
      <c r="J97" s="619">
        <v>5</v>
      </c>
      <c r="K97" s="620">
        <v>1500</v>
      </c>
    </row>
    <row r="98" spans="1:11" ht="14.4" customHeight="1" x14ac:dyDescent="0.3">
      <c r="A98" s="615" t="s">
        <v>479</v>
      </c>
      <c r="B98" s="616" t="s">
        <v>2514</v>
      </c>
      <c r="C98" s="617" t="s">
        <v>484</v>
      </c>
      <c r="D98" s="618" t="s">
        <v>2515</v>
      </c>
      <c r="E98" s="617" t="s">
        <v>3567</v>
      </c>
      <c r="F98" s="618" t="s">
        <v>3568</v>
      </c>
      <c r="G98" s="617" t="s">
        <v>3036</v>
      </c>
      <c r="H98" s="617" t="s">
        <v>3037</v>
      </c>
      <c r="I98" s="619">
        <v>471.9</v>
      </c>
      <c r="J98" s="619">
        <v>10</v>
      </c>
      <c r="K98" s="620">
        <v>4719</v>
      </c>
    </row>
    <row r="99" spans="1:11" ht="14.4" customHeight="1" x14ac:dyDescent="0.3">
      <c r="A99" s="615" t="s">
        <v>479</v>
      </c>
      <c r="B99" s="616" t="s">
        <v>2514</v>
      </c>
      <c r="C99" s="617" t="s">
        <v>484</v>
      </c>
      <c r="D99" s="618" t="s">
        <v>2515</v>
      </c>
      <c r="E99" s="617" t="s">
        <v>3567</v>
      </c>
      <c r="F99" s="618" t="s">
        <v>3568</v>
      </c>
      <c r="G99" s="617" t="s">
        <v>3038</v>
      </c>
      <c r="H99" s="617" t="s">
        <v>3039</v>
      </c>
      <c r="I99" s="619">
        <v>2299</v>
      </c>
      <c r="J99" s="619">
        <v>9</v>
      </c>
      <c r="K99" s="620">
        <v>20691</v>
      </c>
    </row>
    <row r="100" spans="1:11" ht="14.4" customHeight="1" x14ac:dyDescent="0.3">
      <c r="A100" s="615" t="s">
        <v>479</v>
      </c>
      <c r="B100" s="616" t="s">
        <v>2514</v>
      </c>
      <c r="C100" s="617" t="s">
        <v>484</v>
      </c>
      <c r="D100" s="618" t="s">
        <v>2515</v>
      </c>
      <c r="E100" s="617" t="s">
        <v>3567</v>
      </c>
      <c r="F100" s="618" t="s">
        <v>3568</v>
      </c>
      <c r="G100" s="617" t="s">
        <v>3040</v>
      </c>
      <c r="H100" s="617" t="s">
        <v>3041</v>
      </c>
      <c r="I100" s="619">
        <v>268.61999999999995</v>
      </c>
      <c r="J100" s="619">
        <v>925</v>
      </c>
      <c r="K100" s="620">
        <v>248473.49999999997</v>
      </c>
    </row>
    <row r="101" spans="1:11" ht="14.4" customHeight="1" x14ac:dyDescent="0.3">
      <c r="A101" s="615" t="s">
        <v>479</v>
      </c>
      <c r="B101" s="616" t="s">
        <v>2514</v>
      </c>
      <c r="C101" s="617" t="s">
        <v>484</v>
      </c>
      <c r="D101" s="618" t="s">
        <v>2515</v>
      </c>
      <c r="E101" s="617" t="s">
        <v>3567</v>
      </c>
      <c r="F101" s="618" t="s">
        <v>3568</v>
      </c>
      <c r="G101" s="617" t="s">
        <v>3042</v>
      </c>
      <c r="H101" s="617" t="s">
        <v>3043</v>
      </c>
      <c r="I101" s="619">
        <v>58.37</v>
      </c>
      <c r="J101" s="619">
        <v>230</v>
      </c>
      <c r="K101" s="620">
        <v>13425.16</v>
      </c>
    </row>
    <row r="102" spans="1:11" ht="14.4" customHeight="1" x14ac:dyDescent="0.3">
      <c r="A102" s="615" t="s">
        <v>479</v>
      </c>
      <c r="B102" s="616" t="s">
        <v>2514</v>
      </c>
      <c r="C102" s="617" t="s">
        <v>484</v>
      </c>
      <c r="D102" s="618" t="s">
        <v>2515</v>
      </c>
      <c r="E102" s="617" t="s">
        <v>3567</v>
      </c>
      <c r="F102" s="618" t="s">
        <v>3568</v>
      </c>
      <c r="G102" s="617" t="s">
        <v>3044</v>
      </c>
      <c r="H102" s="617" t="s">
        <v>3045</v>
      </c>
      <c r="I102" s="619">
        <v>37.51</v>
      </c>
      <c r="J102" s="619">
        <v>2372</v>
      </c>
      <c r="K102" s="620">
        <v>88973.719999999987</v>
      </c>
    </row>
    <row r="103" spans="1:11" ht="14.4" customHeight="1" x14ac:dyDescent="0.3">
      <c r="A103" s="615" t="s">
        <v>479</v>
      </c>
      <c r="B103" s="616" t="s">
        <v>2514</v>
      </c>
      <c r="C103" s="617" t="s">
        <v>484</v>
      </c>
      <c r="D103" s="618" t="s">
        <v>2515</v>
      </c>
      <c r="E103" s="617" t="s">
        <v>3567</v>
      </c>
      <c r="F103" s="618" t="s">
        <v>3568</v>
      </c>
      <c r="G103" s="617" t="s">
        <v>3046</v>
      </c>
      <c r="H103" s="617" t="s">
        <v>3047</v>
      </c>
      <c r="I103" s="619">
        <v>0.25714285714285717</v>
      </c>
      <c r="J103" s="619">
        <v>700</v>
      </c>
      <c r="K103" s="620">
        <v>180</v>
      </c>
    </row>
    <row r="104" spans="1:11" ht="14.4" customHeight="1" x14ac:dyDescent="0.3">
      <c r="A104" s="615" t="s">
        <v>479</v>
      </c>
      <c r="B104" s="616" t="s">
        <v>2514</v>
      </c>
      <c r="C104" s="617" t="s">
        <v>484</v>
      </c>
      <c r="D104" s="618" t="s">
        <v>2515</v>
      </c>
      <c r="E104" s="617" t="s">
        <v>3567</v>
      </c>
      <c r="F104" s="618" t="s">
        <v>3568</v>
      </c>
      <c r="G104" s="617" t="s">
        <v>3048</v>
      </c>
      <c r="H104" s="617" t="s">
        <v>3049</v>
      </c>
      <c r="I104" s="619">
        <v>11.145384615384616</v>
      </c>
      <c r="J104" s="619">
        <v>5100</v>
      </c>
      <c r="K104" s="620">
        <v>56842.8</v>
      </c>
    </row>
    <row r="105" spans="1:11" ht="14.4" customHeight="1" x14ac:dyDescent="0.3">
      <c r="A105" s="615" t="s">
        <v>479</v>
      </c>
      <c r="B105" s="616" t="s">
        <v>2514</v>
      </c>
      <c r="C105" s="617" t="s">
        <v>484</v>
      </c>
      <c r="D105" s="618" t="s">
        <v>2515</v>
      </c>
      <c r="E105" s="617" t="s">
        <v>3567</v>
      </c>
      <c r="F105" s="618" t="s">
        <v>3568</v>
      </c>
      <c r="G105" s="617" t="s">
        <v>3050</v>
      </c>
      <c r="H105" s="617" t="s">
        <v>3051</v>
      </c>
      <c r="I105" s="619">
        <v>1.0926315789473684</v>
      </c>
      <c r="J105" s="619">
        <v>32000</v>
      </c>
      <c r="K105" s="620">
        <v>34971</v>
      </c>
    </row>
    <row r="106" spans="1:11" ht="14.4" customHeight="1" x14ac:dyDescent="0.3">
      <c r="A106" s="615" t="s">
        <v>479</v>
      </c>
      <c r="B106" s="616" t="s">
        <v>2514</v>
      </c>
      <c r="C106" s="617" t="s">
        <v>484</v>
      </c>
      <c r="D106" s="618" t="s">
        <v>2515</v>
      </c>
      <c r="E106" s="617" t="s">
        <v>3567</v>
      </c>
      <c r="F106" s="618" t="s">
        <v>3568</v>
      </c>
      <c r="G106" s="617" t="s">
        <v>3052</v>
      </c>
      <c r="H106" s="617" t="s">
        <v>3053</v>
      </c>
      <c r="I106" s="619">
        <v>1.6734782608695655</v>
      </c>
      <c r="J106" s="619">
        <v>26940</v>
      </c>
      <c r="K106" s="620">
        <v>45101.289999999994</v>
      </c>
    </row>
    <row r="107" spans="1:11" ht="14.4" customHeight="1" x14ac:dyDescent="0.3">
      <c r="A107" s="615" t="s">
        <v>479</v>
      </c>
      <c r="B107" s="616" t="s">
        <v>2514</v>
      </c>
      <c r="C107" s="617" t="s">
        <v>484</v>
      </c>
      <c r="D107" s="618" t="s">
        <v>2515</v>
      </c>
      <c r="E107" s="617" t="s">
        <v>3567</v>
      </c>
      <c r="F107" s="618" t="s">
        <v>3568</v>
      </c>
      <c r="G107" s="617" t="s">
        <v>3054</v>
      </c>
      <c r="H107" s="617" t="s">
        <v>3055</v>
      </c>
      <c r="I107" s="619">
        <v>0.47642857142857131</v>
      </c>
      <c r="J107" s="619">
        <v>22000</v>
      </c>
      <c r="K107" s="620">
        <v>10485</v>
      </c>
    </row>
    <row r="108" spans="1:11" ht="14.4" customHeight="1" x14ac:dyDescent="0.3">
      <c r="A108" s="615" t="s">
        <v>479</v>
      </c>
      <c r="B108" s="616" t="s">
        <v>2514</v>
      </c>
      <c r="C108" s="617" t="s">
        <v>484</v>
      </c>
      <c r="D108" s="618" t="s">
        <v>2515</v>
      </c>
      <c r="E108" s="617" t="s">
        <v>3567</v>
      </c>
      <c r="F108" s="618" t="s">
        <v>3568</v>
      </c>
      <c r="G108" s="617" t="s">
        <v>3056</v>
      </c>
      <c r="H108" s="617" t="s">
        <v>3057</v>
      </c>
      <c r="I108" s="619">
        <v>0.67</v>
      </c>
      <c r="J108" s="619">
        <v>12000</v>
      </c>
      <c r="K108" s="620">
        <v>8040</v>
      </c>
    </row>
    <row r="109" spans="1:11" ht="14.4" customHeight="1" x14ac:dyDescent="0.3">
      <c r="A109" s="615" t="s">
        <v>479</v>
      </c>
      <c r="B109" s="616" t="s">
        <v>2514</v>
      </c>
      <c r="C109" s="617" t="s">
        <v>484</v>
      </c>
      <c r="D109" s="618" t="s">
        <v>2515</v>
      </c>
      <c r="E109" s="617" t="s">
        <v>3567</v>
      </c>
      <c r="F109" s="618" t="s">
        <v>3568</v>
      </c>
      <c r="G109" s="617" t="s">
        <v>3058</v>
      </c>
      <c r="H109" s="617" t="s">
        <v>3059</v>
      </c>
      <c r="I109" s="619">
        <v>3.13625</v>
      </c>
      <c r="J109" s="619">
        <v>1500</v>
      </c>
      <c r="K109" s="620">
        <v>4703</v>
      </c>
    </row>
    <row r="110" spans="1:11" ht="14.4" customHeight="1" x14ac:dyDescent="0.3">
      <c r="A110" s="615" t="s">
        <v>479</v>
      </c>
      <c r="B110" s="616" t="s">
        <v>2514</v>
      </c>
      <c r="C110" s="617" t="s">
        <v>484</v>
      </c>
      <c r="D110" s="618" t="s">
        <v>2515</v>
      </c>
      <c r="E110" s="617" t="s">
        <v>3567</v>
      </c>
      <c r="F110" s="618" t="s">
        <v>3568</v>
      </c>
      <c r="G110" s="617" t="s">
        <v>3060</v>
      </c>
      <c r="H110" s="617" t="s">
        <v>3061</v>
      </c>
      <c r="I110" s="619">
        <v>6.29</v>
      </c>
      <c r="J110" s="619">
        <v>10</v>
      </c>
      <c r="K110" s="620">
        <v>62.9</v>
      </c>
    </row>
    <row r="111" spans="1:11" ht="14.4" customHeight="1" x14ac:dyDescent="0.3">
      <c r="A111" s="615" t="s">
        <v>479</v>
      </c>
      <c r="B111" s="616" t="s">
        <v>2514</v>
      </c>
      <c r="C111" s="617" t="s">
        <v>484</v>
      </c>
      <c r="D111" s="618" t="s">
        <v>2515</v>
      </c>
      <c r="E111" s="617" t="s">
        <v>3567</v>
      </c>
      <c r="F111" s="618" t="s">
        <v>3568</v>
      </c>
      <c r="G111" s="617" t="s">
        <v>3062</v>
      </c>
      <c r="H111" s="617" t="s">
        <v>3063</v>
      </c>
      <c r="I111" s="619">
        <v>23.349999999999998</v>
      </c>
      <c r="J111" s="619">
        <v>160</v>
      </c>
      <c r="K111" s="620">
        <v>3736.48</v>
      </c>
    </row>
    <row r="112" spans="1:11" ht="14.4" customHeight="1" x14ac:dyDescent="0.3">
      <c r="A112" s="615" t="s">
        <v>479</v>
      </c>
      <c r="B112" s="616" t="s">
        <v>2514</v>
      </c>
      <c r="C112" s="617" t="s">
        <v>484</v>
      </c>
      <c r="D112" s="618" t="s">
        <v>2515</v>
      </c>
      <c r="E112" s="617" t="s">
        <v>3567</v>
      </c>
      <c r="F112" s="618" t="s">
        <v>3568</v>
      </c>
      <c r="G112" s="617" t="s">
        <v>3064</v>
      </c>
      <c r="H112" s="617" t="s">
        <v>3065</v>
      </c>
      <c r="I112" s="619">
        <v>6.2924999999999995</v>
      </c>
      <c r="J112" s="619">
        <v>65</v>
      </c>
      <c r="K112" s="620">
        <v>409</v>
      </c>
    </row>
    <row r="113" spans="1:11" ht="14.4" customHeight="1" x14ac:dyDescent="0.3">
      <c r="A113" s="615" t="s">
        <v>479</v>
      </c>
      <c r="B113" s="616" t="s">
        <v>2514</v>
      </c>
      <c r="C113" s="617" t="s">
        <v>484</v>
      </c>
      <c r="D113" s="618" t="s">
        <v>2515</v>
      </c>
      <c r="E113" s="617" t="s">
        <v>3567</v>
      </c>
      <c r="F113" s="618" t="s">
        <v>3568</v>
      </c>
      <c r="G113" s="617" t="s">
        <v>3066</v>
      </c>
      <c r="H113" s="617" t="s">
        <v>3067</v>
      </c>
      <c r="I113" s="619">
        <v>6.293333333333333</v>
      </c>
      <c r="J113" s="619">
        <v>15</v>
      </c>
      <c r="K113" s="620">
        <v>94.4</v>
      </c>
    </row>
    <row r="114" spans="1:11" ht="14.4" customHeight="1" x14ac:dyDescent="0.3">
      <c r="A114" s="615" t="s">
        <v>479</v>
      </c>
      <c r="B114" s="616" t="s">
        <v>2514</v>
      </c>
      <c r="C114" s="617" t="s">
        <v>484</v>
      </c>
      <c r="D114" s="618" t="s">
        <v>2515</v>
      </c>
      <c r="E114" s="617" t="s">
        <v>3567</v>
      </c>
      <c r="F114" s="618" t="s">
        <v>3568</v>
      </c>
      <c r="G114" s="617" t="s">
        <v>3068</v>
      </c>
      <c r="H114" s="617" t="s">
        <v>3069</v>
      </c>
      <c r="I114" s="619">
        <v>6.2325000000000008</v>
      </c>
      <c r="J114" s="619">
        <v>1230</v>
      </c>
      <c r="K114" s="620">
        <v>7667.4</v>
      </c>
    </row>
    <row r="115" spans="1:11" ht="14.4" customHeight="1" x14ac:dyDescent="0.3">
      <c r="A115" s="615" t="s">
        <v>479</v>
      </c>
      <c r="B115" s="616" t="s">
        <v>2514</v>
      </c>
      <c r="C115" s="617" t="s">
        <v>484</v>
      </c>
      <c r="D115" s="618" t="s">
        <v>2515</v>
      </c>
      <c r="E115" s="617" t="s">
        <v>3567</v>
      </c>
      <c r="F115" s="618" t="s">
        <v>3568</v>
      </c>
      <c r="G115" s="617" t="s">
        <v>3068</v>
      </c>
      <c r="H115" s="617" t="s">
        <v>3070</v>
      </c>
      <c r="I115" s="619">
        <v>6.232222222222223</v>
      </c>
      <c r="J115" s="619">
        <v>850</v>
      </c>
      <c r="K115" s="620">
        <v>5297.1</v>
      </c>
    </row>
    <row r="116" spans="1:11" ht="14.4" customHeight="1" x14ac:dyDescent="0.3">
      <c r="A116" s="615" t="s">
        <v>479</v>
      </c>
      <c r="B116" s="616" t="s">
        <v>2514</v>
      </c>
      <c r="C116" s="617" t="s">
        <v>484</v>
      </c>
      <c r="D116" s="618" t="s">
        <v>2515</v>
      </c>
      <c r="E116" s="617" t="s">
        <v>3567</v>
      </c>
      <c r="F116" s="618" t="s">
        <v>3568</v>
      </c>
      <c r="G116" s="617" t="s">
        <v>3071</v>
      </c>
      <c r="H116" s="617" t="s">
        <v>3072</v>
      </c>
      <c r="I116" s="619">
        <v>204.40833333333333</v>
      </c>
      <c r="J116" s="619">
        <v>320</v>
      </c>
      <c r="K116" s="620">
        <v>65410.53</v>
      </c>
    </row>
    <row r="117" spans="1:11" ht="14.4" customHeight="1" x14ac:dyDescent="0.3">
      <c r="A117" s="615" t="s">
        <v>479</v>
      </c>
      <c r="B117" s="616" t="s">
        <v>2514</v>
      </c>
      <c r="C117" s="617" t="s">
        <v>484</v>
      </c>
      <c r="D117" s="618" t="s">
        <v>2515</v>
      </c>
      <c r="E117" s="617" t="s">
        <v>3567</v>
      </c>
      <c r="F117" s="618" t="s">
        <v>3568</v>
      </c>
      <c r="G117" s="617" t="s">
        <v>3073</v>
      </c>
      <c r="H117" s="617" t="s">
        <v>3074</v>
      </c>
      <c r="I117" s="619">
        <v>58.56</v>
      </c>
      <c r="J117" s="619">
        <v>3</v>
      </c>
      <c r="K117" s="620">
        <v>175.68</v>
      </c>
    </row>
    <row r="118" spans="1:11" ht="14.4" customHeight="1" x14ac:dyDescent="0.3">
      <c r="A118" s="615" t="s">
        <v>479</v>
      </c>
      <c r="B118" s="616" t="s">
        <v>2514</v>
      </c>
      <c r="C118" s="617" t="s">
        <v>484</v>
      </c>
      <c r="D118" s="618" t="s">
        <v>2515</v>
      </c>
      <c r="E118" s="617" t="s">
        <v>3567</v>
      </c>
      <c r="F118" s="618" t="s">
        <v>3568</v>
      </c>
      <c r="G118" s="617" t="s">
        <v>3075</v>
      </c>
      <c r="H118" s="617" t="s">
        <v>3076</v>
      </c>
      <c r="I118" s="619">
        <v>6.1715384615384625</v>
      </c>
      <c r="J118" s="619">
        <v>3000</v>
      </c>
      <c r="K118" s="620">
        <v>18515</v>
      </c>
    </row>
    <row r="119" spans="1:11" ht="14.4" customHeight="1" x14ac:dyDescent="0.3">
      <c r="A119" s="615" t="s">
        <v>479</v>
      </c>
      <c r="B119" s="616" t="s">
        <v>2514</v>
      </c>
      <c r="C119" s="617" t="s">
        <v>484</v>
      </c>
      <c r="D119" s="618" t="s">
        <v>2515</v>
      </c>
      <c r="E119" s="617" t="s">
        <v>3567</v>
      </c>
      <c r="F119" s="618" t="s">
        <v>3568</v>
      </c>
      <c r="G119" s="617" t="s">
        <v>3077</v>
      </c>
      <c r="H119" s="617" t="s">
        <v>3078</v>
      </c>
      <c r="I119" s="619">
        <v>45.5</v>
      </c>
      <c r="J119" s="619">
        <v>140</v>
      </c>
      <c r="K119" s="620">
        <v>6369.43</v>
      </c>
    </row>
    <row r="120" spans="1:11" ht="14.4" customHeight="1" x14ac:dyDescent="0.3">
      <c r="A120" s="615" t="s">
        <v>479</v>
      </c>
      <c r="B120" s="616" t="s">
        <v>2514</v>
      </c>
      <c r="C120" s="617" t="s">
        <v>484</v>
      </c>
      <c r="D120" s="618" t="s">
        <v>2515</v>
      </c>
      <c r="E120" s="617" t="s">
        <v>3567</v>
      </c>
      <c r="F120" s="618" t="s">
        <v>3568</v>
      </c>
      <c r="G120" s="617" t="s">
        <v>3079</v>
      </c>
      <c r="H120" s="617" t="s">
        <v>3080</v>
      </c>
      <c r="I120" s="619">
        <v>646.76</v>
      </c>
      <c r="J120" s="619">
        <v>10</v>
      </c>
      <c r="K120" s="620">
        <v>6467.61</v>
      </c>
    </row>
    <row r="121" spans="1:11" ht="14.4" customHeight="1" x14ac:dyDescent="0.3">
      <c r="A121" s="615" t="s">
        <v>479</v>
      </c>
      <c r="B121" s="616" t="s">
        <v>2514</v>
      </c>
      <c r="C121" s="617" t="s">
        <v>484</v>
      </c>
      <c r="D121" s="618" t="s">
        <v>2515</v>
      </c>
      <c r="E121" s="617" t="s">
        <v>3567</v>
      </c>
      <c r="F121" s="618" t="s">
        <v>3568</v>
      </c>
      <c r="G121" s="617" t="s">
        <v>3081</v>
      </c>
      <c r="H121" s="617" t="s">
        <v>3082</v>
      </c>
      <c r="I121" s="619">
        <v>102.84999999999998</v>
      </c>
      <c r="J121" s="619">
        <v>176</v>
      </c>
      <c r="K121" s="620">
        <v>18101.599999999999</v>
      </c>
    </row>
    <row r="122" spans="1:11" ht="14.4" customHeight="1" x14ac:dyDescent="0.3">
      <c r="A122" s="615" t="s">
        <v>479</v>
      </c>
      <c r="B122" s="616" t="s">
        <v>2514</v>
      </c>
      <c r="C122" s="617" t="s">
        <v>484</v>
      </c>
      <c r="D122" s="618" t="s">
        <v>2515</v>
      </c>
      <c r="E122" s="617" t="s">
        <v>3567</v>
      </c>
      <c r="F122" s="618" t="s">
        <v>3568</v>
      </c>
      <c r="G122" s="617" t="s">
        <v>3083</v>
      </c>
      <c r="H122" s="617" t="s">
        <v>3084</v>
      </c>
      <c r="I122" s="619">
        <v>17.897999999999996</v>
      </c>
      <c r="J122" s="619">
        <v>50</v>
      </c>
      <c r="K122" s="620">
        <v>894.92</v>
      </c>
    </row>
    <row r="123" spans="1:11" ht="14.4" customHeight="1" x14ac:dyDescent="0.3">
      <c r="A123" s="615" t="s">
        <v>479</v>
      </c>
      <c r="B123" s="616" t="s">
        <v>2514</v>
      </c>
      <c r="C123" s="617" t="s">
        <v>484</v>
      </c>
      <c r="D123" s="618" t="s">
        <v>2515</v>
      </c>
      <c r="E123" s="617" t="s">
        <v>3567</v>
      </c>
      <c r="F123" s="618" t="s">
        <v>3568</v>
      </c>
      <c r="G123" s="617" t="s">
        <v>3085</v>
      </c>
      <c r="H123" s="617" t="s">
        <v>3086</v>
      </c>
      <c r="I123" s="619">
        <v>17.91</v>
      </c>
      <c r="J123" s="619">
        <v>10</v>
      </c>
      <c r="K123" s="620">
        <v>179.1</v>
      </c>
    </row>
    <row r="124" spans="1:11" ht="14.4" customHeight="1" x14ac:dyDescent="0.3">
      <c r="A124" s="615" t="s">
        <v>479</v>
      </c>
      <c r="B124" s="616" t="s">
        <v>2514</v>
      </c>
      <c r="C124" s="617" t="s">
        <v>484</v>
      </c>
      <c r="D124" s="618" t="s">
        <v>2515</v>
      </c>
      <c r="E124" s="617" t="s">
        <v>3567</v>
      </c>
      <c r="F124" s="618" t="s">
        <v>3568</v>
      </c>
      <c r="G124" s="617" t="s">
        <v>3087</v>
      </c>
      <c r="H124" s="617" t="s">
        <v>3088</v>
      </c>
      <c r="I124" s="619">
        <v>17.903333333333332</v>
      </c>
      <c r="J124" s="619">
        <v>20</v>
      </c>
      <c r="K124" s="620">
        <v>358.1</v>
      </c>
    </row>
    <row r="125" spans="1:11" ht="14.4" customHeight="1" x14ac:dyDescent="0.3">
      <c r="A125" s="615" t="s">
        <v>479</v>
      </c>
      <c r="B125" s="616" t="s">
        <v>2514</v>
      </c>
      <c r="C125" s="617" t="s">
        <v>484</v>
      </c>
      <c r="D125" s="618" t="s">
        <v>2515</v>
      </c>
      <c r="E125" s="617" t="s">
        <v>3567</v>
      </c>
      <c r="F125" s="618" t="s">
        <v>3568</v>
      </c>
      <c r="G125" s="617" t="s">
        <v>3089</v>
      </c>
      <c r="H125" s="617" t="s">
        <v>3090</v>
      </c>
      <c r="I125" s="619">
        <v>4.8</v>
      </c>
      <c r="J125" s="619">
        <v>200</v>
      </c>
      <c r="K125" s="620">
        <v>959.95</v>
      </c>
    </row>
    <row r="126" spans="1:11" ht="14.4" customHeight="1" x14ac:dyDescent="0.3">
      <c r="A126" s="615" t="s">
        <v>479</v>
      </c>
      <c r="B126" s="616" t="s">
        <v>2514</v>
      </c>
      <c r="C126" s="617" t="s">
        <v>484</v>
      </c>
      <c r="D126" s="618" t="s">
        <v>2515</v>
      </c>
      <c r="E126" s="617" t="s">
        <v>3567</v>
      </c>
      <c r="F126" s="618" t="s">
        <v>3568</v>
      </c>
      <c r="G126" s="617" t="s">
        <v>3091</v>
      </c>
      <c r="H126" s="617" t="s">
        <v>3092</v>
      </c>
      <c r="I126" s="619">
        <v>108.88</v>
      </c>
      <c r="J126" s="619">
        <v>124</v>
      </c>
      <c r="K126" s="620">
        <v>13501.06</v>
      </c>
    </row>
    <row r="127" spans="1:11" ht="14.4" customHeight="1" x14ac:dyDescent="0.3">
      <c r="A127" s="615" t="s">
        <v>479</v>
      </c>
      <c r="B127" s="616" t="s">
        <v>2514</v>
      </c>
      <c r="C127" s="617" t="s">
        <v>484</v>
      </c>
      <c r="D127" s="618" t="s">
        <v>2515</v>
      </c>
      <c r="E127" s="617" t="s">
        <v>3567</v>
      </c>
      <c r="F127" s="618" t="s">
        <v>3568</v>
      </c>
      <c r="G127" s="617" t="s">
        <v>3093</v>
      </c>
      <c r="H127" s="617" t="s">
        <v>3094</v>
      </c>
      <c r="I127" s="619">
        <v>206.04249999999999</v>
      </c>
      <c r="J127" s="619">
        <v>84</v>
      </c>
      <c r="K127" s="620">
        <v>17307.509999999998</v>
      </c>
    </row>
    <row r="128" spans="1:11" ht="14.4" customHeight="1" x14ac:dyDescent="0.3">
      <c r="A128" s="615" t="s">
        <v>479</v>
      </c>
      <c r="B128" s="616" t="s">
        <v>2514</v>
      </c>
      <c r="C128" s="617" t="s">
        <v>484</v>
      </c>
      <c r="D128" s="618" t="s">
        <v>2515</v>
      </c>
      <c r="E128" s="617" t="s">
        <v>3567</v>
      </c>
      <c r="F128" s="618" t="s">
        <v>3568</v>
      </c>
      <c r="G128" s="617" t="s">
        <v>3095</v>
      </c>
      <c r="H128" s="617" t="s">
        <v>3096</v>
      </c>
      <c r="I128" s="619">
        <v>16.450000000000003</v>
      </c>
      <c r="J128" s="619">
        <v>348</v>
      </c>
      <c r="K128" s="620">
        <v>5724.41</v>
      </c>
    </row>
    <row r="129" spans="1:11" ht="14.4" customHeight="1" x14ac:dyDescent="0.3">
      <c r="A129" s="615" t="s">
        <v>479</v>
      </c>
      <c r="B129" s="616" t="s">
        <v>2514</v>
      </c>
      <c r="C129" s="617" t="s">
        <v>484</v>
      </c>
      <c r="D129" s="618" t="s">
        <v>2515</v>
      </c>
      <c r="E129" s="617" t="s">
        <v>3567</v>
      </c>
      <c r="F129" s="618" t="s">
        <v>3568</v>
      </c>
      <c r="G129" s="617" t="s">
        <v>3095</v>
      </c>
      <c r="H129" s="617" t="s">
        <v>3097</v>
      </c>
      <c r="I129" s="619">
        <v>16.446666666666669</v>
      </c>
      <c r="J129" s="619">
        <v>60</v>
      </c>
      <c r="K129" s="620">
        <v>986.88</v>
      </c>
    </row>
    <row r="130" spans="1:11" ht="14.4" customHeight="1" x14ac:dyDescent="0.3">
      <c r="A130" s="615" t="s">
        <v>479</v>
      </c>
      <c r="B130" s="616" t="s">
        <v>2514</v>
      </c>
      <c r="C130" s="617" t="s">
        <v>484</v>
      </c>
      <c r="D130" s="618" t="s">
        <v>2515</v>
      </c>
      <c r="E130" s="617" t="s">
        <v>3567</v>
      </c>
      <c r="F130" s="618" t="s">
        <v>3568</v>
      </c>
      <c r="G130" s="617" t="s">
        <v>3098</v>
      </c>
      <c r="H130" s="617" t="s">
        <v>3099</v>
      </c>
      <c r="I130" s="619">
        <v>9.68</v>
      </c>
      <c r="J130" s="619">
        <v>20</v>
      </c>
      <c r="K130" s="620">
        <v>193.6</v>
      </c>
    </row>
    <row r="131" spans="1:11" ht="14.4" customHeight="1" x14ac:dyDescent="0.3">
      <c r="A131" s="615" t="s">
        <v>479</v>
      </c>
      <c r="B131" s="616" t="s">
        <v>2514</v>
      </c>
      <c r="C131" s="617" t="s">
        <v>484</v>
      </c>
      <c r="D131" s="618" t="s">
        <v>2515</v>
      </c>
      <c r="E131" s="617" t="s">
        <v>3567</v>
      </c>
      <c r="F131" s="618" t="s">
        <v>3568</v>
      </c>
      <c r="G131" s="617" t="s">
        <v>3100</v>
      </c>
      <c r="H131" s="617" t="s">
        <v>3101</v>
      </c>
      <c r="I131" s="619">
        <v>121</v>
      </c>
      <c r="J131" s="619">
        <v>122</v>
      </c>
      <c r="K131" s="620">
        <v>14762</v>
      </c>
    </row>
    <row r="132" spans="1:11" ht="14.4" customHeight="1" x14ac:dyDescent="0.3">
      <c r="A132" s="615" t="s">
        <v>479</v>
      </c>
      <c r="B132" s="616" t="s">
        <v>2514</v>
      </c>
      <c r="C132" s="617" t="s">
        <v>484</v>
      </c>
      <c r="D132" s="618" t="s">
        <v>2515</v>
      </c>
      <c r="E132" s="617" t="s">
        <v>3567</v>
      </c>
      <c r="F132" s="618" t="s">
        <v>3568</v>
      </c>
      <c r="G132" s="617" t="s">
        <v>3102</v>
      </c>
      <c r="H132" s="617" t="s">
        <v>3103</v>
      </c>
      <c r="I132" s="619">
        <v>1.81</v>
      </c>
      <c r="J132" s="619">
        <v>10</v>
      </c>
      <c r="K132" s="620">
        <v>18.100000000000001</v>
      </c>
    </row>
    <row r="133" spans="1:11" ht="14.4" customHeight="1" x14ac:dyDescent="0.3">
      <c r="A133" s="615" t="s">
        <v>479</v>
      </c>
      <c r="B133" s="616" t="s">
        <v>2514</v>
      </c>
      <c r="C133" s="617" t="s">
        <v>484</v>
      </c>
      <c r="D133" s="618" t="s">
        <v>2515</v>
      </c>
      <c r="E133" s="617" t="s">
        <v>3567</v>
      </c>
      <c r="F133" s="618" t="s">
        <v>3568</v>
      </c>
      <c r="G133" s="617" t="s">
        <v>3104</v>
      </c>
      <c r="H133" s="617" t="s">
        <v>3105</v>
      </c>
      <c r="I133" s="619">
        <v>1.8933333333333333</v>
      </c>
      <c r="J133" s="619">
        <v>150</v>
      </c>
      <c r="K133" s="620">
        <v>284</v>
      </c>
    </row>
    <row r="134" spans="1:11" ht="14.4" customHeight="1" x14ac:dyDescent="0.3">
      <c r="A134" s="615" t="s">
        <v>479</v>
      </c>
      <c r="B134" s="616" t="s">
        <v>2514</v>
      </c>
      <c r="C134" s="617" t="s">
        <v>484</v>
      </c>
      <c r="D134" s="618" t="s">
        <v>2515</v>
      </c>
      <c r="E134" s="617" t="s">
        <v>3567</v>
      </c>
      <c r="F134" s="618" t="s">
        <v>3568</v>
      </c>
      <c r="G134" s="617" t="s">
        <v>3106</v>
      </c>
      <c r="H134" s="617" t="s">
        <v>3107</v>
      </c>
      <c r="I134" s="619">
        <v>1.9847619047619045</v>
      </c>
      <c r="J134" s="619">
        <v>5500</v>
      </c>
      <c r="K134" s="620">
        <v>10915.5</v>
      </c>
    </row>
    <row r="135" spans="1:11" ht="14.4" customHeight="1" x14ac:dyDescent="0.3">
      <c r="A135" s="615" t="s">
        <v>479</v>
      </c>
      <c r="B135" s="616" t="s">
        <v>2514</v>
      </c>
      <c r="C135" s="617" t="s">
        <v>484</v>
      </c>
      <c r="D135" s="618" t="s">
        <v>2515</v>
      </c>
      <c r="E135" s="617" t="s">
        <v>3567</v>
      </c>
      <c r="F135" s="618" t="s">
        <v>3568</v>
      </c>
      <c r="G135" s="617" t="s">
        <v>3108</v>
      </c>
      <c r="H135" s="617" t="s">
        <v>3109</v>
      </c>
      <c r="I135" s="619">
        <v>2.0483333333333333</v>
      </c>
      <c r="J135" s="619">
        <v>550</v>
      </c>
      <c r="K135" s="620">
        <v>1126.5</v>
      </c>
    </row>
    <row r="136" spans="1:11" ht="14.4" customHeight="1" x14ac:dyDescent="0.3">
      <c r="A136" s="615" t="s">
        <v>479</v>
      </c>
      <c r="B136" s="616" t="s">
        <v>2514</v>
      </c>
      <c r="C136" s="617" t="s">
        <v>484</v>
      </c>
      <c r="D136" s="618" t="s">
        <v>2515</v>
      </c>
      <c r="E136" s="617" t="s">
        <v>3567</v>
      </c>
      <c r="F136" s="618" t="s">
        <v>3568</v>
      </c>
      <c r="G136" s="617" t="s">
        <v>3110</v>
      </c>
      <c r="H136" s="617" t="s">
        <v>3111</v>
      </c>
      <c r="I136" s="619">
        <v>3.0954545454545457</v>
      </c>
      <c r="J136" s="619">
        <v>1850</v>
      </c>
      <c r="K136" s="620">
        <v>5727.5</v>
      </c>
    </row>
    <row r="137" spans="1:11" ht="14.4" customHeight="1" x14ac:dyDescent="0.3">
      <c r="A137" s="615" t="s">
        <v>479</v>
      </c>
      <c r="B137" s="616" t="s">
        <v>2514</v>
      </c>
      <c r="C137" s="617" t="s">
        <v>484</v>
      </c>
      <c r="D137" s="618" t="s">
        <v>2515</v>
      </c>
      <c r="E137" s="617" t="s">
        <v>3567</v>
      </c>
      <c r="F137" s="618" t="s">
        <v>3568</v>
      </c>
      <c r="G137" s="617" t="s">
        <v>3112</v>
      </c>
      <c r="H137" s="617" t="s">
        <v>3113</v>
      </c>
      <c r="I137" s="619">
        <v>1.9258333333333333</v>
      </c>
      <c r="J137" s="619">
        <v>1000</v>
      </c>
      <c r="K137" s="620">
        <v>1926</v>
      </c>
    </row>
    <row r="138" spans="1:11" ht="14.4" customHeight="1" x14ac:dyDescent="0.3">
      <c r="A138" s="615" t="s">
        <v>479</v>
      </c>
      <c r="B138" s="616" t="s">
        <v>2514</v>
      </c>
      <c r="C138" s="617" t="s">
        <v>484</v>
      </c>
      <c r="D138" s="618" t="s">
        <v>2515</v>
      </c>
      <c r="E138" s="617" t="s">
        <v>3567</v>
      </c>
      <c r="F138" s="618" t="s">
        <v>3568</v>
      </c>
      <c r="G138" s="617" t="s">
        <v>3114</v>
      </c>
      <c r="H138" s="617" t="s">
        <v>3115</v>
      </c>
      <c r="I138" s="619">
        <v>2.5299999999999998</v>
      </c>
      <c r="J138" s="619">
        <v>150</v>
      </c>
      <c r="K138" s="620">
        <v>379.5</v>
      </c>
    </row>
    <row r="139" spans="1:11" ht="14.4" customHeight="1" x14ac:dyDescent="0.3">
      <c r="A139" s="615" t="s">
        <v>479</v>
      </c>
      <c r="B139" s="616" t="s">
        <v>2514</v>
      </c>
      <c r="C139" s="617" t="s">
        <v>484</v>
      </c>
      <c r="D139" s="618" t="s">
        <v>2515</v>
      </c>
      <c r="E139" s="617" t="s">
        <v>3567</v>
      </c>
      <c r="F139" s="618" t="s">
        <v>3568</v>
      </c>
      <c r="G139" s="617" t="s">
        <v>3116</v>
      </c>
      <c r="H139" s="617" t="s">
        <v>3117</v>
      </c>
      <c r="I139" s="619">
        <v>4.8160000000000007</v>
      </c>
      <c r="J139" s="619">
        <v>6100</v>
      </c>
      <c r="K139" s="620">
        <v>29379</v>
      </c>
    </row>
    <row r="140" spans="1:11" ht="14.4" customHeight="1" x14ac:dyDescent="0.3">
      <c r="A140" s="615" t="s">
        <v>479</v>
      </c>
      <c r="B140" s="616" t="s">
        <v>2514</v>
      </c>
      <c r="C140" s="617" t="s">
        <v>484</v>
      </c>
      <c r="D140" s="618" t="s">
        <v>2515</v>
      </c>
      <c r="E140" s="617" t="s">
        <v>3567</v>
      </c>
      <c r="F140" s="618" t="s">
        <v>3568</v>
      </c>
      <c r="G140" s="617" t="s">
        <v>3118</v>
      </c>
      <c r="H140" s="617" t="s">
        <v>3119</v>
      </c>
      <c r="I140" s="619">
        <v>1.4999999999999999E-2</v>
      </c>
      <c r="J140" s="619">
        <v>200</v>
      </c>
      <c r="K140" s="620">
        <v>3</v>
      </c>
    </row>
    <row r="141" spans="1:11" ht="14.4" customHeight="1" x14ac:dyDescent="0.3">
      <c r="A141" s="615" t="s">
        <v>479</v>
      </c>
      <c r="B141" s="616" t="s">
        <v>2514</v>
      </c>
      <c r="C141" s="617" t="s">
        <v>484</v>
      </c>
      <c r="D141" s="618" t="s">
        <v>2515</v>
      </c>
      <c r="E141" s="617" t="s">
        <v>3567</v>
      </c>
      <c r="F141" s="618" t="s">
        <v>3568</v>
      </c>
      <c r="G141" s="617" t="s">
        <v>3120</v>
      </c>
      <c r="H141" s="617" t="s">
        <v>3121</v>
      </c>
      <c r="I141" s="619">
        <v>1.9966666666666668</v>
      </c>
      <c r="J141" s="619">
        <v>275</v>
      </c>
      <c r="K141" s="620">
        <v>549.20000000000005</v>
      </c>
    </row>
    <row r="142" spans="1:11" ht="14.4" customHeight="1" x14ac:dyDescent="0.3">
      <c r="A142" s="615" t="s">
        <v>479</v>
      </c>
      <c r="B142" s="616" t="s">
        <v>2514</v>
      </c>
      <c r="C142" s="617" t="s">
        <v>484</v>
      </c>
      <c r="D142" s="618" t="s">
        <v>2515</v>
      </c>
      <c r="E142" s="617" t="s">
        <v>3567</v>
      </c>
      <c r="F142" s="618" t="s">
        <v>3568</v>
      </c>
      <c r="G142" s="617" t="s">
        <v>3122</v>
      </c>
      <c r="H142" s="617" t="s">
        <v>3123</v>
      </c>
      <c r="I142" s="619">
        <v>3.0728571428571425</v>
      </c>
      <c r="J142" s="619">
        <v>1500</v>
      </c>
      <c r="K142" s="620">
        <v>4608.5</v>
      </c>
    </row>
    <row r="143" spans="1:11" ht="14.4" customHeight="1" x14ac:dyDescent="0.3">
      <c r="A143" s="615" t="s">
        <v>479</v>
      </c>
      <c r="B143" s="616" t="s">
        <v>2514</v>
      </c>
      <c r="C143" s="617" t="s">
        <v>484</v>
      </c>
      <c r="D143" s="618" t="s">
        <v>2515</v>
      </c>
      <c r="E143" s="617" t="s">
        <v>3567</v>
      </c>
      <c r="F143" s="618" t="s">
        <v>3568</v>
      </c>
      <c r="G143" s="617" t="s">
        <v>3124</v>
      </c>
      <c r="H143" s="617" t="s">
        <v>3125</v>
      </c>
      <c r="I143" s="619">
        <v>2.1645454545454541</v>
      </c>
      <c r="J143" s="619">
        <v>3100</v>
      </c>
      <c r="K143" s="620">
        <v>6709</v>
      </c>
    </row>
    <row r="144" spans="1:11" ht="14.4" customHeight="1" x14ac:dyDescent="0.3">
      <c r="A144" s="615" t="s">
        <v>479</v>
      </c>
      <c r="B144" s="616" t="s">
        <v>2514</v>
      </c>
      <c r="C144" s="617" t="s">
        <v>484</v>
      </c>
      <c r="D144" s="618" t="s">
        <v>2515</v>
      </c>
      <c r="E144" s="617" t="s">
        <v>3567</v>
      </c>
      <c r="F144" s="618" t="s">
        <v>3568</v>
      </c>
      <c r="G144" s="617" t="s">
        <v>3126</v>
      </c>
      <c r="H144" s="617" t="s">
        <v>3127</v>
      </c>
      <c r="I144" s="619">
        <v>2.6957142857142853</v>
      </c>
      <c r="J144" s="619">
        <v>2400</v>
      </c>
      <c r="K144" s="620">
        <v>6470</v>
      </c>
    </row>
    <row r="145" spans="1:11" ht="14.4" customHeight="1" x14ac:dyDescent="0.3">
      <c r="A145" s="615" t="s">
        <v>479</v>
      </c>
      <c r="B145" s="616" t="s">
        <v>2514</v>
      </c>
      <c r="C145" s="617" t="s">
        <v>484</v>
      </c>
      <c r="D145" s="618" t="s">
        <v>2515</v>
      </c>
      <c r="E145" s="617" t="s">
        <v>3567</v>
      </c>
      <c r="F145" s="618" t="s">
        <v>3568</v>
      </c>
      <c r="G145" s="617" t="s">
        <v>3128</v>
      </c>
      <c r="H145" s="617" t="s">
        <v>3129</v>
      </c>
      <c r="I145" s="619">
        <v>3.9949999999999997</v>
      </c>
      <c r="J145" s="619">
        <v>300</v>
      </c>
      <c r="K145" s="620">
        <v>1198.5</v>
      </c>
    </row>
    <row r="146" spans="1:11" ht="14.4" customHeight="1" x14ac:dyDescent="0.3">
      <c r="A146" s="615" t="s">
        <v>479</v>
      </c>
      <c r="B146" s="616" t="s">
        <v>2514</v>
      </c>
      <c r="C146" s="617" t="s">
        <v>484</v>
      </c>
      <c r="D146" s="618" t="s">
        <v>2515</v>
      </c>
      <c r="E146" s="617" t="s">
        <v>3567</v>
      </c>
      <c r="F146" s="618" t="s">
        <v>3568</v>
      </c>
      <c r="G146" s="617" t="s">
        <v>3130</v>
      </c>
      <c r="H146" s="617" t="s">
        <v>3131</v>
      </c>
      <c r="I146" s="619">
        <v>90.990909090909099</v>
      </c>
      <c r="J146" s="619">
        <v>520</v>
      </c>
      <c r="K146" s="620">
        <v>47315.399999999994</v>
      </c>
    </row>
    <row r="147" spans="1:11" ht="14.4" customHeight="1" x14ac:dyDescent="0.3">
      <c r="A147" s="615" t="s">
        <v>479</v>
      </c>
      <c r="B147" s="616" t="s">
        <v>2514</v>
      </c>
      <c r="C147" s="617" t="s">
        <v>484</v>
      </c>
      <c r="D147" s="618" t="s">
        <v>2515</v>
      </c>
      <c r="E147" s="617" t="s">
        <v>3567</v>
      </c>
      <c r="F147" s="618" t="s">
        <v>3568</v>
      </c>
      <c r="G147" s="617" t="s">
        <v>3132</v>
      </c>
      <c r="H147" s="617" t="s">
        <v>3133</v>
      </c>
      <c r="I147" s="619">
        <v>2.176428571428572</v>
      </c>
      <c r="J147" s="619">
        <v>2450</v>
      </c>
      <c r="K147" s="620">
        <v>5329.5</v>
      </c>
    </row>
    <row r="148" spans="1:11" ht="14.4" customHeight="1" x14ac:dyDescent="0.3">
      <c r="A148" s="615" t="s">
        <v>479</v>
      </c>
      <c r="B148" s="616" t="s">
        <v>2514</v>
      </c>
      <c r="C148" s="617" t="s">
        <v>484</v>
      </c>
      <c r="D148" s="618" t="s">
        <v>2515</v>
      </c>
      <c r="E148" s="617" t="s">
        <v>3567</v>
      </c>
      <c r="F148" s="618" t="s">
        <v>3568</v>
      </c>
      <c r="G148" s="617" t="s">
        <v>3134</v>
      </c>
      <c r="H148" s="617" t="s">
        <v>3135</v>
      </c>
      <c r="I148" s="619">
        <v>58.909999999999982</v>
      </c>
      <c r="J148" s="619">
        <v>450</v>
      </c>
      <c r="K148" s="620">
        <v>26511.75</v>
      </c>
    </row>
    <row r="149" spans="1:11" ht="14.4" customHeight="1" x14ac:dyDescent="0.3">
      <c r="A149" s="615" t="s">
        <v>479</v>
      </c>
      <c r="B149" s="616" t="s">
        <v>2514</v>
      </c>
      <c r="C149" s="617" t="s">
        <v>484</v>
      </c>
      <c r="D149" s="618" t="s">
        <v>2515</v>
      </c>
      <c r="E149" s="617" t="s">
        <v>3567</v>
      </c>
      <c r="F149" s="618" t="s">
        <v>3568</v>
      </c>
      <c r="G149" s="617" t="s">
        <v>3136</v>
      </c>
      <c r="H149" s="617" t="s">
        <v>3137</v>
      </c>
      <c r="I149" s="619">
        <v>39.93</v>
      </c>
      <c r="J149" s="619">
        <v>160</v>
      </c>
      <c r="K149" s="620">
        <v>6388.8</v>
      </c>
    </row>
    <row r="150" spans="1:11" ht="14.4" customHeight="1" x14ac:dyDescent="0.3">
      <c r="A150" s="615" t="s">
        <v>479</v>
      </c>
      <c r="B150" s="616" t="s">
        <v>2514</v>
      </c>
      <c r="C150" s="617" t="s">
        <v>484</v>
      </c>
      <c r="D150" s="618" t="s">
        <v>2515</v>
      </c>
      <c r="E150" s="617" t="s">
        <v>3567</v>
      </c>
      <c r="F150" s="618" t="s">
        <v>3568</v>
      </c>
      <c r="G150" s="617" t="s">
        <v>3138</v>
      </c>
      <c r="H150" s="617" t="s">
        <v>3139</v>
      </c>
      <c r="I150" s="619">
        <v>29.9</v>
      </c>
      <c r="J150" s="619">
        <v>1000</v>
      </c>
      <c r="K150" s="620">
        <v>29900</v>
      </c>
    </row>
    <row r="151" spans="1:11" ht="14.4" customHeight="1" x14ac:dyDescent="0.3">
      <c r="A151" s="615" t="s">
        <v>479</v>
      </c>
      <c r="B151" s="616" t="s">
        <v>2514</v>
      </c>
      <c r="C151" s="617" t="s">
        <v>484</v>
      </c>
      <c r="D151" s="618" t="s">
        <v>2515</v>
      </c>
      <c r="E151" s="617" t="s">
        <v>3567</v>
      </c>
      <c r="F151" s="618" t="s">
        <v>3568</v>
      </c>
      <c r="G151" s="617" t="s">
        <v>3140</v>
      </c>
      <c r="H151" s="617" t="s">
        <v>3141</v>
      </c>
      <c r="I151" s="619">
        <v>1.9350000000000001</v>
      </c>
      <c r="J151" s="619">
        <v>3800</v>
      </c>
      <c r="K151" s="620">
        <v>7353.1</v>
      </c>
    </row>
    <row r="152" spans="1:11" ht="14.4" customHeight="1" x14ac:dyDescent="0.3">
      <c r="A152" s="615" t="s">
        <v>479</v>
      </c>
      <c r="B152" s="616" t="s">
        <v>2514</v>
      </c>
      <c r="C152" s="617" t="s">
        <v>484</v>
      </c>
      <c r="D152" s="618" t="s">
        <v>2515</v>
      </c>
      <c r="E152" s="617" t="s">
        <v>3567</v>
      </c>
      <c r="F152" s="618" t="s">
        <v>3568</v>
      </c>
      <c r="G152" s="617" t="s">
        <v>3142</v>
      </c>
      <c r="H152" s="617" t="s">
        <v>3143</v>
      </c>
      <c r="I152" s="619">
        <v>31.070999999999998</v>
      </c>
      <c r="J152" s="619">
        <v>450</v>
      </c>
      <c r="K152" s="620">
        <v>13982.759999999998</v>
      </c>
    </row>
    <row r="153" spans="1:11" ht="14.4" customHeight="1" x14ac:dyDescent="0.3">
      <c r="A153" s="615" t="s">
        <v>479</v>
      </c>
      <c r="B153" s="616" t="s">
        <v>2514</v>
      </c>
      <c r="C153" s="617" t="s">
        <v>484</v>
      </c>
      <c r="D153" s="618" t="s">
        <v>2515</v>
      </c>
      <c r="E153" s="617" t="s">
        <v>3567</v>
      </c>
      <c r="F153" s="618" t="s">
        <v>3568</v>
      </c>
      <c r="G153" s="617" t="s">
        <v>3142</v>
      </c>
      <c r="H153" s="617" t="s">
        <v>3144</v>
      </c>
      <c r="I153" s="619">
        <v>31.070000000000004</v>
      </c>
      <c r="J153" s="619">
        <v>125</v>
      </c>
      <c r="K153" s="620">
        <v>3884.1000000000004</v>
      </c>
    </row>
    <row r="154" spans="1:11" ht="14.4" customHeight="1" x14ac:dyDescent="0.3">
      <c r="A154" s="615" t="s">
        <v>479</v>
      </c>
      <c r="B154" s="616" t="s">
        <v>2514</v>
      </c>
      <c r="C154" s="617" t="s">
        <v>484</v>
      </c>
      <c r="D154" s="618" t="s">
        <v>2515</v>
      </c>
      <c r="E154" s="617" t="s">
        <v>3567</v>
      </c>
      <c r="F154" s="618" t="s">
        <v>3568</v>
      </c>
      <c r="G154" s="617" t="s">
        <v>3145</v>
      </c>
      <c r="H154" s="617" t="s">
        <v>3146</v>
      </c>
      <c r="I154" s="619">
        <v>2.9</v>
      </c>
      <c r="J154" s="619">
        <v>100</v>
      </c>
      <c r="K154" s="620">
        <v>290</v>
      </c>
    </row>
    <row r="155" spans="1:11" ht="14.4" customHeight="1" x14ac:dyDescent="0.3">
      <c r="A155" s="615" t="s">
        <v>479</v>
      </c>
      <c r="B155" s="616" t="s">
        <v>2514</v>
      </c>
      <c r="C155" s="617" t="s">
        <v>484</v>
      </c>
      <c r="D155" s="618" t="s">
        <v>2515</v>
      </c>
      <c r="E155" s="617" t="s">
        <v>3567</v>
      </c>
      <c r="F155" s="618" t="s">
        <v>3568</v>
      </c>
      <c r="G155" s="617" t="s">
        <v>3147</v>
      </c>
      <c r="H155" s="617" t="s">
        <v>3148</v>
      </c>
      <c r="I155" s="619">
        <v>2.91</v>
      </c>
      <c r="J155" s="619">
        <v>100</v>
      </c>
      <c r="K155" s="620">
        <v>291</v>
      </c>
    </row>
    <row r="156" spans="1:11" ht="14.4" customHeight="1" x14ac:dyDescent="0.3">
      <c r="A156" s="615" t="s">
        <v>479</v>
      </c>
      <c r="B156" s="616" t="s">
        <v>2514</v>
      </c>
      <c r="C156" s="617" t="s">
        <v>484</v>
      </c>
      <c r="D156" s="618" t="s">
        <v>2515</v>
      </c>
      <c r="E156" s="617" t="s">
        <v>3567</v>
      </c>
      <c r="F156" s="618" t="s">
        <v>3568</v>
      </c>
      <c r="G156" s="617" t="s">
        <v>3149</v>
      </c>
      <c r="H156" s="617" t="s">
        <v>3150</v>
      </c>
      <c r="I156" s="619">
        <v>116.785</v>
      </c>
      <c r="J156" s="619">
        <v>9</v>
      </c>
      <c r="K156" s="620">
        <v>1061.33</v>
      </c>
    </row>
    <row r="157" spans="1:11" ht="14.4" customHeight="1" x14ac:dyDescent="0.3">
      <c r="A157" s="615" t="s">
        <v>479</v>
      </c>
      <c r="B157" s="616" t="s">
        <v>2514</v>
      </c>
      <c r="C157" s="617" t="s">
        <v>484</v>
      </c>
      <c r="D157" s="618" t="s">
        <v>2515</v>
      </c>
      <c r="E157" s="617" t="s">
        <v>3567</v>
      </c>
      <c r="F157" s="618" t="s">
        <v>3568</v>
      </c>
      <c r="G157" s="617" t="s">
        <v>3151</v>
      </c>
      <c r="H157" s="617" t="s">
        <v>3152</v>
      </c>
      <c r="I157" s="619">
        <v>82.163333333333327</v>
      </c>
      <c r="J157" s="619">
        <v>96</v>
      </c>
      <c r="K157" s="620">
        <v>7887.5199999999995</v>
      </c>
    </row>
    <row r="158" spans="1:11" ht="14.4" customHeight="1" x14ac:dyDescent="0.3">
      <c r="A158" s="615" t="s">
        <v>479</v>
      </c>
      <c r="B158" s="616" t="s">
        <v>2514</v>
      </c>
      <c r="C158" s="617" t="s">
        <v>484</v>
      </c>
      <c r="D158" s="618" t="s">
        <v>2515</v>
      </c>
      <c r="E158" s="617" t="s">
        <v>3567</v>
      </c>
      <c r="F158" s="618" t="s">
        <v>3568</v>
      </c>
      <c r="G158" s="617" t="s">
        <v>3153</v>
      </c>
      <c r="H158" s="617" t="s">
        <v>3154</v>
      </c>
      <c r="I158" s="619">
        <v>314.60000000000002</v>
      </c>
      <c r="J158" s="619">
        <v>90</v>
      </c>
      <c r="K158" s="620">
        <v>28314</v>
      </c>
    </row>
    <row r="159" spans="1:11" ht="14.4" customHeight="1" x14ac:dyDescent="0.3">
      <c r="A159" s="615" t="s">
        <v>479</v>
      </c>
      <c r="B159" s="616" t="s">
        <v>2514</v>
      </c>
      <c r="C159" s="617" t="s">
        <v>484</v>
      </c>
      <c r="D159" s="618" t="s">
        <v>2515</v>
      </c>
      <c r="E159" s="617" t="s">
        <v>3567</v>
      </c>
      <c r="F159" s="618" t="s">
        <v>3568</v>
      </c>
      <c r="G159" s="617" t="s">
        <v>3155</v>
      </c>
      <c r="H159" s="617" t="s">
        <v>3156</v>
      </c>
      <c r="I159" s="619">
        <v>43.16</v>
      </c>
      <c r="J159" s="619">
        <v>100</v>
      </c>
      <c r="K159" s="620">
        <v>4316.08</v>
      </c>
    </row>
    <row r="160" spans="1:11" ht="14.4" customHeight="1" x14ac:dyDescent="0.3">
      <c r="A160" s="615" t="s">
        <v>479</v>
      </c>
      <c r="B160" s="616" t="s">
        <v>2514</v>
      </c>
      <c r="C160" s="617" t="s">
        <v>484</v>
      </c>
      <c r="D160" s="618" t="s">
        <v>2515</v>
      </c>
      <c r="E160" s="617" t="s">
        <v>3567</v>
      </c>
      <c r="F160" s="618" t="s">
        <v>3568</v>
      </c>
      <c r="G160" s="617" t="s">
        <v>3157</v>
      </c>
      <c r="H160" s="617" t="s">
        <v>3158</v>
      </c>
      <c r="I160" s="619">
        <v>47.19</v>
      </c>
      <c r="J160" s="619">
        <v>360</v>
      </c>
      <c r="K160" s="620">
        <v>16988.400000000001</v>
      </c>
    </row>
    <row r="161" spans="1:11" ht="14.4" customHeight="1" x14ac:dyDescent="0.3">
      <c r="A161" s="615" t="s">
        <v>479</v>
      </c>
      <c r="B161" s="616" t="s">
        <v>2514</v>
      </c>
      <c r="C161" s="617" t="s">
        <v>484</v>
      </c>
      <c r="D161" s="618" t="s">
        <v>2515</v>
      </c>
      <c r="E161" s="617" t="s">
        <v>3567</v>
      </c>
      <c r="F161" s="618" t="s">
        <v>3568</v>
      </c>
      <c r="G161" s="617" t="s">
        <v>3159</v>
      </c>
      <c r="H161" s="617" t="s">
        <v>3160</v>
      </c>
      <c r="I161" s="619">
        <v>4660.92</v>
      </c>
      <c r="J161" s="619">
        <v>2</v>
      </c>
      <c r="K161" s="620">
        <v>9321.84</v>
      </c>
    </row>
    <row r="162" spans="1:11" ht="14.4" customHeight="1" x14ac:dyDescent="0.3">
      <c r="A162" s="615" t="s">
        <v>479</v>
      </c>
      <c r="B162" s="616" t="s">
        <v>2514</v>
      </c>
      <c r="C162" s="617" t="s">
        <v>484</v>
      </c>
      <c r="D162" s="618" t="s">
        <v>2515</v>
      </c>
      <c r="E162" s="617" t="s">
        <v>3567</v>
      </c>
      <c r="F162" s="618" t="s">
        <v>3568</v>
      </c>
      <c r="G162" s="617" t="s">
        <v>3161</v>
      </c>
      <c r="H162" s="617" t="s">
        <v>3162</v>
      </c>
      <c r="I162" s="619">
        <v>17.981666666666669</v>
      </c>
      <c r="J162" s="619">
        <v>650</v>
      </c>
      <c r="K162" s="620">
        <v>11687.5</v>
      </c>
    </row>
    <row r="163" spans="1:11" ht="14.4" customHeight="1" x14ac:dyDescent="0.3">
      <c r="A163" s="615" t="s">
        <v>479</v>
      </c>
      <c r="B163" s="616" t="s">
        <v>2514</v>
      </c>
      <c r="C163" s="617" t="s">
        <v>484</v>
      </c>
      <c r="D163" s="618" t="s">
        <v>2515</v>
      </c>
      <c r="E163" s="617" t="s">
        <v>3567</v>
      </c>
      <c r="F163" s="618" t="s">
        <v>3568</v>
      </c>
      <c r="G163" s="617" t="s">
        <v>3163</v>
      </c>
      <c r="H163" s="617" t="s">
        <v>3164</v>
      </c>
      <c r="I163" s="619">
        <v>17.980999999999998</v>
      </c>
      <c r="J163" s="619">
        <v>500</v>
      </c>
      <c r="K163" s="620">
        <v>8990.5</v>
      </c>
    </row>
    <row r="164" spans="1:11" ht="14.4" customHeight="1" x14ac:dyDescent="0.3">
      <c r="A164" s="615" t="s">
        <v>479</v>
      </c>
      <c r="B164" s="616" t="s">
        <v>2514</v>
      </c>
      <c r="C164" s="617" t="s">
        <v>484</v>
      </c>
      <c r="D164" s="618" t="s">
        <v>2515</v>
      </c>
      <c r="E164" s="617" t="s">
        <v>3567</v>
      </c>
      <c r="F164" s="618" t="s">
        <v>3568</v>
      </c>
      <c r="G164" s="617" t="s">
        <v>3165</v>
      </c>
      <c r="H164" s="617" t="s">
        <v>3166</v>
      </c>
      <c r="I164" s="619">
        <v>17.984999999999999</v>
      </c>
      <c r="J164" s="619">
        <v>100</v>
      </c>
      <c r="K164" s="620">
        <v>1798.5</v>
      </c>
    </row>
    <row r="165" spans="1:11" ht="14.4" customHeight="1" x14ac:dyDescent="0.3">
      <c r="A165" s="615" t="s">
        <v>479</v>
      </c>
      <c r="B165" s="616" t="s">
        <v>2514</v>
      </c>
      <c r="C165" s="617" t="s">
        <v>484</v>
      </c>
      <c r="D165" s="618" t="s">
        <v>2515</v>
      </c>
      <c r="E165" s="617" t="s">
        <v>3567</v>
      </c>
      <c r="F165" s="618" t="s">
        <v>3568</v>
      </c>
      <c r="G165" s="617" t="s">
        <v>3167</v>
      </c>
      <c r="H165" s="617" t="s">
        <v>3168</v>
      </c>
      <c r="I165" s="619">
        <v>123.18000000000002</v>
      </c>
      <c r="J165" s="619">
        <v>300</v>
      </c>
      <c r="K165" s="620">
        <v>36953.4</v>
      </c>
    </row>
    <row r="166" spans="1:11" ht="14.4" customHeight="1" x14ac:dyDescent="0.3">
      <c r="A166" s="615" t="s">
        <v>479</v>
      </c>
      <c r="B166" s="616" t="s">
        <v>2514</v>
      </c>
      <c r="C166" s="617" t="s">
        <v>484</v>
      </c>
      <c r="D166" s="618" t="s">
        <v>2515</v>
      </c>
      <c r="E166" s="617" t="s">
        <v>3567</v>
      </c>
      <c r="F166" s="618" t="s">
        <v>3568</v>
      </c>
      <c r="G166" s="617" t="s">
        <v>3169</v>
      </c>
      <c r="H166" s="617" t="s">
        <v>3170</v>
      </c>
      <c r="I166" s="619">
        <v>14.742941176470588</v>
      </c>
      <c r="J166" s="619">
        <v>1140</v>
      </c>
      <c r="K166" s="620">
        <v>16660.75</v>
      </c>
    </row>
    <row r="167" spans="1:11" ht="14.4" customHeight="1" x14ac:dyDescent="0.3">
      <c r="A167" s="615" t="s">
        <v>479</v>
      </c>
      <c r="B167" s="616" t="s">
        <v>2514</v>
      </c>
      <c r="C167" s="617" t="s">
        <v>484</v>
      </c>
      <c r="D167" s="618" t="s">
        <v>2515</v>
      </c>
      <c r="E167" s="617" t="s">
        <v>3567</v>
      </c>
      <c r="F167" s="618" t="s">
        <v>3568</v>
      </c>
      <c r="G167" s="617" t="s">
        <v>3171</v>
      </c>
      <c r="H167" s="617" t="s">
        <v>3172</v>
      </c>
      <c r="I167" s="619">
        <v>8.9533333333333331</v>
      </c>
      <c r="J167" s="619">
        <v>1000</v>
      </c>
      <c r="K167" s="620">
        <v>8954</v>
      </c>
    </row>
    <row r="168" spans="1:11" ht="14.4" customHeight="1" x14ac:dyDescent="0.3">
      <c r="A168" s="615" t="s">
        <v>479</v>
      </c>
      <c r="B168" s="616" t="s">
        <v>2514</v>
      </c>
      <c r="C168" s="617" t="s">
        <v>484</v>
      </c>
      <c r="D168" s="618" t="s">
        <v>2515</v>
      </c>
      <c r="E168" s="617" t="s">
        <v>3567</v>
      </c>
      <c r="F168" s="618" t="s">
        <v>3568</v>
      </c>
      <c r="G168" s="617" t="s">
        <v>3173</v>
      </c>
      <c r="H168" s="617" t="s">
        <v>3174</v>
      </c>
      <c r="I168" s="619">
        <v>2.5149999999999997</v>
      </c>
      <c r="J168" s="619">
        <v>800</v>
      </c>
      <c r="K168" s="620">
        <v>2011</v>
      </c>
    </row>
    <row r="169" spans="1:11" ht="14.4" customHeight="1" x14ac:dyDescent="0.3">
      <c r="A169" s="615" t="s">
        <v>479</v>
      </c>
      <c r="B169" s="616" t="s">
        <v>2514</v>
      </c>
      <c r="C169" s="617" t="s">
        <v>484</v>
      </c>
      <c r="D169" s="618" t="s">
        <v>2515</v>
      </c>
      <c r="E169" s="617" t="s">
        <v>3567</v>
      </c>
      <c r="F169" s="618" t="s">
        <v>3568</v>
      </c>
      <c r="G169" s="617" t="s">
        <v>3175</v>
      </c>
      <c r="H169" s="617" t="s">
        <v>3176</v>
      </c>
      <c r="I169" s="619">
        <v>1.9385714285714286</v>
      </c>
      <c r="J169" s="619">
        <v>4100</v>
      </c>
      <c r="K169" s="620">
        <v>7950</v>
      </c>
    </row>
    <row r="170" spans="1:11" ht="14.4" customHeight="1" x14ac:dyDescent="0.3">
      <c r="A170" s="615" t="s">
        <v>479</v>
      </c>
      <c r="B170" s="616" t="s">
        <v>2514</v>
      </c>
      <c r="C170" s="617" t="s">
        <v>484</v>
      </c>
      <c r="D170" s="618" t="s">
        <v>2515</v>
      </c>
      <c r="E170" s="617" t="s">
        <v>3567</v>
      </c>
      <c r="F170" s="618" t="s">
        <v>3568</v>
      </c>
      <c r="G170" s="617" t="s">
        <v>3177</v>
      </c>
      <c r="H170" s="617" t="s">
        <v>3178</v>
      </c>
      <c r="I170" s="619">
        <v>5.2047619047619049</v>
      </c>
      <c r="J170" s="619">
        <v>11500</v>
      </c>
      <c r="K170" s="620">
        <v>59852.160000000003</v>
      </c>
    </row>
    <row r="171" spans="1:11" ht="14.4" customHeight="1" x14ac:dyDescent="0.3">
      <c r="A171" s="615" t="s">
        <v>479</v>
      </c>
      <c r="B171" s="616" t="s">
        <v>2514</v>
      </c>
      <c r="C171" s="617" t="s">
        <v>484</v>
      </c>
      <c r="D171" s="618" t="s">
        <v>2515</v>
      </c>
      <c r="E171" s="617" t="s">
        <v>3567</v>
      </c>
      <c r="F171" s="618" t="s">
        <v>3568</v>
      </c>
      <c r="G171" s="617" t="s">
        <v>3179</v>
      </c>
      <c r="H171" s="617" t="s">
        <v>3180</v>
      </c>
      <c r="I171" s="619">
        <v>1.2699999999999998</v>
      </c>
      <c r="J171" s="619">
        <v>1500</v>
      </c>
      <c r="K171" s="620">
        <v>1905</v>
      </c>
    </row>
    <row r="172" spans="1:11" ht="14.4" customHeight="1" x14ac:dyDescent="0.3">
      <c r="A172" s="615" t="s">
        <v>479</v>
      </c>
      <c r="B172" s="616" t="s">
        <v>2514</v>
      </c>
      <c r="C172" s="617" t="s">
        <v>484</v>
      </c>
      <c r="D172" s="618" t="s">
        <v>2515</v>
      </c>
      <c r="E172" s="617" t="s">
        <v>3567</v>
      </c>
      <c r="F172" s="618" t="s">
        <v>3568</v>
      </c>
      <c r="G172" s="617" t="s">
        <v>3181</v>
      </c>
      <c r="H172" s="617" t="s">
        <v>3182</v>
      </c>
      <c r="I172" s="619">
        <v>21.236666666666665</v>
      </c>
      <c r="J172" s="619">
        <v>370</v>
      </c>
      <c r="K172" s="620">
        <v>7857.5</v>
      </c>
    </row>
    <row r="173" spans="1:11" ht="14.4" customHeight="1" x14ac:dyDescent="0.3">
      <c r="A173" s="615" t="s">
        <v>479</v>
      </c>
      <c r="B173" s="616" t="s">
        <v>2514</v>
      </c>
      <c r="C173" s="617" t="s">
        <v>484</v>
      </c>
      <c r="D173" s="618" t="s">
        <v>2515</v>
      </c>
      <c r="E173" s="617" t="s">
        <v>3567</v>
      </c>
      <c r="F173" s="618" t="s">
        <v>3568</v>
      </c>
      <c r="G173" s="617" t="s">
        <v>3183</v>
      </c>
      <c r="H173" s="617" t="s">
        <v>3184</v>
      </c>
      <c r="I173" s="619">
        <v>21.236000000000001</v>
      </c>
      <c r="J173" s="619">
        <v>500</v>
      </c>
      <c r="K173" s="620">
        <v>10618</v>
      </c>
    </row>
    <row r="174" spans="1:11" ht="14.4" customHeight="1" x14ac:dyDescent="0.3">
      <c r="A174" s="615" t="s">
        <v>479</v>
      </c>
      <c r="B174" s="616" t="s">
        <v>2514</v>
      </c>
      <c r="C174" s="617" t="s">
        <v>484</v>
      </c>
      <c r="D174" s="618" t="s">
        <v>2515</v>
      </c>
      <c r="E174" s="617" t="s">
        <v>3567</v>
      </c>
      <c r="F174" s="618" t="s">
        <v>3568</v>
      </c>
      <c r="G174" s="617" t="s">
        <v>3185</v>
      </c>
      <c r="H174" s="617" t="s">
        <v>3186</v>
      </c>
      <c r="I174" s="619">
        <v>11.495555555555555</v>
      </c>
      <c r="J174" s="619">
        <v>500</v>
      </c>
      <c r="K174" s="620">
        <v>5747.5</v>
      </c>
    </row>
    <row r="175" spans="1:11" ht="14.4" customHeight="1" x14ac:dyDescent="0.3">
      <c r="A175" s="615" t="s">
        <v>479</v>
      </c>
      <c r="B175" s="616" t="s">
        <v>2514</v>
      </c>
      <c r="C175" s="617" t="s">
        <v>484</v>
      </c>
      <c r="D175" s="618" t="s">
        <v>2515</v>
      </c>
      <c r="E175" s="617" t="s">
        <v>3567</v>
      </c>
      <c r="F175" s="618" t="s">
        <v>3568</v>
      </c>
      <c r="G175" s="617" t="s">
        <v>3187</v>
      </c>
      <c r="H175" s="617" t="s">
        <v>3188</v>
      </c>
      <c r="I175" s="619">
        <v>6.6500000000000012</v>
      </c>
      <c r="J175" s="619">
        <v>30</v>
      </c>
      <c r="K175" s="620">
        <v>199.5</v>
      </c>
    </row>
    <row r="176" spans="1:11" ht="14.4" customHeight="1" x14ac:dyDescent="0.3">
      <c r="A176" s="615" t="s">
        <v>479</v>
      </c>
      <c r="B176" s="616" t="s">
        <v>2514</v>
      </c>
      <c r="C176" s="617" t="s">
        <v>484</v>
      </c>
      <c r="D176" s="618" t="s">
        <v>2515</v>
      </c>
      <c r="E176" s="617" t="s">
        <v>3567</v>
      </c>
      <c r="F176" s="618" t="s">
        <v>3568</v>
      </c>
      <c r="G176" s="617" t="s">
        <v>3189</v>
      </c>
      <c r="H176" s="617" t="s">
        <v>3190</v>
      </c>
      <c r="I176" s="619">
        <v>18.150000000000002</v>
      </c>
      <c r="J176" s="619">
        <v>1100</v>
      </c>
      <c r="K176" s="620">
        <v>19965</v>
      </c>
    </row>
    <row r="177" spans="1:11" ht="14.4" customHeight="1" x14ac:dyDescent="0.3">
      <c r="A177" s="615" t="s">
        <v>479</v>
      </c>
      <c r="B177" s="616" t="s">
        <v>2514</v>
      </c>
      <c r="C177" s="617" t="s">
        <v>484</v>
      </c>
      <c r="D177" s="618" t="s">
        <v>2515</v>
      </c>
      <c r="E177" s="617" t="s">
        <v>3567</v>
      </c>
      <c r="F177" s="618" t="s">
        <v>3568</v>
      </c>
      <c r="G177" s="617" t="s">
        <v>3191</v>
      </c>
      <c r="H177" s="617" t="s">
        <v>3192</v>
      </c>
      <c r="I177" s="619">
        <v>6.6557142857142848</v>
      </c>
      <c r="J177" s="619">
        <v>140</v>
      </c>
      <c r="K177" s="620">
        <v>931.8</v>
      </c>
    </row>
    <row r="178" spans="1:11" ht="14.4" customHeight="1" x14ac:dyDescent="0.3">
      <c r="A178" s="615" t="s">
        <v>479</v>
      </c>
      <c r="B178" s="616" t="s">
        <v>2514</v>
      </c>
      <c r="C178" s="617" t="s">
        <v>484</v>
      </c>
      <c r="D178" s="618" t="s">
        <v>2515</v>
      </c>
      <c r="E178" s="617" t="s">
        <v>3567</v>
      </c>
      <c r="F178" s="618" t="s">
        <v>3568</v>
      </c>
      <c r="G178" s="617" t="s">
        <v>3193</v>
      </c>
      <c r="H178" s="617" t="s">
        <v>3194</v>
      </c>
      <c r="I178" s="619">
        <v>6.6500000000000012</v>
      </c>
      <c r="J178" s="619">
        <v>40</v>
      </c>
      <c r="K178" s="620">
        <v>266</v>
      </c>
    </row>
    <row r="179" spans="1:11" ht="14.4" customHeight="1" x14ac:dyDescent="0.3">
      <c r="A179" s="615" t="s">
        <v>479</v>
      </c>
      <c r="B179" s="616" t="s">
        <v>2514</v>
      </c>
      <c r="C179" s="617" t="s">
        <v>484</v>
      </c>
      <c r="D179" s="618" t="s">
        <v>2515</v>
      </c>
      <c r="E179" s="617" t="s">
        <v>3567</v>
      </c>
      <c r="F179" s="618" t="s">
        <v>3568</v>
      </c>
      <c r="G179" s="617" t="s">
        <v>3195</v>
      </c>
      <c r="H179" s="617" t="s">
        <v>3196</v>
      </c>
      <c r="I179" s="619">
        <v>6.6579999999999995</v>
      </c>
      <c r="J179" s="619">
        <v>80</v>
      </c>
      <c r="K179" s="620">
        <v>532.70000000000005</v>
      </c>
    </row>
    <row r="180" spans="1:11" ht="14.4" customHeight="1" x14ac:dyDescent="0.3">
      <c r="A180" s="615" t="s">
        <v>479</v>
      </c>
      <c r="B180" s="616" t="s">
        <v>2514</v>
      </c>
      <c r="C180" s="617" t="s">
        <v>484</v>
      </c>
      <c r="D180" s="618" t="s">
        <v>2515</v>
      </c>
      <c r="E180" s="617" t="s">
        <v>3567</v>
      </c>
      <c r="F180" s="618" t="s">
        <v>3568</v>
      </c>
      <c r="G180" s="617" t="s">
        <v>3197</v>
      </c>
      <c r="H180" s="617" t="s">
        <v>3198</v>
      </c>
      <c r="I180" s="619">
        <v>107.69000000000003</v>
      </c>
      <c r="J180" s="619">
        <v>320</v>
      </c>
      <c r="K180" s="620">
        <v>34460.799999999996</v>
      </c>
    </row>
    <row r="181" spans="1:11" ht="14.4" customHeight="1" x14ac:dyDescent="0.3">
      <c r="A181" s="615" t="s">
        <v>479</v>
      </c>
      <c r="B181" s="616" t="s">
        <v>2514</v>
      </c>
      <c r="C181" s="617" t="s">
        <v>484</v>
      </c>
      <c r="D181" s="618" t="s">
        <v>2515</v>
      </c>
      <c r="E181" s="617" t="s">
        <v>3567</v>
      </c>
      <c r="F181" s="618" t="s">
        <v>3568</v>
      </c>
      <c r="G181" s="617" t="s">
        <v>3199</v>
      </c>
      <c r="H181" s="617" t="s">
        <v>3200</v>
      </c>
      <c r="I181" s="619">
        <v>0.47199999999999998</v>
      </c>
      <c r="J181" s="619">
        <v>2600</v>
      </c>
      <c r="K181" s="620">
        <v>1232</v>
      </c>
    </row>
    <row r="182" spans="1:11" ht="14.4" customHeight="1" x14ac:dyDescent="0.3">
      <c r="A182" s="615" t="s">
        <v>479</v>
      </c>
      <c r="B182" s="616" t="s">
        <v>2514</v>
      </c>
      <c r="C182" s="617" t="s">
        <v>484</v>
      </c>
      <c r="D182" s="618" t="s">
        <v>2515</v>
      </c>
      <c r="E182" s="617" t="s">
        <v>3567</v>
      </c>
      <c r="F182" s="618" t="s">
        <v>3568</v>
      </c>
      <c r="G182" s="617" t="s">
        <v>3201</v>
      </c>
      <c r="H182" s="617" t="s">
        <v>3202</v>
      </c>
      <c r="I182" s="619">
        <v>0.47142857142857136</v>
      </c>
      <c r="J182" s="619">
        <v>5100</v>
      </c>
      <c r="K182" s="620">
        <v>2405</v>
      </c>
    </row>
    <row r="183" spans="1:11" ht="14.4" customHeight="1" x14ac:dyDescent="0.3">
      <c r="A183" s="615" t="s">
        <v>479</v>
      </c>
      <c r="B183" s="616" t="s">
        <v>2514</v>
      </c>
      <c r="C183" s="617" t="s">
        <v>484</v>
      </c>
      <c r="D183" s="618" t="s">
        <v>2515</v>
      </c>
      <c r="E183" s="617" t="s">
        <v>3567</v>
      </c>
      <c r="F183" s="618" t="s">
        <v>3568</v>
      </c>
      <c r="G183" s="617" t="s">
        <v>3203</v>
      </c>
      <c r="H183" s="617" t="s">
        <v>3204</v>
      </c>
      <c r="I183" s="619">
        <v>4.0290000000000008</v>
      </c>
      <c r="J183" s="619">
        <v>800</v>
      </c>
      <c r="K183" s="620">
        <v>3223</v>
      </c>
    </row>
    <row r="184" spans="1:11" ht="14.4" customHeight="1" x14ac:dyDescent="0.3">
      <c r="A184" s="615" t="s">
        <v>479</v>
      </c>
      <c r="B184" s="616" t="s">
        <v>2514</v>
      </c>
      <c r="C184" s="617" t="s">
        <v>484</v>
      </c>
      <c r="D184" s="618" t="s">
        <v>2515</v>
      </c>
      <c r="E184" s="617" t="s">
        <v>3567</v>
      </c>
      <c r="F184" s="618" t="s">
        <v>3568</v>
      </c>
      <c r="G184" s="617" t="s">
        <v>3205</v>
      </c>
      <c r="H184" s="617" t="s">
        <v>3206</v>
      </c>
      <c r="I184" s="619">
        <v>2.9042857142857139</v>
      </c>
      <c r="J184" s="619">
        <v>2686</v>
      </c>
      <c r="K184" s="620">
        <v>7800.76</v>
      </c>
    </row>
    <row r="185" spans="1:11" ht="14.4" customHeight="1" x14ac:dyDescent="0.3">
      <c r="A185" s="615" t="s">
        <v>479</v>
      </c>
      <c r="B185" s="616" t="s">
        <v>2514</v>
      </c>
      <c r="C185" s="617" t="s">
        <v>484</v>
      </c>
      <c r="D185" s="618" t="s">
        <v>2515</v>
      </c>
      <c r="E185" s="617" t="s">
        <v>3567</v>
      </c>
      <c r="F185" s="618" t="s">
        <v>3568</v>
      </c>
      <c r="G185" s="617" t="s">
        <v>3207</v>
      </c>
      <c r="H185" s="617" t="s">
        <v>3208</v>
      </c>
      <c r="I185" s="619">
        <v>2.9028571428571417</v>
      </c>
      <c r="J185" s="619">
        <v>3750</v>
      </c>
      <c r="K185" s="620">
        <v>10888.5</v>
      </c>
    </row>
    <row r="186" spans="1:11" ht="14.4" customHeight="1" x14ac:dyDescent="0.3">
      <c r="A186" s="615" t="s">
        <v>479</v>
      </c>
      <c r="B186" s="616" t="s">
        <v>2514</v>
      </c>
      <c r="C186" s="617" t="s">
        <v>484</v>
      </c>
      <c r="D186" s="618" t="s">
        <v>2515</v>
      </c>
      <c r="E186" s="617" t="s">
        <v>3567</v>
      </c>
      <c r="F186" s="618" t="s">
        <v>3568</v>
      </c>
      <c r="G186" s="617" t="s">
        <v>3209</v>
      </c>
      <c r="H186" s="617" t="s">
        <v>3210</v>
      </c>
      <c r="I186" s="619">
        <v>2.91</v>
      </c>
      <c r="J186" s="619">
        <v>400</v>
      </c>
      <c r="K186" s="620">
        <v>1164</v>
      </c>
    </row>
    <row r="187" spans="1:11" ht="14.4" customHeight="1" x14ac:dyDescent="0.3">
      <c r="A187" s="615" t="s">
        <v>479</v>
      </c>
      <c r="B187" s="616" t="s">
        <v>2514</v>
      </c>
      <c r="C187" s="617" t="s">
        <v>484</v>
      </c>
      <c r="D187" s="618" t="s">
        <v>2515</v>
      </c>
      <c r="E187" s="617" t="s">
        <v>3567</v>
      </c>
      <c r="F187" s="618" t="s">
        <v>3568</v>
      </c>
      <c r="G187" s="617" t="s">
        <v>3211</v>
      </c>
      <c r="H187" s="617" t="s">
        <v>3212</v>
      </c>
      <c r="I187" s="619">
        <v>2.9058333333333333</v>
      </c>
      <c r="J187" s="619">
        <v>2650</v>
      </c>
      <c r="K187" s="620">
        <v>7698.5</v>
      </c>
    </row>
    <row r="188" spans="1:11" ht="14.4" customHeight="1" x14ac:dyDescent="0.3">
      <c r="A188" s="615" t="s">
        <v>479</v>
      </c>
      <c r="B188" s="616" t="s">
        <v>2514</v>
      </c>
      <c r="C188" s="617" t="s">
        <v>484</v>
      </c>
      <c r="D188" s="618" t="s">
        <v>2515</v>
      </c>
      <c r="E188" s="617" t="s">
        <v>3567</v>
      </c>
      <c r="F188" s="618" t="s">
        <v>3568</v>
      </c>
      <c r="G188" s="617" t="s">
        <v>3213</v>
      </c>
      <c r="H188" s="617" t="s">
        <v>3214</v>
      </c>
      <c r="I188" s="619">
        <v>193.59999999999997</v>
      </c>
      <c r="J188" s="619">
        <v>360</v>
      </c>
      <c r="K188" s="620">
        <v>69696</v>
      </c>
    </row>
    <row r="189" spans="1:11" ht="14.4" customHeight="1" x14ac:dyDescent="0.3">
      <c r="A189" s="615" t="s">
        <v>479</v>
      </c>
      <c r="B189" s="616" t="s">
        <v>2514</v>
      </c>
      <c r="C189" s="617" t="s">
        <v>484</v>
      </c>
      <c r="D189" s="618" t="s">
        <v>2515</v>
      </c>
      <c r="E189" s="617" t="s">
        <v>3567</v>
      </c>
      <c r="F189" s="618" t="s">
        <v>3568</v>
      </c>
      <c r="G189" s="617" t="s">
        <v>3215</v>
      </c>
      <c r="H189" s="617" t="s">
        <v>3216</v>
      </c>
      <c r="I189" s="619">
        <v>24.400000000000002</v>
      </c>
      <c r="J189" s="619">
        <v>950</v>
      </c>
      <c r="K189" s="620">
        <v>23183.710000000003</v>
      </c>
    </row>
    <row r="190" spans="1:11" ht="14.4" customHeight="1" x14ac:dyDescent="0.3">
      <c r="A190" s="615" t="s">
        <v>479</v>
      </c>
      <c r="B190" s="616" t="s">
        <v>2514</v>
      </c>
      <c r="C190" s="617" t="s">
        <v>484</v>
      </c>
      <c r="D190" s="618" t="s">
        <v>2515</v>
      </c>
      <c r="E190" s="617" t="s">
        <v>3567</v>
      </c>
      <c r="F190" s="618" t="s">
        <v>3568</v>
      </c>
      <c r="G190" s="617" t="s">
        <v>3217</v>
      </c>
      <c r="H190" s="617" t="s">
        <v>3218</v>
      </c>
      <c r="I190" s="619">
        <v>484.04</v>
      </c>
      <c r="J190" s="619">
        <v>20</v>
      </c>
      <c r="K190" s="620">
        <v>9680.7200000000012</v>
      </c>
    </row>
    <row r="191" spans="1:11" ht="14.4" customHeight="1" x14ac:dyDescent="0.3">
      <c r="A191" s="615" t="s">
        <v>479</v>
      </c>
      <c r="B191" s="616" t="s">
        <v>2514</v>
      </c>
      <c r="C191" s="617" t="s">
        <v>484</v>
      </c>
      <c r="D191" s="618" t="s">
        <v>2515</v>
      </c>
      <c r="E191" s="617" t="s">
        <v>3567</v>
      </c>
      <c r="F191" s="618" t="s">
        <v>3568</v>
      </c>
      <c r="G191" s="617" t="s">
        <v>3219</v>
      </c>
      <c r="H191" s="617" t="s">
        <v>3220</v>
      </c>
      <c r="I191" s="619">
        <v>9.1999999999999993</v>
      </c>
      <c r="J191" s="619">
        <v>10</v>
      </c>
      <c r="K191" s="620">
        <v>92</v>
      </c>
    </row>
    <row r="192" spans="1:11" ht="14.4" customHeight="1" x14ac:dyDescent="0.3">
      <c r="A192" s="615" t="s">
        <v>479</v>
      </c>
      <c r="B192" s="616" t="s">
        <v>2514</v>
      </c>
      <c r="C192" s="617" t="s">
        <v>484</v>
      </c>
      <c r="D192" s="618" t="s">
        <v>2515</v>
      </c>
      <c r="E192" s="617" t="s">
        <v>3567</v>
      </c>
      <c r="F192" s="618" t="s">
        <v>3568</v>
      </c>
      <c r="G192" s="617" t="s">
        <v>3221</v>
      </c>
      <c r="H192" s="617" t="s">
        <v>3222</v>
      </c>
      <c r="I192" s="619">
        <v>4.62</v>
      </c>
      <c r="J192" s="619">
        <v>26</v>
      </c>
      <c r="K192" s="620">
        <v>120.12</v>
      </c>
    </row>
    <row r="193" spans="1:11" ht="14.4" customHeight="1" x14ac:dyDescent="0.3">
      <c r="A193" s="615" t="s">
        <v>479</v>
      </c>
      <c r="B193" s="616" t="s">
        <v>2514</v>
      </c>
      <c r="C193" s="617" t="s">
        <v>484</v>
      </c>
      <c r="D193" s="618" t="s">
        <v>2515</v>
      </c>
      <c r="E193" s="617" t="s">
        <v>3567</v>
      </c>
      <c r="F193" s="618" t="s">
        <v>3568</v>
      </c>
      <c r="G193" s="617" t="s">
        <v>3223</v>
      </c>
      <c r="H193" s="617" t="s">
        <v>3224</v>
      </c>
      <c r="I193" s="619">
        <v>2.34</v>
      </c>
      <c r="J193" s="619">
        <v>200</v>
      </c>
      <c r="K193" s="620">
        <v>467.77</v>
      </c>
    </row>
    <row r="194" spans="1:11" ht="14.4" customHeight="1" x14ac:dyDescent="0.3">
      <c r="A194" s="615" t="s">
        <v>479</v>
      </c>
      <c r="B194" s="616" t="s">
        <v>2514</v>
      </c>
      <c r="C194" s="617" t="s">
        <v>484</v>
      </c>
      <c r="D194" s="618" t="s">
        <v>2515</v>
      </c>
      <c r="E194" s="617" t="s">
        <v>3567</v>
      </c>
      <c r="F194" s="618" t="s">
        <v>3568</v>
      </c>
      <c r="G194" s="617" t="s">
        <v>3225</v>
      </c>
      <c r="H194" s="617" t="s">
        <v>3226</v>
      </c>
      <c r="I194" s="619">
        <v>411.40000000000003</v>
      </c>
      <c r="J194" s="619">
        <v>80</v>
      </c>
      <c r="K194" s="620">
        <v>32912</v>
      </c>
    </row>
    <row r="195" spans="1:11" ht="14.4" customHeight="1" x14ac:dyDescent="0.3">
      <c r="A195" s="615" t="s">
        <v>479</v>
      </c>
      <c r="B195" s="616" t="s">
        <v>2514</v>
      </c>
      <c r="C195" s="617" t="s">
        <v>484</v>
      </c>
      <c r="D195" s="618" t="s">
        <v>2515</v>
      </c>
      <c r="E195" s="617" t="s">
        <v>3567</v>
      </c>
      <c r="F195" s="618" t="s">
        <v>3568</v>
      </c>
      <c r="G195" s="617" t="s">
        <v>3227</v>
      </c>
      <c r="H195" s="617" t="s">
        <v>3228</v>
      </c>
      <c r="I195" s="619">
        <v>1672.22</v>
      </c>
      <c r="J195" s="619">
        <v>1</v>
      </c>
      <c r="K195" s="620">
        <v>1672.22</v>
      </c>
    </row>
    <row r="196" spans="1:11" ht="14.4" customHeight="1" x14ac:dyDescent="0.3">
      <c r="A196" s="615" t="s">
        <v>479</v>
      </c>
      <c r="B196" s="616" t="s">
        <v>2514</v>
      </c>
      <c r="C196" s="617" t="s">
        <v>484</v>
      </c>
      <c r="D196" s="618" t="s">
        <v>2515</v>
      </c>
      <c r="E196" s="617" t="s">
        <v>3567</v>
      </c>
      <c r="F196" s="618" t="s">
        <v>3568</v>
      </c>
      <c r="G196" s="617" t="s">
        <v>3229</v>
      </c>
      <c r="H196" s="617" t="s">
        <v>3230</v>
      </c>
      <c r="I196" s="619">
        <v>20.57</v>
      </c>
      <c r="J196" s="619">
        <v>20</v>
      </c>
      <c r="K196" s="620">
        <v>411.4</v>
      </c>
    </row>
    <row r="197" spans="1:11" ht="14.4" customHeight="1" x14ac:dyDescent="0.3">
      <c r="A197" s="615" t="s">
        <v>479</v>
      </c>
      <c r="B197" s="616" t="s">
        <v>2514</v>
      </c>
      <c r="C197" s="617" t="s">
        <v>484</v>
      </c>
      <c r="D197" s="618" t="s">
        <v>2515</v>
      </c>
      <c r="E197" s="617" t="s">
        <v>3567</v>
      </c>
      <c r="F197" s="618" t="s">
        <v>3568</v>
      </c>
      <c r="G197" s="617" t="s">
        <v>3231</v>
      </c>
      <c r="H197" s="617" t="s">
        <v>3232</v>
      </c>
      <c r="I197" s="619">
        <v>650.33000000000004</v>
      </c>
      <c r="J197" s="619">
        <v>1</v>
      </c>
      <c r="K197" s="620">
        <v>650.33000000000004</v>
      </c>
    </row>
    <row r="198" spans="1:11" ht="14.4" customHeight="1" x14ac:dyDescent="0.3">
      <c r="A198" s="615" t="s">
        <v>479</v>
      </c>
      <c r="B198" s="616" t="s">
        <v>2514</v>
      </c>
      <c r="C198" s="617" t="s">
        <v>484</v>
      </c>
      <c r="D198" s="618" t="s">
        <v>2515</v>
      </c>
      <c r="E198" s="617" t="s">
        <v>3567</v>
      </c>
      <c r="F198" s="618" t="s">
        <v>3568</v>
      </c>
      <c r="G198" s="617" t="s">
        <v>3233</v>
      </c>
      <c r="H198" s="617" t="s">
        <v>3234</v>
      </c>
      <c r="I198" s="619">
        <v>96.32</v>
      </c>
      <c r="J198" s="619">
        <v>42</v>
      </c>
      <c r="K198" s="620">
        <v>4045.39</v>
      </c>
    </row>
    <row r="199" spans="1:11" ht="14.4" customHeight="1" x14ac:dyDescent="0.3">
      <c r="A199" s="615" t="s">
        <v>479</v>
      </c>
      <c r="B199" s="616" t="s">
        <v>2514</v>
      </c>
      <c r="C199" s="617" t="s">
        <v>484</v>
      </c>
      <c r="D199" s="618" t="s">
        <v>2515</v>
      </c>
      <c r="E199" s="617" t="s">
        <v>3567</v>
      </c>
      <c r="F199" s="618" t="s">
        <v>3568</v>
      </c>
      <c r="G199" s="617" t="s">
        <v>3235</v>
      </c>
      <c r="H199" s="617" t="s">
        <v>3236</v>
      </c>
      <c r="I199" s="619">
        <v>153.11000000000001</v>
      </c>
      <c r="J199" s="619">
        <v>40</v>
      </c>
      <c r="K199" s="620">
        <v>6124.52</v>
      </c>
    </row>
    <row r="200" spans="1:11" ht="14.4" customHeight="1" x14ac:dyDescent="0.3">
      <c r="A200" s="615" t="s">
        <v>479</v>
      </c>
      <c r="B200" s="616" t="s">
        <v>2514</v>
      </c>
      <c r="C200" s="617" t="s">
        <v>484</v>
      </c>
      <c r="D200" s="618" t="s">
        <v>2515</v>
      </c>
      <c r="E200" s="617" t="s">
        <v>3567</v>
      </c>
      <c r="F200" s="618" t="s">
        <v>3568</v>
      </c>
      <c r="G200" s="617" t="s">
        <v>3237</v>
      </c>
      <c r="H200" s="617" t="s">
        <v>3238</v>
      </c>
      <c r="I200" s="619">
        <v>9.2000000000000011</v>
      </c>
      <c r="J200" s="619">
        <v>3000</v>
      </c>
      <c r="K200" s="620">
        <v>27600</v>
      </c>
    </row>
    <row r="201" spans="1:11" ht="14.4" customHeight="1" x14ac:dyDescent="0.3">
      <c r="A201" s="615" t="s">
        <v>479</v>
      </c>
      <c r="B201" s="616" t="s">
        <v>2514</v>
      </c>
      <c r="C201" s="617" t="s">
        <v>484</v>
      </c>
      <c r="D201" s="618" t="s">
        <v>2515</v>
      </c>
      <c r="E201" s="617" t="s">
        <v>3567</v>
      </c>
      <c r="F201" s="618" t="s">
        <v>3568</v>
      </c>
      <c r="G201" s="617" t="s">
        <v>3237</v>
      </c>
      <c r="H201" s="617" t="s">
        <v>3239</v>
      </c>
      <c r="I201" s="619">
        <v>9.2000000000000011</v>
      </c>
      <c r="J201" s="619">
        <v>3700</v>
      </c>
      <c r="K201" s="620">
        <v>34040</v>
      </c>
    </row>
    <row r="202" spans="1:11" ht="14.4" customHeight="1" x14ac:dyDescent="0.3">
      <c r="A202" s="615" t="s">
        <v>479</v>
      </c>
      <c r="B202" s="616" t="s">
        <v>2514</v>
      </c>
      <c r="C202" s="617" t="s">
        <v>484</v>
      </c>
      <c r="D202" s="618" t="s">
        <v>2515</v>
      </c>
      <c r="E202" s="617" t="s">
        <v>3567</v>
      </c>
      <c r="F202" s="618" t="s">
        <v>3568</v>
      </c>
      <c r="G202" s="617" t="s">
        <v>3240</v>
      </c>
      <c r="H202" s="617" t="s">
        <v>3241</v>
      </c>
      <c r="I202" s="619">
        <v>172.5</v>
      </c>
      <c r="J202" s="619">
        <v>6</v>
      </c>
      <c r="K202" s="620">
        <v>1035</v>
      </c>
    </row>
    <row r="203" spans="1:11" ht="14.4" customHeight="1" x14ac:dyDescent="0.3">
      <c r="A203" s="615" t="s">
        <v>479</v>
      </c>
      <c r="B203" s="616" t="s">
        <v>2514</v>
      </c>
      <c r="C203" s="617" t="s">
        <v>484</v>
      </c>
      <c r="D203" s="618" t="s">
        <v>2515</v>
      </c>
      <c r="E203" s="617" t="s">
        <v>3567</v>
      </c>
      <c r="F203" s="618" t="s">
        <v>3568</v>
      </c>
      <c r="G203" s="617" t="s">
        <v>3242</v>
      </c>
      <c r="H203" s="617" t="s">
        <v>3243</v>
      </c>
      <c r="I203" s="619">
        <v>15.730000000000002</v>
      </c>
      <c r="J203" s="619">
        <v>1200</v>
      </c>
      <c r="K203" s="620">
        <v>18876</v>
      </c>
    </row>
    <row r="204" spans="1:11" ht="14.4" customHeight="1" x14ac:dyDescent="0.3">
      <c r="A204" s="615" t="s">
        <v>479</v>
      </c>
      <c r="B204" s="616" t="s">
        <v>2514</v>
      </c>
      <c r="C204" s="617" t="s">
        <v>484</v>
      </c>
      <c r="D204" s="618" t="s">
        <v>2515</v>
      </c>
      <c r="E204" s="617" t="s">
        <v>3567</v>
      </c>
      <c r="F204" s="618" t="s">
        <v>3568</v>
      </c>
      <c r="G204" s="617" t="s">
        <v>3244</v>
      </c>
      <c r="H204" s="617" t="s">
        <v>3245</v>
      </c>
      <c r="I204" s="619">
        <v>14.519999999999998</v>
      </c>
      <c r="J204" s="619">
        <v>500</v>
      </c>
      <c r="K204" s="620">
        <v>7260</v>
      </c>
    </row>
    <row r="205" spans="1:11" ht="14.4" customHeight="1" x14ac:dyDescent="0.3">
      <c r="A205" s="615" t="s">
        <v>479</v>
      </c>
      <c r="B205" s="616" t="s">
        <v>2514</v>
      </c>
      <c r="C205" s="617" t="s">
        <v>484</v>
      </c>
      <c r="D205" s="618" t="s">
        <v>2515</v>
      </c>
      <c r="E205" s="617" t="s">
        <v>3567</v>
      </c>
      <c r="F205" s="618" t="s">
        <v>3568</v>
      </c>
      <c r="G205" s="617" t="s">
        <v>3246</v>
      </c>
      <c r="H205" s="617" t="s">
        <v>3247</v>
      </c>
      <c r="I205" s="619">
        <v>124.63000000000001</v>
      </c>
      <c r="J205" s="619">
        <v>340</v>
      </c>
      <c r="K205" s="620">
        <v>42374.200000000004</v>
      </c>
    </row>
    <row r="206" spans="1:11" ht="14.4" customHeight="1" x14ac:dyDescent="0.3">
      <c r="A206" s="615" t="s">
        <v>479</v>
      </c>
      <c r="B206" s="616" t="s">
        <v>2514</v>
      </c>
      <c r="C206" s="617" t="s">
        <v>484</v>
      </c>
      <c r="D206" s="618" t="s">
        <v>2515</v>
      </c>
      <c r="E206" s="617" t="s">
        <v>3567</v>
      </c>
      <c r="F206" s="618" t="s">
        <v>3568</v>
      </c>
      <c r="G206" s="617" t="s">
        <v>3248</v>
      </c>
      <c r="H206" s="617" t="s">
        <v>3249</v>
      </c>
      <c r="I206" s="619">
        <v>247.2</v>
      </c>
      <c r="J206" s="619">
        <v>10</v>
      </c>
      <c r="K206" s="620">
        <v>2472.0100000000002</v>
      </c>
    </row>
    <row r="207" spans="1:11" ht="14.4" customHeight="1" x14ac:dyDescent="0.3">
      <c r="A207" s="615" t="s">
        <v>479</v>
      </c>
      <c r="B207" s="616" t="s">
        <v>2514</v>
      </c>
      <c r="C207" s="617" t="s">
        <v>484</v>
      </c>
      <c r="D207" s="618" t="s">
        <v>2515</v>
      </c>
      <c r="E207" s="617" t="s">
        <v>3567</v>
      </c>
      <c r="F207" s="618" t="s">
        <v>3568</v>
      </c>
      <c r="G207" s="617" t="s">
        <v>3250</v>
      </c>
      <c r="H207" s="617" t="s">
        <v>3251</v>
      </c>
      <c r="I207" s="619">
        <v>82.156999999999996</v>
      </c>
      <c r="J207" s="619">
        <v>152</v>
      </c>
      <c r="K207" s="620">
        <v>12487.7</v>
      </c>
    </row>
    <row r="208" spans="1:11" ht="14.4" customHeight="1" x14ac:dyDescent="0.3">
      <c r="A208" s="615" t="s">
        <v>479</v>
      </c>
      <c r="B208" s="616" t="s">
        <v>2514</v>
      </c>
      <c r="C208" s="617" t="s">
        <v>484</v>
      </c>
      <c r="D208" s="618" t="s">
        <v>2515</v>
      </c>
      <c r="E208" s="617" t="s">
        <v>3567</v>
      </c>
      <c r="F208" s="618" t="s">
        <v>3568</v>
      </c>
      <c r="G208" s="617" t="s">
        <v>3252</v>
      </c>
      <c r="H208" s="617" t="s">
        <v>3253</v>
      </c>
      <c r="I208" s="619">
        <v>1234.2</v>
      </c>
      <c r="J208" s="619">
        <v>25</v>
      </c>
      <c r="K208" s="620">
        <v>30855</v>
      </c>
    </row>
    <row r="209" spans="1:11" ht="14.4" customHeight="1" x14ac:dyDescent="0.3">
      <c r="A209" s="615" t="s">
        <v>479</v>
      </c>
      <c r="B209" s="616" t="s">
        <v>2514</v>
      </c>
      <c r="C209" s="617" t="s">
        <v>484</v>
      </c>
      <c r="D209" s="618" t="s">
        <v>2515</v>
      </c>
      <c r="E209" s="617" t="s">
        <v>3567</v>
      </c>
      <c r="F209" s="618" t="s">
        <v>3568</v>
      </c>
      <c r="G209" s="617" t="s">
        <v>3254</v>
      </c>
      <c r="H209" s="617" t="s">
        <v>3255</v>
      </c>
      <c r="I209" s="619">
        <v>153.1114285714286</v>
      </c>
      <c r="J209" s="619">
        <v>60</v>
      </c>
      <c r="K209" s="620">
        <v>9186.7799999999988</v>
      </c>
    </row>
    <row r="210" spans="1:11" ht="14.4" customHeight="1" x14ac:dyDescent="0.3">
      <c r="A210" s="615" t="s">
        <v>479</v>
      </c>
      <c r="B210" s="616" t="s">
        <v>2514</v>
      </c>
      <c r="C210" s="617" t="s">
        <v>484</v>
      </c>
      <c r="D210" s="618" t="s">
        <v>2515</v>
      </c>
      <c r="E210" s="617" t="s">
        <v>3567</v>
      </c>
      <c r="F210" s="618" t="s">
        <v>3568</v>
      </c>
      <c r="G210" s="617" t="s">
        <v>3256</v>
      </c>
      <c r="H210" s="617" t="s">
        <v>3257</v>
      </c>
      <c r="I210" s="619">
        <v>302.5</v>
      </c>
      <c r="J210" s="619">
        <v>7</v>
      </c>
      <c r="K210" s="620">
        <v>2117.5</v>
      </c>
    </row>
    <row r="211" spans="1:11" ht="14.4" customHeight="1" x14ac:dyDescent="0.3">
      <c r="A211" s="615" t="s">
        <v>479</v>
      </c>
      <c r="B211" s="616" t="s">
        <v>2514</v>
      </c>
      <c r="C211" s="617" t="s">
        <v>484</v>
      </c>
      <c r="D211" s="618" t="s">
        <v>2515</v>
      </c>
      <c r="E211" s="617" t="s">
        <v>3567</v>
      </c>
      <c r="F211" s="618" t="s">
        <v>3568</v>
      </c>
      <c r="G211" s="617" t="s">
        <v>3258</v>
      </c>
      <c r="H211" s="617" t="s">
        <v>3259</v>
      </c>
      <c r="I211" s="619">
        <v>1805.3</v>
      </c>
      <c r="J211" s="619">
        <v>2</v>
      </c>
      <c r="K211" s="620">
        <v>3610.6</v>
      </c>
    </row>
    <row r="212" spans="1:11" ht="14.4" customHeight="1" x14ac:dyDescent="0.3">
      <c r="A212" s="615" t="s">
        <v>479</v>
      </c>
      <c r="B212" s="616" t="s">
        <v>2514</v>
      </c>
      <c r="C212" s="617" t="s">
        <v>484</v>
      </c>
      <c r="D212" s="618" t="s">
        <v>2515</v>
      </c>
      <c r="E212" s="617" t="s">
        <v>3567</v>
      </c>
      <c r="F212" s="618" t="s">
        <v>3568</v>
      </c>
      <c r="G212" s="617" t="s">
        <v>3260</v>
      </c>
      <c r="H212" s="617" t="s">
        <v>3261</v>
      </c>
      <c r="I212" s="619">
        <v>17.91</v>
      </c>
      <c r="J212" s="619">
        <v>30</v>
      </c>
      <c r="K212" s="620">
        <v>537.22</v>
      </c>
    </row>
    <row r="213" spans="1:11" ht="14.4" customHeight="1" x14ac:dyDescent="0.3">
      <c r="A213" s="615" t="s">
        <v>479</v>
      </c>
      <c r="B213" s="616" t="s">
        <v>2514</v>
      </c>
      <c r="C213" s="617" t="s">
        <v>484</v>
      </c>
      <c r="D213" s="618" t="s">
        <v>2515</v>
      </c>
      <c r="E213" s="617" t="s">
        <v>3567</v>
      </c>
      <c r="F213" s="618" t="s">
        <v>3568</v>
      </c>
      <c r="G213" s="617" t="s">
        <v>3262</v>
      </c>
      <c r="H213" s="617" t="s">
        <v>3263</v>
      </c>
      <c r="I213" s="619">
        <v>24.3</v>
      </c>
      <c r="J213" s="619">
        <v>14</v>
      </c>
      <c r="K213" s="620">
        <v>340.20000000000005</v>
      </c>
    </row>
    <row r="214" spans="1:11" ht="14.4" customHeight="1" x14ac:dyDescent="0.3">
      <c r="A214" s="615" t="s">
        <v>479</v>
      </c>
      <c r="B214" s="616" t="s">
        <v>2514</v>
      </c>
      <c r="C214" s="617" t="s">
        <v>484</v>
      </c>
      <c r="D214" s="618" t="s">
        <v>2515</v>
      </c>
      <c r="E214" s="617" t="s">
        <v>3567</v>
      </c>
      <c r="F214" s="618" t="s">
        <v>3568</v>
      </c>
      <c r="G214" s="617" t="s">
        <v>3264</v>
      </c>
      <c r="H214" s="617" t="s">
        <v>3265</v>
      </c>
      <c r="I214" s="619">
        <v>1109.27</v>
      </c>
      <c r="J214" s="619">
        <v>2</v>
      </c>
      <c r="K214" s="620">
        <v>2218.54</v>
      </c>
    </row>
    <row r="215" spans="1:11" ht="14.4" customHeight="1" x14ac:dyDescent="0.3">
      <c r="A215" s="615" t="s">
        <v>479</v>
      </c>
      <c r="B215" s="616" t="s">
        <v>2514</v>
      </c>
      <c r="C215" s="617" t="s">
        <v>484</v>
      </c>
      <c r="D215" s="618" t="s">
        <v>2515</v>
      </c>
      <c r="E215" s="617" t="s">
        <v>3567</v>
      </c>
      <c r="F215" s="618" t="s">
        <v>3568</v>
      </c>
      <c r="G215" s="617" t="s">
        <v>3266</v>
      </c>
      <c r="H215" s="617" t="s">
        <v>3267</v>
      </c>
      <c r="I215" s="619">
        <v>343.53</v>
      </c>
      <c r="J215" s="619">
        <v>15</v>
      </c>
      <c r="K215" s="620">
        <v>5152.78</v>
      </c>
    </row>
    <row r="216" spans="1:11" ht="14.4" customHeight="1" x14ac:dyDescent="0.3">
      <c r="A216" s="615" t="s">
        <v>479</v>
      </c>
      <c r="B216" s="616" t="s">
        <v>2514</v>
      </c>
      <c r="C216" s="617" t="s">
        <v>484</v>
      </c>
      <c r="D216" s="618" t="s">
        <v>2515</v>
      </c>
      <c r="E216" s="617" t="s">
        <v>3567</v>
      </c>
      <c r="F216" s="618" t="s">
        <v>3568</v>
      </c>
      <c r="G216" s="617" t="s">
        <v>3268</v>
      </c>
      <c r="H216" s="617" t="s">
        <v>3269</v>
      </c>
      <c r="I216" s="619">
        <v>4123.2749999999996</v>
      </c>
      <c r="J216" s="619">
        <v>3</v>
      </c>
      <c r="K216" s="620">
        <v>12369.83</v>
      </c>
    </row>
    <row r="217" spans="1:11" ht="14.4" customHeight="1" x14ac:dyDescent="0.3">
      <c r="A217" s="615" t="s">
        <v>479</v>
      </c>
      <c r="B217" s="616" t="s">
        <v>2514</v>
      </c>
      <c r="C217" s="617" t="s">
        <v>484</v>
      </c>
      <c r="D217" s="618" t="s">
        <v>2515</v>
      </c>
      <c r="E217" s="617" t="s">
        <v>3567</v>
      </c>
      <c r="F217" s="618" t="s">
        <v>3568</v>
      </c>
      <c r="G217" s="617" t="s">
        <v>3270</v>
      </c>
      <c r="H217" s="617" t="s">
        <v>3271</v>
      </c>
      <c r="I217" s="619">
        <v>14.76</v>
      </c>
      <c r="J217" s="619">
        <v>3</v>
      </c>
      <c r="K217" s="620">
        <v>44.28</v>
      </c>
    </row>
    <row r="218" spans="1:11" ht="14.4" customHeight="1" x14ac:dyDescent="0.3">
      <c r="A218" s="615" t="s">
        <v>479</v>
      </c>
      <c r="B218" s="616" t="s">
        <v>2514</v>
      </c>
      <c r="C218" s="617" t="s">
        <v>484</v>
      </c>
      <c r="D218" s="618" t="s">
        <v>2515</v>
      </c>
      <c r="E218" s="617" t="s">
        <v>3567</v>
      </c>
      <c r="F218" s="618" t="s">
        <v>3568</v>
      </c>
      <c r="G218" s="617" t="s">
        <v>3272</v>
      </c>
      <c r="H218" s="617" t="s">
        <v>3273</v>
      </c>
      <c r="I218" s="619">
        <v>3533.5</v>
      </c>
      <c r="J218" s="619">
        <v>1</v>
      </c>
      <c r="K218" s="620">
        <v>3533.5</v>
      </c>
    </row>
    <row r="219" spans="1:11" ht="14.4" customHeight="1" x14ac:dyDescent="0.3">
      <c r="A219" s="615" t="s">
        <v>479</v>
      </c>
      <c r="B219" s="616" t="s">
        <v>2514</v>
      </c>
      <c r="C219" s="617" t="s">
        <v>484</v>
      </c>
      <c r="D219" s="618" t="s">
        <v>2515</v>
      </c>
      <c r="E219" s="617" t="s">
        <v>3567</v>
      </c>
      <c r="F219" s="618" t="s">
        <v>3568</v>
      </c>
      <c r="G219" s="617" t="s">
        <v>3274</v>
      </c>
      <c r="H219" s="617" t="s">
        <v>3275</v>
      </c>
      <c r="I219" s="619">
        <v>3.8699999999999992</v>
      </c>
      <c r="J219" s="619">
        <v>2000</v>
      </c>
      <c r="K219" s="620">
        <v>7743.9999999999982</v>
      </c>
    </row>
    <row r="220" spans="1:11" ht="14.4" customHeight="1" x14ac:dyDescent="0.3">
      <c r="A220" s="615" t="s">
        <v>479</v>
      </c>
      <c r="B220" s="616" t="s">
        <v>2514</v>
      </c>
      <c r="C220" s="617" t="s">
        <v>484</v>
      </c>
      <c r="D220" s="618" t="s">
        <v>2515</v>
      </c>
      <c r="E220" s="617" t="s">
        <v>3567</v>
      </c>
      <c r="F220" s="618" t="s">
        <v>3568</v>
      </c>
      <c r="G220" s="617" t="s">
        <v>3276</v>
      </c>
      <c r="H220" s="617" t="s">
        <v>3277</v>
      </c>
      <c r="I220" s="619">
        <v>82.2</v>
      </c>
      <c r="J220" s="619">
        <v>30</v>
      </c>
      <c r="K220" s="620">
        <v>2465.96</v>
      </c>
    </row>
    <row r="221" spans="1:11" ht="14.4" customHeight="1" x14ac:dyDescent="0.3">
      <c r="A221" s="615" t="s">
        <v>479</v>
      </c>
      <c r="B221" s="616" t="s">
        <v>2514</v>
      </c>
      <c r="C221" s="617" t="s">
        <v>484</v>
      </c>
      <c r="D221" s="618" t="s">
        <v>2515</v>
      </c>
      <c r="E221" s="617" t="s">
        <v>3567</v>
      </c>
      <c r="F221" s="618" t="s">
        <v>3568</v>
      </c>
      <c r="G221" s="617" t="s">
        <v>3278</v>
      </c>
      <c r="H221" s="617" t="s">
        <v>3279</v>
      </c>
      <c r="I221" s="619">
        <v>627.64</v>
      </c>
      <c r="J221" s="619">
        <v>1</v>
      </c>
      <c r="K221" s="620">
        <v>627.64</v>
      </c>
    </row>
    <row r="222" spans="1:11" ht="14.4" customHeight="1" x14ac:dyDescent="0.3">
      <c r="A222" s="615" t="s">
        <v>479</v>
      </c>
      <c r="B222" s="616" t="s">
        <v>2514</v>
      </c>
      <c r="C222" s="617" t="s">
        <v>484</v>
      </c>
      <c r="D222" s="618" t="s">
        <v>2515</v>
      </c>
      <c r="E222" s="617" t="s">
        <v>3567</v>
      </c>
      <c r="F222" s="618" t="s">
        <v>3568</v>
      </c>
      <c r="G222" s="617" t="s">
        <v>3280</v>
      </c>
      <c r="H222" s="617" t="s">
        <v>3281</v>
      </c>
      <c r="I222" s="619">
        <v>96.799999999999983</v>
      </c>
      <c r="J222" s="619">
        <v>310</v>
      </c>
      <c r="K222" s="620">
        <v>30008</v>
      </c>
    </row>
    <row r="223" spans="1:11" ht="14.4" customHeight="1" x14ac:dyDescent="0.3">
      <c r="A223" s="615" t="s">
        <v>479</v>
      </c>
      <c r="B223" s="616" t="s">
        <v>2514</v>
      </c>
      <c r="C223" s="617" t="s">
        <v>484</v>
      </c>
      <c r="D223" s="618" t="s">
        <v>2515</v>
      </c>
      <c r="E223" s="617" t="s">
        <v>3567</v>
      </c>
      <c r="F223" s="618" t="s">
        <v>3568</v>
      </c>
      <c r="G223" s="617" t="s">
        <v>3282</v>
      </c>
      <c r="H223" s="617" t="s">
        <v>3283</v>
      </c>
      <c r="I223" s="619">
        <v>15.129999999999999</v>
      </c>
      <c r="J223" s="619">
        <v>1350</v>
      </c>
      <c r="K223" s="620">
        <v>20419.25</v>
      </c>
    </row>
    <row r="224" spans="1:11" ht="14.4" customHeight="1" x14ac:dyDescent="0.3">
      <c r="A224" s="615" t="s">
        <v>479</v>
      </c>
      <c r="B224" s="616" t="s">
        <v>2514</v>
      </c>
      <c r="C224" s="617" t="s">
        <v>484</v>
      </c>
      <c r="D224" s="618" t="s">
        <v>2515</v>
      </c>
      <c r="E224" s="617" t="s">
        <v>3567</v>
      </c>
      <c r="F224" s="618" t="s">
        <v>3568</v>
      </c>
      <c r="G224" s="617" t="s">
        <v>3284</v>
      </c>
      <c r="H224" s="617" t="s">
        <v>3285</v>
      </c>
      <c r="I224" s="619">
        <v>168.19</v>
      </c>
      <c r="J224" s="619">
        <v>10</v>
      </c>
      <c r="K224" s="620">
        <v>1681.9</v>
      </c>
    </row>
    <row r="225" spans="1:11" ht="14.4" customHeight="1" x14ac:dyDescent="0.3">
      <c r="A225" s="615" t="s">
        <v>479</v>
      </c>
      <c r="B225" s="616" t="s">
        <v>2514</v>
      </c>
      <c r="C225" s="617" t="s">
        <v>484</v>
      </c>
      <c r="D225" s="618" t="s">
        <v>2515</v>
      </c>
      <c r="E225" s="617" t="s">
        <v>3567</v>
      </c>
      <c r="F225" s="618" t="s">
        <v>3568</v>
      </c>
      <c r="G225" s="617" t="s">
        <v>3286</v>
      </c>
      <c r="H225" s="617" t="s">
        <v>3287</v>
      </c>
      <c r="I225" s="619">
        <v>136.54000000000002</v>
      </c>
      <c r="J225" s="619">
        <v>10</v>
      </c>
      <c r="K225" s="620">
        <v>1365.4</v>
      </c>
    </row>
    <row r="226" spans="1:11" ht="14.4" customHeight="1" x14ac:dyDescent="0.3">
      <c r="A226" s="615" t="s">
        <v>479</v>
      </c>
      <c r="B226" s="616" t="s">
        <v>2514</v>
      </c>
      <c r="C226" s="617" t="s">
        <v>484</v>
      </c>
      <c r="D226" s="618" t="s">
        <v>2515</v>
      </c>
      <c r="E226" s="617" t="s">
        <v>3567</v>
      </c>
      <c r="F226" s="618" t="s">
        <v>3568</v>
      </c>
      <c r="G226" s="617" t="s">
        <v>3288</v>
      </c>
      <c r="H226" s="617" t="s">
        <v>3289</v>
      </c>
      <c r="I226" s="619">
        <v>3.4194117647058828</v>
      </c>
      <c r="J226" s="619">
        <v>9120</v>
      </c>
      <c r="K226" s="620">
        <v>31168.280000000006</v>
      </c>
    </row>
    <row r="227" spans="1:11" ht="14.4" customHeight="1" x14ac:dyDescent="0.3">
      <c r="A227" s="615" t="s">
        <v>479</v>
      </c>
      <c r="B227" s="616" t="s">
        <v>2514</v>
      </c>
      <c r="C227" s="617" t="s">
        <v>484</v>
      </c>
      <c r="D227" s="618" t="s">
        <v>2515</v>
      </c>
      <c r="E227" s="617" t="s">
        <v>3567</v>
      </c>
      <c r="F227" s="618" t="s">
        <v>3568</v>
      </c>
      <c r="G227" s="617" t="s">
        <v>3290</v>
      </c>
      <c r="H227" s="617" t="s">
        <v>3291</v>
      </c>
      <c r="I227" s="619">
        <v>3.42</v>
      </c>
      <c r="J227" s="619">
        <v>520</v>
      </c>
      <c r="K227" s="620">
        <v>1778.4</v>
      </c>
    </row>
    <row r="228" spans="1:11" ht="14.4" customHeight="1" x14ac:dyDescent="0.3">
      <c r="A228" s="615" t="s">
        <v>479</v>
      </c>
      <c r="B228" s="616" t="s">
        <v>2514</v>
      </c>
      <c r="C228" s="617" t="s">
        <v>484</v>
      </c>
      <c r="D228" s="618" t="s">
        <v>2515</v>
      </c>
      <c r="E228" s="617" t="s">
        <v>3567</v>
      </c>
      <c r="F228" s="618" t="s">
        <v>3568</v>
      </c>
      <c r="G228" s="617" t="s">
        <v>3292</v>
      </c>
      <c r="H228" s="617" t="s">
        <v>3293</v>
      </c>
      <c r="I228" s="619">
        <v>6.0827272727272721</v>
      </c>
      <c r="J228" s="619">
        <v>2500</v>
      </c>
      <c r="K228" s="620">
        <v>15201</v>
      </c>
    </row>
    <row r="229" spans="1:11" ht="14.4" customHeight="1" x14ac:dyDescent="0.3">
      <c r="A229" s="615" t="s">
        <v>479</v>
      </c>
      <c r="B229" s="616" t="s">
        <v>2514</v>
      </c>
      <c r="C229" s="617" t="s">
        <v>484</v>
      </c>
      <c r="D229" s="618" t="s">
        <v>2515</v>
      </c>
      <c r="E229" s="617" t="s">
        <v>3567</v>
      </c>
      <c r="F229" s="618" t="s">
        <v>3568</v>
      </c>
      <c r="G229" s="617" t="s">
        <v>3294</v>
      </c>
      <c r="H229" s="617" t="s">
        <v>3295</v>
      </c>
      <c r="I229" s="619">
        <v>82.2</v>
      </c>
      <c r="J229" s="619">
        <v>70</v>
      </c>
      <c r="K229" s="620">
        <v>5753.9499999999989</v>
      </c>
    </row>
    <row r="230" spans="1:11" ht="14.4" customHeight="1" x14ac:dyDescent="0.3">
      <c r="A230" s="615" t="s">
        <v>479</v>
      </c>
      <c r="B230" s="616" t="s">
        <v>2514</v>
      </c>
      <c r="C230" s="617" t="s">
        <v>484</v>
      </c>
      <c r="D230" s="618" t="s">
        <v>2515</v>
      </c>
      <c r="E230" s="617" t="s">
        <v>3567</v>
      </c>
      <c r="F230" s="618" t="s">
        <v>3568</v>
      </c>
      <c r="G230" s="617" t="s">
        <v>3296</v>
      </c>
      <c r="H230" s="617" t="s">
        <v>3297</v>
      </c>
      <c r="I230" s="619">
        <v>568.70000000000005</v>
      </c>
      <c r="J230" s="619">
        <v>10</v>
      </c>
      <c r="K230" s="620">
        <v>5687</v>
      </c>
    </row>
    <row r="231" spans="1:11" ht="14.4" customHeight="1" x14ac:dyDescent="0.3">
      <c r="A231" s="615" t="s">
        <v>479</v>
      </c>
      <c r="B231" s="616" t="s">
        <v>2514</v>
      </c>
      <c r="C231" s="617" t="s">
        <v>484</v>
      </c>
      <c r="D231" s="618" t="s">
        <v>2515</v>
      </c>
      <c r="E231" s="617" t="s">
        <v>3567</v>
      </c>
      <c r="F231" s="618" t="s">
        <v>3568</v>
      </c>
      <c r="G231" s="617" t="s">
        <v>3298</v>
      </c>
      <c r="H231" s="617" t="s">
        <v>3299</v>
      </c>
      <c r="I231" s="619">
        <v>9.4371428571428559</v>
      </c>
      <c r="J231" s="619">
        <v>3300</v>
      </c>
      <c r="K231" s="620">
        <v>31142</v>
      </c>
    </row>
    <row r="232" spans="1:11" ht="14.4" customHeight="1" x14ac:dyDescent="0.3">
      <c r="A232" s="615" t="s">
        <v>479</v>
      </c>
      <c r="B232" s="616" t="s">
        <v>2514</v>
      </c>
      <c r="C232" s="617" t="s">
        <v>484</v>
      </c>
      <c r="D232" s="618" t="s">
        <v>2515</v>
      </c>
      <c r="E232" s="617" t="s">
        <v>3567</v>
      </c>
      <c r="F232" s="618" t="s">
        <v>3568</v>
      </c>
      <c r="G232" s="617" t="s">
        <v>3300</v>
      </c>
      <c r="H232" s="617" t="s">
        <v>3301</v>
      </c>
      <c r="I232" s="619">
        <v>22.990000000000002</v>
      </c>
      <c r="J232" s="619">
        <v>80</v>
      </c>
      <c r="K232" s="620">
        <v>1839.2</v>
      </c>
    </row>
    <row r="233" spans="1:11" ht="14.4" customHeight="1" x14ac:dyDescent="0.3">
      <c r="A233" s="615" t="s">
        <v>479</v>
      </c>
      <c r="B233" s="616" t="s">
        <v>2514</v>
      </c>
      <c r="C233" s="617" t="s">
        <v>484</v>
      </c>
      <c r="D233" s="618" t="s">
        <v>2515</v>
      </c>
      <c r="E233" s="617" t="s">
        <v>3567</v>
      </c>
      <c r="F233" s="618" t="s">
        <v>3568</v>
      </c>
      <c r="G233" s="617" t="s">
        <v>3302</v>
      </c>
      <c r="H233" s="617" t="s">
        <v>3303</v>
      </c>
      <c r="I233" s="619">
        <v>22.99</v>
      </c>
      <c r="J233" s="619">
        <v>110</v>
      </c>
      <c r="K233" s="620">
        <v>2528.9</v>
      </c>
    </row>
    <row r="234" spans="1:11" ht="14.4" customHeight="1" x14ac:dyDescent="0.3">
      <c r="A234" s="615" t="s">
        <v>479</v>
      </c>
      <c r="B234" s="616" t="s">
        <v>2514</v>
      </c>
      <c r="C234" s="617" t="s">
        <v>484</v>
      </c>
      <c r="D234" s="618" t="s">
        <v>2515</v>
      </c>
      <c r="E234" s="617" t="s">
        <v>3567</v>
      </c>
      <c r="F234" s="618" t="s">
        <v>3568</v>
      </c>
      <c r="G234" s="617" t="s">
        <v>3304</v>
      </c>
      <c r="H234" s="617" t="s">
        <v>3305</v>
      </c>
      <c r="I234" s="619">
        <v>22.99</v>
      </c>
      <c r="J234" s="619">
        <v>10</v>
      </c>
      <c r="K234" s="620">
        <v>229.9</v>
      </c>
    </row>
    <row r="235" spans="1:11" ht="14.4" customHeight="1" x14ac:dyDescent="0.3">
      <c r="A235" s="615" t="s">
        <v>479</v>
      </c>
      <c r="B235" s="616" t="s">
        <v>2514</v>
      </c>
      <c r="C235" s="617" t="s">
        <v>484</v>
      </c>
      <c r="D235" s="618" t="s">
        <v>2515</v>
      </c>
      <c r="E235" s="617" t="s">
        <v>3567</v>
      </c>
      <c r="F235" s="618" t="s">
        <v>3568</v>
      </c>
      <c r="G235" s="617" t="s">
        <v>3306</v>
      </c>
      <c r="H235" s="617" t="s">
        <v>3307</v>
      </c>
      <c r="I235" s="619">
        <v>22.99</v>
      </c>
      <c r="J235" s="619">
        <v>30</v>
      </c>
      <c r="K235" s="620">
        <v>689.7</v>
      </c>
    </row>
    <row r="236" spans="1:11" ht="14.4" customHeight="1" x14ac:dyDescent="0.3">
      <c r="A236" s="615" t="s">
        <v>479</v>
      </c>
      <c r="B236" s="616" t="s">
        <v>2514</v>
      </c>
      <c r="C236" s="617" t="s">
        <v>484</v>
      </c>
      <c r="D236" s="618" t="s">
        <v>2515</v>
      </c>
      <c r="E236" s="617" t="s">
        <v>3567</v>
      </c>
      <c r="F236" s="618" t="s">
        <v>3568</v>
      </c>
      <c r="G236" s="617" t="s">
        <v>3308</v>
      </c>
      <c r="H236" s="617" t="s">
        <v>3309</v>
      </c>
      <c r="I236" s="619">
        <v>82.2</v>
      </c>
      <c r="J236" s="619">
        <v>10</v>
      </c>
      <c r="K236" s="620">
        <v>821.99</v>
      </c>
    </row>
    <row r="237" spans="1:11" ht="14.4" customHeight="1" x14ac:dyDescent="0.3">
      <c r="A237" s="615" t="s">
        <v>479</v>
      </c>
      <c r="B237" s="616" t="s">
        <v>2514</v>
      </c>
      <c r="C237" s="617" t="s">
        <v>484</v>
      </c>
      <c r="D237" s="618" t="s">
        <v>2515</v>
      </c>
      <c r="E237" s="617" t="s">
        <v>3567</v>
      </c>
      <c r="F237" s="618" t="s">
        <v>3568</v>
      </c>
      <c r="G237" s="617" t="s">
        <v>3310</v>
      </c>
      <c r="H237" s="617" t="s">
        <v>3311</v>
      </c>
      <c r="I237" s="619">
        <v>139.35</v>
      </c>
      <c r="J237" s="619">
        <v>5</v>
      </c>
      <c r="K237" s="620">
        <v>696.75</v>
      </c>
    </row>
    <row r="238" spans="1:11" ht="14.4" customHeight="1" x14ac:dyDescent="0.3">
      <c r="A238" s="615" t="s">
        <v>479</v>
      </c>
      <c r="B238" s="616" t="s">
        <v>2514</v>
      </c>
      <c r="C238" s="617" t="s">
        <v>484</v>
      </c>
      <c r="D238" s="618" t="s">
        <v>2515</v>
      </c>
      <c r="E238" s="617" t="s">
        <v>3567</v>
      </c>
      <c r="F238" s="618" t="s">
        <v>3568</v>
      </c>
      <c r="G238" s="617" t="s">
        <v>3312</v>
      </c>
      <c r="H238" s="617" t="s">
        <v>3313</v>
      </c>
      <c r="I238" s="619">
        <v>62.793333333333329</v>
      </c>
      <c r="J238" s="619">
        <v>20</v>
      </c>
      <c r="K238" s="620">
        <v>1255.8</v>
      </c>
    </row>
    <row r="239" spans="1:11" ht="14.4" customHeight="1" x14ac:dyDescent="0.3">
      <c r="A239" s="615" t="s">
        <v>479</v>
      </c>
      <c r="B239" s="616" t="s">
        <v>2514</v>
      </c>
      <c r="C239" s="617" t="s">
        <v>484</v>
      </c>
      <c r="D239" s="618" t="s">
        <v>2515</v>
      </c>
      <c r="E239" s="617" t="s">
        <v>3567</v>
      </c>
      <c r="F239" s="618" t="s">
        <v>3568</v>
      </c>
      <c r="G239" s="617" t="s">
        <v>3314</v>
      </c>
      <c r="H239" s="617" t="s">
        <v>3315</v>
      </c>
      <c r="I239" s="619">
        <v>83.13</v>
      </c>
      <c r="J239" s="619">
        <v>2</v>
      </c>
      <c r="K239" s="620">
        <v>166.25</v>
      </c>
    </row>
    <row r="240" spans="1:11" ht="14.4" customHeight="1" x14ac:dyDescent="0.3">
      <c r="A240" s="615" t="s">
        <v>479</v>
      </c>
      <c r="B240" s="616" t="s">
        <v>2514</v>
      </c>
      <c r="C240" s="617" t="s">
        <v>484</v>
      </c>
      <c r="D240" s="618" t="s">
        <v>2515</v>
      </c>
      <c r="E240" s="617" t="s">
        <v>3567</v>
      </c>
      <c r="F240" s="618" t="s">
        <v>3568</v>
      </c>
      <c r="G240" s="617" t="s">
        <v>3316</v>
      </c>
      <c r="H240" s="617" t="s">
        <v>3317</v>
      </c>
      <c r="I240" s="619">
        <v>67.159999999999982</v>
      </c>
      <c r="J240" s="619">
        <v>725</v>
      </c>
      <c r="K240" s="620">
        <v>48687.4</v>
      </c>
    </row>
    <row r="241" spans="1:11" ht="14.4" customHeight="1" x14ac:dyDescent="0.3">
      <c r="A241" s="615" t="s">
        <v>479</v>
      </c>
      <c r="B241" s="616" t="s">
        <v>2514</v>
      </c>
      <c r="C241" s="617" t="s">
        <v>484</v>
      </c>
      <c r="D241" s="618" t="s">
        <v>2515</v>
      </c>
      <c r="E241" s="617" t="s">
        <v>3567</v>
      </c>
      <c r="F241" s="618" t="s">
        <v>3568</v>
      </c>
      <c r="G241" s="617" t="s">
        <v>3318</v>
      </c>
      <c r="H241" s="617" t="s">
        <v>3319</v>
      </c>
      <c r="I241" s="619">
        <v>64.13</v>
      </c>
      <c r="J241" s="619">
        <v>5</v>
      </c>
      <c r="K241" s="620">
        <v>320.64999999999998</v>
      </c>
    </row>
    <row r="242" spans="1:11" ht="14.4" customHeight="1" x14ac:dyDescent="0.3">
      <c r="A242" s="615" t="s">
        <v>479</v>
      </c>
      <c r="B242" s="616" t="s">
        <v>2514</v>
      </c>
      <c r="C242" s="617" t="s">
        <v>484</v>
      </c>
      <c r="D242" s="618" t="s">
        <v>2515</v>
      </c>
      <c r="E242" s="617" t="s">
        <v>3567</v>
      </c>
      <c r="F242" s="618" t="s">
        <v>3568</v>
      </c>
      <c r="G242" s="617" t="s">
        <v>3320</v>
      </c>
      <c r="H242" s="617" t="s">
        <v>3321</v>
      </c>
      <c r="I242" s="619">
        <v>6.29</v>
      </c>
      <c r="J242" s="619">
        <v>300</v>
      </c>
      <c r="K242" s="620">
        <v>1887</v>
      </c>
    </row>
    <row r="243" spans="1:11" ht="14.4" customHeight="1" x14ac:dyDescent="0.3">
      <c r="A243" s="615" t="s">
        <v>479</v>
      </c>
      <c r="B243" s="616" t="s">
        <v>2514</v>
      </c>
      <c r="C243" s="617" t="s">
        <v>484</v>
      </c>
      <c r="D243" s="618" t="s">
        <v>2515</v>
      </c>
      <c r="E243" s="617" t="s">
        <v>3567</v>
      </c>
      <c r="F243" s="618" t="s">
        <v>3568</v>
      </c>
      <c r="G243" s="617" t="s">
        <v>3322</v>
      </c>
      <c r="H243" s="617" t="s">
        <v>3323</v>
      </c>
      <c r="I243" s="619">
        <v>156.37</v>
      </c>
      <c r="J243" s="619">
        <v>10</v>
      </c>
      <c r="K243" s="620">
        <v>1563.73</v>
      </c>
    </row>
    <row r="244" spans="1:11" ht="14.4" customHeight="1" x14ac:dyDescent="0.3">
      <c r="A244" s="615" t="s">
        <v>479</v>
      </c>
      <c r="B244" s="616" t="s">
        <v>2514</v>
      </c>
      <c r="C244" s="617" t="s">
        <v>484</v>
      </c>
      <c r="D244" s="618" t="s">
        <v>2515</v>
      </c>
      <c r="E244" s="617" t="s">
        <v>3567</v>
      </c>
      <c r="F244" s="618" t="s">
        <v>3568</v>
      </c>
      <c r="G244" s="617" t="s">
        <v>3324</v>
      </c>
      <c r="H244" s="617" t="s">
        <v>3325</v>
      </c>
      <c r="I244" s="619">
        <v>27.1</v>
      </c>
      <c r="J244" s="619">
        <v>40</v>
      </c>
      <c r="K244" s="620">
        <v>1084.1600000000001</v>
      </c>
    </row>
    <row r="245" spans="1:11" ht="14.4" customHeight="1" x14ac:dyDescent="0.3">
      <c r="A245" s="615" t="s">
        <v>479</v>
      </c>
      <c r="B245" s="616" t="s">
        <v>2514</v>
      </c>
      <c r="C245" s="617" t="s">
        <v>484</v>
      </c>
      <c r="D245" s="618" t="s">
        <v>2515</v>
      </c>
      <c r="E245" s="617" t="s">
        <v>3567</v>
      </c>
      <c r="F245" s="618" t="s">
        <v>3568</v>
      </c>
      <c r="G245" s="617" t="s">
        <v>3326</v>
      </c>
      <c r="H245" s="617" t="s">
        <v>3327</v>
      </c>
      <c r="I245" s="619">
        <v>321.935</v>
      </c>
      <c r="J245" s="619">
        <v>55</v>
      </c>
      <c r="K245" s="620">
        <v>17706.5</v>
      </c>
    </row>
    <row r="246" spans="1:11" ht="14.4" customHeight="1" x14ac:dyDescent="0.3">
      <c r="A246" s="615" t="s">
        <v>479</v>
      </c>
      <c r="B246" s="616" t="s">
        <v>2514</v>
      </c>
      <c r="C246" s="617" t="s">
        <v>484</v>
      </c>
      <c r="D246" s="618" t="s">
        <v>2515</v>
      </c>
      <c r="E246" s="617" t="s">
        <v>3567</v>
      </c>
      <c r="F246" s="618" t="s">
        <v>3568</v>
      </c>
      <c r="G246" s="617" t="s">
        <v>3328</v>
      </c>
      <c r="H246" s="617" t="s">
        <v>3329</v>
      </c>
      <c r="I246" s="619">
        <v>8.8328571428571419</v>
      </c>
      <c r="J246" s="619">
        <v>4100</v>
      </c>
      <c r="K246" s="620">
        <v>36210</v>
      </c>
    </row>
    <row r="247" spans="1:11" ht="14.4" customHeight="1" x14ac:dyDescent="0.3">
      <c r="A247" s="615" t="s">
        <v>479</v>
      </c>
      <c r="B247" s="616" t="s">
        <v>2514</v>
      </c>
      <c r="C247" s="617" t="s">
        <v>484</v>
      </c>
      <c r="D247" s="618" t="s">
        <v>2515</v>
      </c>
      <c r="E247" s="617" t="s">
        <v>3567</v>
      </c>
      <c r="F247" s="618" t="s">
        <v>3568</v>
      </c>
      <c r="G247" s="617" t="s">
        <v>3330</v>
      </c>
      <c r="H247" s="617" t="s">
        <v>3331</v>
      </c>
      <c r="I247" s="619">
        <v>318.83500000000004</v>
      </c>
      <c r="J247" s="619">
        <v>5</v>
      </c>
      <c r="K247" s="620">
        <v>1537.9</v>
      </c>
    </row>
    <row r="248" spans="1:11" ht="14.4" customHeight="1" x14ac:dyDescent="0.3">
      <c r="A248" s="615" t="s">
        <v>479</v>
      </c>
      <c r="B248" s="616" t="s">
        <v>2514</v>
      </c>
      <c r="C248" s="617" t="s">
        <v>484</v>
      </c>
      <c r="D248" s="618" t="s">
        <v>2515</v>
      </c>
      <c r="E248" s="617" t="s">
        <v>3567</v>
      </c>
      <c r="F248" s="618" t="s">
        <v>3568</v>
      </c>
      <c r="G248" s="617" t="s">
        <v>3332</v>
      </c>
      <c r="H248" s="617" t="s">
        <v>3333</v>
      </c>
      <c r="I248" s="619">
        <v>75.459999999999994</v>
      </c>
      <c r="J248" s="619">
        <v>30</v>
      </c>
      <c r="K248" s="620">
        <v>2263.94</v>
      </c>
    </row>
    <row r="249" spans="1:11" ht="14.4" customHeight="1" x14ac:dyDescent="0.3">
      <c r="A249" s="615" t="s">
        <v>479</v>
      </c>
      <c r="B249" s="616" t="s">
        <v>2514</v>
      </c>
      <c r="C249" s="617" t="s">
        <v>484</v>
      </c>
      <c r="D249" s="618" t="s">
        <v>2515</v>
      </c>
      <c r="E249" s="617" t="s">
        <v>3567</v>
      </c>
      <c r="F249" s="618" t="s">
        <v>3568</v>
      </c>
      <c r="G249" s="617" t="s">
        <v>3334</v>
      </c>
      <c r="H249" s="617" t="s">
        <v>3335</v>
      </c>
      <c r="I249" s="619">
        <v>484.04</v>
      </c>
      <c r="J249" s="619">
        <v>10</v>
      </c>
      <c r="K249" s="620">
        <v>4840.3999999999996</v>
      </c>
    </row>
    <row r="250" spans="1:11" ht="14.4" customHeight="1" x14ac:dyDescent="0.3">
      <c r="A250" s="615" t="s">
        <v>479</v>
      </c>
      <c r="B250" s="616" t="s">
        <v>2514</v>
      </c>
      <c r="C250" s="617" t="s">
        <v>484</v>
      </c>
      <c r="D250" s="618" t="s">
        <v>2515</v>
      </c>
      <c r="E250" s="617" t="s">
        <v>3567</v>
      </c>
      <c r="F250" s="618" t="s">
        <v>3568</v>
      </c>
      <c r="G250" s="617" t="s">
        <v>3336</v>
      </c>
      <c r="H250" s="617" t="s">
        <v>3337</v>
      </c>
      <c r="I250" s="619">
        <v>484.04</v>
      </c>
      <c r="J250" s="619">
        <v>20</v>
      </c>
      <c r="K250" s="620">
        <v>9680.73</v>
      </c>
    </row>
    <row r="251" spans="1:11" ht="14.4" customHeight="1" x14ac:dyDescent="0.3">
      <c r="A251" s="615" t="s">
        <v>479</v>
      </c>
      <c r="B251" s="616" t="s">
        <v>2514</v>
      </c>
      <c r="C251" s="617" t="s">
        <v>484</v>
      </c>
      <c r="D251" s="618" t="s">
        <v>2515</v>
      </c>
      <c r="E251" s="617" t="s">
        <v>3567</v>
      </c>
      <c r="F251" s="618" t="s">
        <v>3568</v>
      </c>
      <c r="G251" s="617" t="s">
        <v>3338</v>
      </c>
      <c r="H251" s="617" t="s">
        <v>3339</v>
      </c>
      <c r="I251" s="619">
        <v>204.75</v>
      </c>
      <c r="J251" s="619">
        <v>2</v>
      </c>
      <c r="K251" s="620">
        <v>409.5</v>
      </c>
    </row>
    <row r="252" spans="1:11" ht="14.4" customHeight="1" x14ac:dyDescent="0.3">
      <c r="A252" s="615" t="s">
        <v>479</v>
      </c>
      <c r="B252" s="616" t="s">
        <v>2514</v>
      </c>
      <c r="C252" s="617" t="s">
        <v>484</v>
      </c>
      <c r="D252" s="618" t="s">
        <v>2515</v>
      </c>
      <c r="E252" s="617" t="s">
        <v>3567</v>
      </c>
      <c r="F252" s="618" t="s">
        <v>3568</v>
      </c>
      <c r="G252" s="617" t="s">
        <v>3340</v>
      </c>
      <c r="H252" s="617" t="s">
        <v>3341</v>
      </c>
      <c r="I252" s="619">
        <v>199.67</v>
      </c>
      <c r="J252" s="619">
        <v>2</v>
      </c>
      <c r="K252" s="620">
        <v>399.34</v>
      </c>
    </row>
    <row r="253" spans="1:11" ht="14.4" customHeight="1" x14ac:dyDescent="0.3">
      <c r="A253" s="615" t="s">
        <v>479</v>
      </c>
      <c r="B253" s="616" t="s">
        <v>2514</v>
      </c>
      <c r="C253" s="617" t="s">
        <v>484</v>
      </c>
      <c r="D253" s="618" t="s">
        <v>2515</v>
      </c>
      <c r="E253" s="617" t="s">
        <v>3567</v>
      </c>
      <c r="F253" s="618" t="s">
        <v>3568</v>
      </c>
      <c r="G253" s="617" t="s">
        <v>3342</v>
      </c>
      <c r="H253" s="617" t="s">
        <v>3343</v>
      </c>
      <c r="I253" s="619">
        <v>102.85</v>
      </c>
      <c r="J253" s="619">
        <v>2</v>
      </c>
      <c r="K253" s="620">
        <v>205.7</v>
      </c>
    </row>
    <row r="254" spans="1:11" ht="14.4" customHeight="1" x14ac:dyDescent="0.3">
      <c r="A254" s="615" t="s">
        <v>479</v>
      </c>
      <c r="B254" s="616" t="s">
        <v>2514</v>
      </c>
      <c r="C254" s="617" t="s">
        <v>484</v>
      </c>
      <c r="D254" s="618" t="s">
        <v>2515</v>
      </c>
      <c r="E254" s="617" t="s">
        <v>3567</v>
      </c>
      <c r="F254" s="618" t="s">
        <v>3568</v>
      </c>
      <c r="G254" s="617" t="s">
        <v>3344</v>
      </c>
      <c r="H254" s="617" t="s">
        <v>3345</v>
      </c>
      <c r="I254" s="619">
        <v>466.94</v>
      </c>
      <c r="J254" s="619">
        <v>5</v>
      </c>
      <c r="K254" s="620">
        <v>2334.6999999999998</v>
      </c>
    </row>
    <row r="255" spans="1:11" ht="14.4" customHeight="1" x14ac:dyDescent="0.3">
      <c r="A255" s="615" t="s">
        <v>479</v>
      </c>
      <c r="B255" s="616" t="s">
        <v>2514</v>
      </c>
      <c r="C255" s="617" t="s">
        <v>484</v>
      </c>
      <c r="D255" s="618" t="s">
        <v>2515</v>
      </c>
      <c r="E255" s="617" t="s">
        <v>3567</v>
      </c>
      <c r="F255" s="618" t="s">
        <v>3568</v>
      </c>
      <c r="G255" s="617" t="s">
        <v>3346</v>
      </c>
      <c r="H255" s="617" t="s">
        <v>3347</v>
      </c>
      <c r="I255" s="619">
        <v>1450.83</v>
      </c>
      <c r="J255" s="619">
        <v>5</v>
      </c>
      <c r="K255" s="620">
        <v>7290.49</v>
      </c>
    </row>
    <row r="256" spans="1:11" ht="14.4" customHeight="1" x14ac:dyDescent="0.3">
      <c r="A256" s="615" t="s">
        <v>479</v>
      </c>
      <c r="B256" s="616" t="s">
        <v>2514</v>
      </c>
      <c r="C256" s="617" t="s">
        <v>484</v>
      </c>
      <c r="D256" s="618" t="s">
        <v>2515</v>
      </c>
      <c r="E256" s="617" t="s">
        <v>3567</v>
      </c>
      <c r="F256" s="618" t="s">
        <v>3568</v>
      </c>
      <c r="G256" s="617" t="s">
        <v>3348</v>
      </c>
      <c r="H256" s="617" t="s">
        <v>3349</v>
      </c>
      <c r="I256" s="619">
        <v>185.13</v>
      </c>
      <c r="J256" s="619">
        <v>15</v>
      </c>
      <c r="K256" s="620">
        <v>2776.95</v>
      </c>
    </row>
    <row r="257" spans="1:11" ht="14.4" customHeight="1" x14ac:dyDescent="0.3">
      <c r="A257" s="615" t="s">
        <v>479</v>
      </c>
      <c r="B257" s="616" t="s">
        <v>2514</v>
      </c>
      <c r="C257" s="617" t="s">
        <v>484</v>
      </c>
      <c r="D257" s="618" t="s">
        <v>2515</v>
      </c>
      <c r="E257" s="617" t="s">
        <v>3567</v>
      </c>
      <c r="F257" s="618" t="s">
        <v>3568</v>
      </c>
      <c r="G257" s="617" t="s">
        <v>3350</v>
      </c>
      <c r="H257" s="617" t="s">
        <v>3351</v>
      </c>
      <c r="I257" s="619">
        <v>47.15</v>
      </c>
      <c r="J257" s="619">
        <v>30</v>
      </c>
      <c r="K257" s="620">
        <v>1414.5</v>
      </c>
    </row>
    <row r="258" spans="1:11" ht="14.4" customHeight="1" x14ac:dyDescent="0.3">
      <c r="A258" s="615" t="s">
        <v>479</v>
      </c>
      <c r="B258" s="616" t="s">
        <v>2514</v>
      </c>
      <c r="C258" s="617" t="s">
        <v>484</v>
      </c>
      <c r="D258" s="618" t="s">
        <v>2515</v>
      </c>
      <c r="E258" s="617" t="s">
        <v>3567</v>
      </c>
      <c r="F258" s="618" t="s">
        <v>3568</v>
      </c>
      <c r="G258" s="617" t="s">
        <v>3352</v>
      </c>
      <c r="H258" s="617" t="s">
        <v>3353</v>
      </c>
      <c r="I258" s="619">
        <v>30.73</v>
      </c>
      <c r="J258" s="619">
        <v>600</v>
      </c>
      <c r="K258" s="620">
        <v>18440.400000000001</v>
      </c>
    </row>
    <row r="259" spans="1:11" ht="14.4" customHeight="1" x14ac:dyDescent="0.3">
      <c r="A259" s="615" t="s">
        <v>479</v>
      </c>
      <c r="B259" s="616" t="s">
        <v>2514</v>
      </c>
      <c r="C259" s="617" t="s">
        <v>484</v>
      </c>
      <c r="D259" s="618" t="s">
        <v>2515</v>
      </c>
      <c r="E259" s="617" t="s">
        <v>3567</v>
      </c>
      <c r="F259" s="618" t="s">
        <v>3568</v>
      </c>
      <c r="G259" s="617" t="s">
        <v>3354</v>
      </c>
      <c r="H259" s="617" t="s">
        <v>3355</v>
      </c>
      <c r="I259" s="619">
        <v>2504.6999999999998</v>
      </c>
      <c r="J259" s="619">
        <v>2</v>
      </c>
      <c r="K259" s="620">
        <v>5009.3999999999996</v>
      </c>
    </row>
    <row r="260" spans="1:11" ht="14.4" customHeight="1" x14ac:dyDescent="0.3">
      <c r="A260" s="615" t="s">
        <v>479</v>
      </c>
      <c r="B260" s="616" t="s">
        <v>2514</v>
      </c>
      <c r="C260" s="617" t="s">
        <v>484</v>
      </c>
      <c r="D260" s="618" t="s">
        <v>2515</v>
      </c>
      <c r="E260" s="617" t="s">
        <v>3567</v>
      </c>
      <c r="F260" s="618" t="s">
        <v>3568</v>
      </c>
      <c r="G260" s="617" t="s">
        <v>3356</v>
      </c>
      <c r="H260" s="617" t="s">
        <v>3357</v>
      </c>
      <c r="I260" s="619">
        <v>181.5</v>
      </c>
      <c r="J260" s="619">
        <v>2</v>
      </c>
      <c r="K260" s="620">
        <v>363</v>
      </c>
    </row>
    <row r="261" spans="1:11" ht="14.4" customHeight="1" x14ac:dyDescent="0.3">
      <c r="A261" s="615" t="s">
        <v>479</v>
      </c>
      <c r="B261" s="616" t="s">
        <v>2514</v>
      </c>
      <c r="C261" s="617" t="s">
        <v>484</v>
      </c>
      <c r="D261" s="618" t="s">
        <v>2515</v>
      </c>
      <c r="E261" s="617" t="s">
        <v>3567</v>
      </c>
      <c r="F261" s="618" t="s">
        <v>3568</v>
      </c>
      <c r="G261" s="617" t="s">
        <v>3358</v>
      </c>
      <c r="H261" s="617" t="s">
        <v>3359</v>
      </c>
      <c r="I261" s="619">
        <v>398.03</v>
      </c>
      <c r="J261" s="619">
        <v>3</v>
      </c>
      <c r="K261" s="620">
        <v>1194.0899999999999</v>
      </c>
    </row>
    <row r="262" spans="1:11" ht="14.4" customHeight="1" x14ac:dyDescent="0.3">
      <c r="A262" s="615" t="s">
        <v>479</v>
      </c>
      <c r="B262" s="616" t="s">
        <v>2514</v>
      </c>
      <c r="C262" s="617" t="s">
        <v>484</v>
      </c>
      <c r="D262" s="618" t="s">
        <v>2515</v>
      </c>
      <c r="E262" s="617" t="s">
        <v>3567</v>
      </c>
      <c r="F262" s="618" t="s">
        <v>3568</v>
      </c>
      <c r="G262" s="617" t="s">
        <v>3360</v>
      </c>
      <c r="H262" s="617" t="s">
        <v>3361</v>
      </c>
      <c r="I262" s="619">
        <v>35.090000000000003</v>
      </c>
      <c r="J262" s="619">
        <v>10</v>
      </c>
      <c r="K262" s="620">
        <v>350.9</v>
      </c>
    </row>
    <row r="263" spans="1:11" ht="14.4" customHeight="1" x14ac:dyDescent="0.3">
      <c r="A263" s="615" t="s">
        <v>479</v>
      </c>
      <c r="B263" s="616" t="s">
        <v>2514</v>
      </c>
      <c r="C263" s="617" t="s">
        <v>484</v>
      </c>
      <c r="D263" s="618" t="s">
        <v>2515</v>
      </c>
      <c r="E263" s="617" t="s">
        <v>3567</v>
      </c>
      <c r="F263" s="618" t="s">
        <v>3568</v>
      </c>
      <c r="G263" s="617" t="s">
        <v>3362</v>
      </c>
      <c r="H263" s="617" t="s">
        <v>3363</v>
      </c>
      <c r="I263" s="619">
        <v>60.9</v>
      </c>
      <c r="J263" s="619">
        <v>20</v>
      </c>
      <c r="K263" s="620">
        <v>1218.06</v>
      </c>
    </row>
    <row r="264" spans="1:11" ht="14.4" customHeight="1" x14ac:dyDescent="0.3">
      <c r="A264" s="615" t="s">
        <v>479</v>
      </c>
      <c r="B264" s="616" t="s">
        <v>2514</v>
      </c>
      <c r="C264" s="617" t="s">
        <v>484</v>
      </c>
      <c r="D264" s="618" t="s">
        <v>2515</v>
      </c>
      <c r="E264" s="617" t="s">
        <v>3567</v>
      </c>
      <c r="F264" s="618" t="s">
        <v>3568</v>
      </c>
      <c r="G264" s="617" t="s">
        <v>3364</v>
      </c>
      <c r="H264" s="617" t="s">
        <v>3365</v>
      </c>
      <c r="I264" s="619">
        <v>145.19999999999999</v>
      </c>
      <c r="J264" s="619">
        <v>10</v>
      </c>
      <c r="K264" s="620">
        <v>1452</v>
      </c>
    </row>
    <row r="265" spans="1:11" ht="14.4" customHeight="1" x14ac:dyDescent="0.3">
      <c r="A265" s="615" t="s">
        <v>479</v>
      </c>
      <c r="B265" s="616" t="s">
        <v>2514</v>
      </c>
      <c r="C265" s="617" t="s">
        <v>484</v>
      </c>
      <c r="D265" s="618" t="s">
        <v>2515</v>
      </c>
      <c r="E265" s="617" t="s">
        <v>3567</v>
      </c>
      <c r="F265" s="618" t="s">
        <v>3568</v>
      </c>
      <c r="G265" s="617" t="s">
        <v>3366</v>
      </c>
      <c r="H265" s="617" t="s">
        <v>3367</v>
      </c>
      <c r="I265" s="619">
        <v>254.1</v>
      </c>
      <c r="J265" s="619">
        <v>10</v>
      </c>
      <c r="K265" s="620">
        <v>2541</v>
      </c>
    </row>
    <row r="266" spans="1:11" ht="14.4" customHeight="1" x14ac:dyDescent="0.3">
      <c r="A266" s="615" t="s">
        <v>479</v>
      </c>
      <c r="B266" s="616" t="s">
        <v>2514</v>
      </c>
      <c r="C266" s="617" t="s">
        <v>484</v>
      </c>
      <c r="D266" s="618" t="s">
        <v>2515</v>
      </c>
      <c r="E266" s="617" t="s">
        <v>3567</v>
      </c>
      <c r="F266" s="618" t="s">
        <v>3568</v>
      </c>
      <c r="G266" s="617" t="s">
        <v>3368</v>
      </c>
      <c r="H266" s="617" t="s">
        <v>3369</v>
      </c>
      <c r="I266" s="619">
        <v>318.66666666666669</v>
      </c>
      <c r="J266" s="619">
        <v>8</v>
      </c>
      <c r="K266" s="620">
        <v>2565.5</v>
      </c>
    </row>
    <row r="267" spans="1:11" ht="14.4" customHeight="1" x14ac:dyDescent="0.3">
      <c r="A267" s="615" t="s">
        <v>479</v>
      </c>
      <c r="B267" s="616" t="s">
        <v>2514</v>
      </c>
      <c r="C267" s="617" t="s">
        <v>484</v>
      </c>
      <c r="D267" s="618" t="s">
        <v>2515</v>
      </c>
      <c r="E267" s="617" t="s">
        <v>3567</v>
      </c>
      <c r="F267" s="618" t="s">
        <v>3568</v>
      </c>
      <c r="G267" s="617" t="s">
        <v>3370</v>
      </c>
      <c r="H267" s="617" t="s">
        <v>3371</v>
      </c>
      <c r="I267" s="619">
        <v>159.72</v>
      </c>
      <c r="J267" s="619">
        <v>200</v>
      </c>
      <c r="K267" s="620">
        <v>31944</v>
      </c>
    </row>
    <row r="268" spans="1:11" ht="14.4" customHeight="1" x14ac:dyDescent="0.3">
      <c r="A268" s="615" t="s">
        <v>479</v>
      </c>
      <c r="B268" s="616" t="s">
        <v>2514</v>
      </c>
      <c r="C268" s="617" t="s">
        <v>484</v>
      </c>
      <c r="D268" s="618" t="s">
        <v>2515</v>
      </c>
      <c r="E268" s="617" t="s">
        <v>3567</v>
      </c>
      <c r="F268" s="618" t="s">
        <v>3568</v>
      </c>
      <c r="G268" s="617" t="s">
        <v>3372</v>
      </c>
      <c r="H268" s="617" t="s">
        <v>3373</v>
      </c>
      <c r="I268" s="619">
        <v>140.952</v>
      </c>
      <c r="J268" s="619">
        <v>20</v>
      </c>
      <c r="K268" s="620">
        <v>2819.0499999999997</v>
      </c>
    </row>
    <row r="269" spans="1:11" ht="14.4" customHeight="1" x14ac:dyDescent="0.3">
      <c r="A269" s="615" t="s">
        <v>479</v>
      </c>
      <c r="B269" s="616" t="s">
        <v>2514</v>
      </c>
      <c r="C269" s="617" t="s">
        <v>484</v>
      </c>
      <c r="D269" s="618" t="s">
        <v>2515</v>
      </c>
      <c r="E269" s="617" t="s">
        <v>3567</v>
      </c>
      <c r="F269" s="618" t="s">
        <v>3568</v>
      </c>
      <c r="G269" s="617" t="s">
        <v>3374</v>
      </c>
      <c r="H269" s="617" t="s">
        <v>3375</v>
      </c>
      <c r="I269" s="619">
        <v>4022.04</v>
      </c>
      <c r="J269" s="619">
        <v>4</v>
      </c>
      <c r="K269" s="620">
        <v>16088.16</v>
      </c>
    </row>
    <row r="270" spans="1:11" ht="14.4" customHeight="1" x14ac:dyDescent="0.3">
      <c r="A270" s="615" t="s">
        <v>479</v>
      </c>
      <c r="B270" s="616" t="s">
        <v>2514</v>
      </c>
      <c r="C270" s="617" t="s">
        <v>484</v>
      </c>
      <c r="D270" s="618" t="s">
        <v>2515</v>
      </c>
      <c r="E270" s="617" t="s">
        <v>3567</v>
      </c>
      <c r="F270" s="618" t="s">
        <v>3568</v>
      </c>
      <c r="G270" s="617" t="s">
        <v>3376</v>
      </c>
      <c r="H270" s="617" t="s">
        <v>3377</v>
      </c>
      <c r="I270" s="619">
        <v>3500</v>
      </c>
      <c r="J270" s="619">
        <v>1</v>
      </c>
      <c r="K270" s="620">
        <v>3500</v>
      </c>
    </row>
    <row r="271" spans="1:11" ht="14.4" customHeight="1" x14ac:dyDescent="0.3">
      <c r="A271" s="615" t="s">
        <v>479</v>
      </c>
      <c r="B271" s="616" t="s">
        <v>2514</v>
      </c>
      <c r="C271" s="617" t="s">
        <v>484</v>
      </c>
      <c r="D271" s="618" t="s">
        <v>2515</v>
      </c>
      <c r="E271" s="617" t="s">
        <v>3567</v>
      </c>
      <c r="F271" s="618" t="s">
        <v>3568</v>
      </c>
      <c r="G271" s="617" t="s">
        <v>3378</v>
      </c>
      <c r="H271" s="617" t="s">
        <v>3379</v>
      </c>
      <c r="I271" s="619">
        <v>18.39</v>
      </c>
      <c r="J271" s="619">
        <v>36</v>
      </c>
      <c r="K271" s="620">
        <v>662.09999999999991</v>
      </c>
    </row>
    <row r="272" spans="1:11" ht="14.4" customHeight="1" x14ac:dyDescent="0.3">
      <c r="A272" s="615" t="s">
        <v>479</v>
      </c>
      <c r="B272" s="616" t="s">
        <v>2514</v>
      </c>
      <c r="C272" s="617" t="s">
        <v>484</v>
      </c>
      <c r="D272" s="618" t="s">
        <v>2515</v>
      </c>
      <c r="E272" s="617" t="s">
        <v>3567</v>
      </c>
      <c r="F272" s="618" t="s">
        <v>3568</v>
      </c>
      <c r="G272" s="617" t="s">
        <v>3380</v>
      </c>
      <c r="H272" s="617" t="s">
        <v>3381</v>
      </c>
      <c r="I272" s="619">
        <v>254.1</v>
      </c>
      <c r="J272" s="619">
        <v>25</v>
      </c>
      <c r="K272" s="620">
        <v>6352.5</v>
      </c>
    </row>
    <row r="273" spans="1:11" ht="14.4" customHeight="1" x14ac:dyDescent="0.3">
      <c r="A273" s="615" t="s">
        <v>479</v>
      </c>
      <c r="B273" s="616" t="s">
        <v>2514</v>
      </c>
      <c r="C273" s="617" t="s">
        <v>484</v>
      </c>
      <c r="D273" s="618" t="s">
        <v>2515</v>
      </c>
      <c r="E273" s="617" t="s">
        <v>3567</v>
      </c>
      <c r="F273" s="618" t="s">
        <v>3568</v>
      </c>
      <c r="G273" s="617" t="s">
        <v>3382</v>
      </c>
      <c r="H273" s="617" t="s">
        <v>3383</v>
      </c>
      <c r="I273" s="619">
        <v>24.2</v>
      </c>
      <c r="J273" s="619">
        <v>25</v>
      </c>
      <c r="K273" s="620">
        <v>605</v>
      </c>
    </row>
    <row r="274" spans="1:11" ht="14.4" customHeight="1" x14ac:dyDescent="0.3">
      <c r="A274" s="615" t="s">
        <v>479</v>
      </c>
      <c r="B274" s="616" t="s">
        <v>2514</v>
      </c>
      <c r="C274" s="617" t="s">
        <v>484</v>
      </c>
      <c r="D274" s="618" t="s">
        <v>2515</v>
      </c>
      <c r="E274" s="617" t="s">
        <v>3567</v>
      </c>
      <c r="F274" s="618" t="s">
        <v>3568</v>
      </c>
      <c r="G274" s="617" t="s">
        <v>3384</v>
      </c>
      <c r="H274" s="617" t="s">
        <v>3385</v>
      </c>
      <c r="I274" s="619">
        <v>9.68</v>
      </c>
      <c r="J274" s="619">
        <v>1800</v>
      </c>
      <c r="K274" s="620">
        <v>17424</v>
      </c>
    </row>
    <row r="275" spans="1:11" ht="14.4" customHeight="1" x14ac:dyDescent="0.3">
      <c r="A275" s="615" t="s">
        <v>479</v>
      </c>
      <c r="B275" s="616" t="s">
        <v>2514</v>
      </c>
      <c r="C275" s="617" t="s">
        <v>484</v>
      </c>
      <c r="D275" s="618" t="s">
        <v>2515</v>
      </c>
      <c r="E275" s="617" t="s">
        <v>3567</v>
      </c>
      <c r="F275" s="618" t="s">
        <v>3568</v>
      </c>
      <c r="G275" s="617" t="s">
        <v>3386</v>
      </c>
      <c r="H275" s="617" t="s">
        <v>3387</v>
      </c>
      <c r="I275" s="619">
        <v>30.73</v>
      </c>
      <c r="J275" s="619">
        <v>200</v>
      </c>
      <c r="K275" s="620">
        <v>6146.8</v>
      </c>
    </row>
    <row r="276" spans="1:11" ht="14.4" customHeight="1" x14ac:dyDescent="0.3">
      <c r="A276" s="615" t="s">
        <v>479</v>
      </c>
      <c r="B276" s="616" t="s">
        <v>2514</v>
      </c>
      <c r="C276" s="617" t="s">
        <v>484</v>
      </c>
      <c r="D276" s="618" t="s">
        <v>2515</v>
      </c>
      <c r="E276" s="617" t="s">
        <v>3567</v>
      </c>
      <c r="F276" s="618" t="s">
        <v>3568</v>
      </c>
      <c r="G276" s="617" t="s">
        <v>3388</v>
      </c>
      <c r="H276" s="617" t="s">
        <v>3389</v>
      </c>
      <c r="I276" s="619">
        <v>9.07</v>
      </c>
      <c r="J276" s="619">
        <v>50</v>
      </c>
      <c r="K276" s="620">
        <v>453.75</v>
      </c>
    </row>
    <row r="277" spans="1:11" ht="14.4" customHeight="1" x14ac:dyDescent="0.3">
      <c r="A277" s="615" t="s">
        <v>479</v>
      </c>
      <c r="B277" s="616" t="s">
        <v>2514</v>
      </c>
      <c r="C277" s="617" t="s">
        <v>484</v>
      </c>
      <c r="D277" s="618" t="s">
        <v>2515</v>
      </c>
      <c r="E277" s="617" t="s">
        <v>3567</v>
      </c>
      <c r="F277" s="618" t="s">
        <v>3568</v>
      </c>
      <c r="G277" s="617" t="s">
        <v>3390</v>
      </c>
      <c r="H277" s="617" t="s">
        <v>3391</v>
      </c>
      <c r="I277" s="619">
        <v>12.1</v>
      </c>
      <c r="J277" s="619">
        <v>800</v>
      </c>
      <c r="K277" s="620">
        <v>9680</v>
      </c>
    </row>
    <row r="278" spans="1:11" ht="14.4" customHeight="1" x14ac:dyDescent="0.3">
      <c r="A278" s="615" t="s">
        <v>479</v>
      </c>
      <c r="B278" s="616" t="s">
        <v>2514</v>
      </c>
      <c r="C278" s="617" t="s">
        <v>484</v>
      </c>
      <c r="D278" s="618" t="s">
        <v>2515</v>
      </c>
      <c r="E278" s="617" t="s">
        <v>3569</v>
      </c>
      <c r="F278" s="618" t="s">
        <v>3570</v>
      </c>
      <c r="G278" s="617" t="s">
        <v>3392</v>
      </c>
      <c r="H278" s="617" t="s">
        <v>3393</v>
      </c>
      <c r="I278" s="619">
        <v>82.48</v>
      </c>
      <c r="J278" s="619">
        <v>3</v>
      </c>
      <c r="K278" s="620">
        <v>247.44</v>
      </c>
    </row>
    <row r="279" spans="1:11" ht="14.4" customHeight="1" x14ac:dyDescent="0.3">
      <c r="A279" s="615" t="s">
        <v>479</v>
      </c>
      <c r="B279" s="616" t="s">
        <v>2514</v>
      </c>
      <c r="C279" s="617" t="s">
        <v>484</v>
      </c>
      <c r="D279" s="618" t="s">
        <v>2515</v>
      </c>
      <c r="E279" s="617" t="s">
        <v>3571</v>
      </c>
      <c r="F279" s="618" t="s">
        <v>3572</v>
      </c>
      <c r="G279" s="617" t="s">
        <v>3394</v>
      </c>
      <c r="H279" s="617" t="s">
        <v>3395</v>
      </c>
      <c r="I279" s="619">
        <v>142.45916666666665</v>
      </c>
      <c r="J279" s="619">
        <v>24</v>
      </c>
      <c r="K279" s="620">
        <v>3419.0299999999997</v>
      </c>
    </row>
    <row r="280" spans="1:11" ht="14.4" customHeight="1" x14ac:dyDescent="0.3">
      <c r="A280" s="615" t="s">
        <v>479</v>
      </c>
      <c r="B280" s="616" t="s">
        <v>2514</v>
      </c>
      <c r="C280" s="617" t="s">
        <v>484</v>
      </c>
      <c r="D280" s="618" t="s">
        <v>2515</v>
      </c>
      <c r="E280" s="617" t="s">
        <v>3573</v>
      </c>
      <c r="F280" s="618" t="s">
        <v>3574</v>
      </c>
      <c r="G280" s="617" t="s">
        <v>3396</v>
      </c>
      <c r="H280" s="617" t="s">
        <v>3397</v>
      </c>
      <c r="I280" s="619">
        <v>928.20000000000016</v>
      </c>
      <c r="J280" s="619">
        <v>30</v>
      </c>
      <c r="K280" s="620">
        <v>27846.090000000004</v>
      </c>
    </row>
    <row r="281" spans="1:11" ht="14.4" customHeight="1" x14ac:dyDescent="0.3">
      <c r="A281" s="615" t="s">
        <v>479</v>
      </c>
      <c r="B281" s="616" t="s">
        <v>2514</v>
      </c>
      <c r="C281" s="617" t="s">
        <v>484</v>
      </c>
      <c r="D281" s="618" t="s">
        <v>2515</v>
      </c>
      <c r="E281" s="617" t="s">
        <v>3573</v>
      </c>
      <c r="F281" s="618" t="s">
        <v>3574</v>
      </c>
      <c r="G281" s="617" t="s">
        <v>3398</v>
      </c>
      <c r="H281" s="617" t="s">
        <v>3399</v>
      </c>
      <c r="I281" s="619">
        <v>319.91000000000003</v>
      </c>
      <c r="J281" s="619">
        <v>160</v>
      </c>
      <c r="K281" s="620">
        <v>51185.919999999991</v>
      </c>
    </row>
    <row r="282" spans="1:11" ht="14.4" customHeight="1" x14ac:dyDescent="0.3">
      <c r="A282" s="615" t="s">
        <v>479</v>
      </c>
      <c r="B282" s="616" t="s">
        <v>2514</v>
      </c>
      <c r="C282" s="617" t="s">
        <v>484</v>
      </c>
      <c r="D282" s="618" t="s">
        <v>2515</v>
      </c>
      <c r="E282" s="617" t="s">
        <v>3573</v>
      </c>
      <c r="F282" s="618" t="s">
        <v>3574</v>
      </c>
      <c r="G282" s="617" t="s">
        <v>3400</v>
      </c>
      <c r="H282" s="617" t="s">
        <v>3401</v>
      </c>
      <c r="I282" s="619">
        <v>568.78874999999994</v>
      </c>
      <c r="J282" s="619">
        <v>90</v>
      </c>
      <c r="K282" s="620">
        <v>51190.64</v>
      </c>
    </row>
    <row r="283" spans="1:11" ht="14.4" customHeight="1" x14ac:dyDescent="0.3">
      <c r="A283" s="615" t="s">
        <v>479</v>
      </c>
      <c r="B283" s="616" t="s">
        <v>2514</v>
      </c>
      <c r="C283" s="617" t="s">
        <v>484</v>
      </c>
      <c r="D283" s="618" t="s">
        <v>2515</v>
      </c>
      <c r="E283" s="617" t="s">
        <v>3573</v>
      </c>
      <c r="F283" s="618" t="s">
        <v>3574</v>
      </c>
      <c r="G283" s="617" t="s">
        <v>3402</v>
      </c>
      <c r="H283" s="617" t="s">
        <v>3403</v>
      </c>
      <c r="I283" s="619">
        <v>442.39</v>
      </c>
      <c r="J283" s="619">
        <v>50</v>
      </c>
      <c r="K283" s="620">
        <v>22119.41</v>
      </c>
    </row>
    <row r="284" spans="1:11" ht="14.4" customHeight="1" x14ac:dyDescent="0.3">
      <c r="A284" s="615" t="s">
        <v>479</v>
      </c>
      <c r="B284" s="616" t="s">
        <v>2514</v>
      </c>
      <c r="C284" s="617" t="s">
        <v>484</v>
      </c>
      <c r="D284" s="618" t="s">
        <v>2515</v>
      </c>
      <c r="E284" s="617" t="s">
        <v>3573</v>
      </c>
      <c r="F284" s="618" t="s">
        <v>3574</v>
      </c>
      <c r="G284" s="617" t="s">
        <v>3404</v>
      </c>
      <c r="H284" s="617" t="s">
        <v>3405</v>
      </c>
      <c r="I284" s="619">
        <v>267.77999999999997</v>
      </c>
      <c r="J284" s="619">
        <v>10</v>
      </c>
      <c r="K284" s="620">
        <v>2677.85</v>
      </c>
    </row>
    <row r="285" spans="1:11" ht="14.4" customHeight="1" x14ac:dyDescent="0.3">
      <c r="A285" s="615" t="s">
        <v>479</v>
      </c>
      <c r="B285" s="616" t="s">
        <v>2514</v>
      </c>
      <c r="C285" s="617" t="s">
        <v>484</v>
      </c>
      <c r="D285" s="618" t="s">
        <v>2515</v>
      </c>
      <c r="E285" s="617" t="s">
        <v>3573</v>
      </c>
      <c r="F285" s="618" t="s">
        <v>3574</v>
      </c>
      <c r="G285" s="617" t="s">
        <v>3406</v>
      </c>
      <c r="H285" s="617" t="s">
        <v>3407</v>
      </c>
      <c r="I285" s="619">
        <v>1286</v>
      </c>
      <c r="J285" s="619">
        <v>4</v>
      </c>
      <c r="K285" s="620">
        <v>5144</v>
      </c>
    </row>
    <row r="286" spans="1:11" ht="14.4" customHeight="1" x14ac:dyDescent="0.3">
      <c r="A286" s="615" t="s">
        <v>479</v>
      </c>
      <c r="B286" s="616" t="s">
        <v>2514</v>
      </c>
      <c r="C286" s="617" t="s">
        <v>484</v>
      </c>
      <c r="D286" s="618" t="s">
        <v>2515</v>
      </c>
      <c r="E286" s="617" t="s">
        <v>3575</v>
      </c>
      <c r="F286" s="618" t="s">
        <v>3576</v>
      </c>
      <c r="G286" s="617" t="s">
        <v>3408</v>
      </c>
      <c r="H286" s="617" t="s">
        <v>3409</v>
      </c>
      <c r="I286" s="619">
        <v>8.1662499999999998</v>
      </c>
      <c r="J286" s="619">
        <v>9700</v>
      </c>
      <c r="K286" s="620">
        <v>79209</v>
      </c>
    </row>
    <row r="287" spans="1:11" ht="14.4" customHeight="1" x14ac:dyDescent="0.3">
      <c r="A287" s="615" t="s">
        <v>479</v>
      </c>
      <c r="B287" s="616" t="s">
        <v>2514</v>
      </c>
      <c r="C287" s="617" t="s">
        <v>484</v>
      </c>
      <c r="D287" s="618" t="s">
        <v>2515</v>
      </c>
      <c r="E287" s="617" t="s">
        <v>3575</v>
      </c>
      <c r="F287" s="618" t="s">
        <v>3576</v>
      </c>
      <c r="G287" s="617" t="s">
        <v>3410</v>
      </c>
      <c r="H287" s="617" t="s">
        <v>3411</v>
      </c>
      <c r="I287" s="619">
        <v>162.63</v>
      </c>
      <c r="J287" s="619">
        <v>60</v>
      </c>
      <c r="K287" s="620">
        <v>9757.82</v>
      </c>
    </row>
    <row r="288" spans="1:11" ht="14.4" customHeight="1" x14ac:dyDescent="0.3">
      <c r="A288" s="615" t="s">
        <v>479</v>
      </c>
      <c r="B288" s="616" t="s">
        <v>2514</v>
      </c>
      <c r="C288" s="617" t="s">
        <v>484</v>
      </c>
      <c r="D288" s="618" t="s">
        <v>2515</v>
      </c>
      <c r="E288" s="617" t="s">
        <v>3575</v>
      </c>
      <c r="F288" s="618" t="s">
        <v>3576</v>
      </c>
      <c r="G288" s="617" t="s">
        <v>3412</v>
      </c>
      <c r="H288" s="617" t="s">
        <v>3413</v>
      </c>
      <c r="I288" s="619">
        <v>7.0069999999999997</v>
      </c>
      <c r="J288" s="619">
        <v>1600</v>
      </c>
      <c r="K288" s="620">
        <v>11211</v>
      </c>
    </row>
    <row r="289" spans="1:11" ht="14.4" customHeight="1" x14ac:dyDescent="0.3">
      <c r="A289" s="615" t="s">
        <v>479</v>
      </c>
      <c r="B289" s="616" t="s">
        <v>2514</v>
      </c>
      <c r="C289" s="617" t="s">
        <v>484</v>
      </c>
      <c r="D289" s="618" t="s">
        <v>2515</v>
      </c>
      <c r="E289" s="617" t="s">
        <v>3575</v>
      </c>
      <c r="F289" s="618" t="s">
        <v>3576</v>
      </c>
      <c r="G289" s="617" t="s">
        <v>3414</v>
      </c>
      <c r="H289" s="617" t="s">
        <v>3415</v>
      </c>
      <c r="I289" s="619">
        <v>181.5</v>
      </c>
      <c r="J289" s="619">
        <v>90</v>
      </c>
      <c r="K289" s="620">
        <v>16335</v>
      </c>
    </row>
    <row r="290" spans="1:11" ht="14.4" customHeight="1" x14ac:dyDescent="0.3">
      <c r="A290" s="615" t="s">
        <v>479</v>
      </c>
      <c r="B290" s="616" t="s">
        <v>2514</v>
      </c>
      <c r="C290" s="617" t="s">
        <v>484</v>
      </c>
      <c r="D290" s="618" t="s">
        <v>2515</v>
      </c>
      <c r="E290" s="617" t="s">
        <v>3577</v>
      </c>
      <c r="F290" s="618" t="s">
        <v>3578</v>
      </c>
      <c r="G290" s="617" t="s">
        <v>3416</v>
      </c>
      <c r="H290" s="617" t="s">
        <v>3417</v>
      </c>
      <c r="I290" s="619">
        <v>41.81</v>
      </c>
      <c r="J290" s="619">
        <v>72</v>
      </c>
      <c r="K290" s="620">
        <v>3010.24</v>
      </c>
    </row>
    <row r="291" spans="1:11" ht="14.4" customHeight="1" x14ac:dyDescent="0.3">
      <c r="A291" s="615" t="s">
        <v>479</v>
      </c>
      <c r="B291" s="616" t="s">
        <v>2514</v>
      </c>
      <c r="C291" s="617" t="s">
        <v>484</v>
      </c>
      <c r="D291" s="618" t="s">
        <v>2515</v>
      </c>
      <c r="E291" s="617" t="s">
        <v>3577</v>
      </c>
      <c r="F291" s="618" t="s">
        <v>3578</v>
      </c>
      <c r="G291" s="617" t="s">
        <v>3418</v>
      </c>
      <c r="H291" s="617" t="s">
        <v>3419</v>
      </c>
      <c r="I291" s="619">
        <v>24.22</v>
      </c>
      <c r="J291" s="619">
        <v>108</v>
      </c>
      <c r="K291" s="620">
        <v>2615.79</v>
      </c>
    </row>
    <row r="292" spans="1:11" ht="14.4" customHeight="1" x14ac:dyDescent="0.3">
      <c r="A292" s="615" t="s">
        <v>479</v>
      </c>
      <c r="B292" s="616" t="s">
        <v>2514</v>
      </c>
      <c r="C292" s="617" t="s">
        <v>484</v>
      </c>
      <c r="D292" s="618" t="s">
        <v>2515</v>
      </c>
      <c r="E292" s="617" t="s">
        <v>3577</v>
      </c>
      <c r="F292" s="618" t="s">
        <v>3578</v>
      </c>
      <c r="G292" s="617" t="s">
        <v>3420</v>
      </c>
      <c r="H292" s="617" t="s">
        <v>3421</v>
      </c>
      <c r="I292" s="619">
        <v>45.03</v>
      </c>
      <c r="J292" s="619">
        <v>36</v>
      </c>
      <c r="K292" s="620">
        <v>1620.93</v>
      </c>
    </row>
    <row r="293" spans="1:11" ht="14.4" customHeight="1" x14ac:dyDescent="0.3">
      <c r="A293" s="615" t="s">
        <v>479</v>
      </c>
      <c r="B293" s="616" t="s">
        <v>2514</v>
      </c>
      <c r="C293" s="617" t="s">
        <v>484</v>
      </c>
      <c r="D293" s="618" t="s">
        <v>2515</v>
      </c>
      <c r="E293" s="617" t="s">
        <v>3577</v>
      </c>
      <c r="F293" s="618" t="s">
        <v>3578</v>
      </c>
      <c r="G293" s="617" t="s">
        <v>3422</v>
      </c>
      <c r="H293" s="617" t="s">
        <v>3423</v>
      </c>
      <c r="I293" s="619">
        <v>33.6</v>
      </c>
      <c r="J293" s="619">
        <v>216</v>
      </c>
      <c r="K293" s="620">
        <v>7258.1400000000012</v>
      </c>
    </row>
    <row r="294" spans="1:11" ht="14.4" customHeight="1" x14ac:dyDescent="0.3">
      <c r="A294" s="615" t="s">
        <v>479</v>
      </c>
      <c r="B294" s="616" t="s">
        <v>2514</v>
      </c>
      <c r="C294" s="617" t="s">
        <v>484</v>
      </c>
      <c r="D294" s="618" t="s">
        <v>2515</v>
      </c>
      <c r="E294" s="617" t="s">
        <v>3577</v>
      </c>
      <c r="F294" s="618" t="s">
        <v>3578</v>
      </c>
      <c r="G294" s="617" t="s">
        <v>3424</v>
      </c>
      <c r="H294" s="617" t="s">
        <v>3425</v>
      </c>
      <c r="I294" s="619">
        <v>0</v>
      </c>
      <c r="J294" s="619">
        <v>36</v>
      </c>
      <c r="K294" s="620">
        <v>0</v>
      </c>
    </row>
    <row r="295" spans="1:11" ht="14.4" customHeight="1" x14ac:dyDescent="0.3">
      <c r="A295" s="615" t="s">
        <v>479</v>
      </c>
      <c r="B295" s="616" t="s">
        <v>2514</v>
      </c>
      <c r="C295" s="617" t="s">
        <v>484</v>
      </c>
      <c r="D295" s="618" t="s">
        <v>2515</v>
      </c>
      <c r="E295" s="617" t="s">
        <v>3577</v>
      </c>
      <c r="F295" s="618" t="s">
        <v>3578</v>
      </c>
      <c r="G295" s="617" t="s">
        <v>3424</v>
      </c>
      <c r="H295" s="617" t="s">
        <v>3426</v>
      </c>
      <c r="I295" s="619">
        <v>42.17</v>
      </c>
      <c r="J295" s="619">
        <v>36</v>
      </c>
      <c r="K295" s="620">
        <v>1517.98</v>
      </c>
    </row>
    <row r="296" spans="1:11" ht="14.4" customHeight="1" x14ac:dyDescent="0.3">
      <c r="A296" s="615" t="s">
        <v>479</v>
      </c>
      <c r="B296" s="616" t="s">
        <v>2514</v>
      </c>
      <c r="C296" s="617" t="s">
        <v>484</v>
      </c>
      <c r="D296" s="618" t="s">
        <v>2515</v>
      </c>
      <c r="E296" s="617" t="s">
        <v>3577</v>
      </c>
      <c r="F296" s="618" t="s">
        <v>3578</v>
      </c>
      <c r="G296" s="617" t="s">
        <v>3427</v>
      </c>
      <c r="H296" s="617" t="s">
        <v>3428</v>
      </c>
      <c r="I296" s="619">
        <v>35.299999999999997</v>
      </c>
      <c r="J296" s="619">
        <v>36</v>
      </c>
      <c r="K296" s="620">
        <v>1270.98</v>
      </c>
    </row>
    <row r="297" spans="1:11" ht="14.4" customHeight="1" x14ac:dyDescent="0.3">
      <c r="A297" s="615" t="s">
        <v>479</v>
      </c>
      <c r="B297" s="616" t="s">
        <v>2514</v>
      </c>
      <c r="C297" s="617" t="s">
        <v>484</v>
      </c>
      <c r="D297" s="618" t="s">
        <v>2515</v>
      </c>
      <c r="E297" s="617" t="s">
        <v>3579</v>
      </c>
      <c r="F297" s="618" t="s">
        <v>3580</v>
      </c>
      <c r="G297" s="617" t="s">
        <v>3429</v>
      </c>
      <c r="H297" s="617" t="s">
        <v>3430</v>
      </c>
      <c r="I297" s="619">
        <v>0.3</v>
      </c>
      <c r="J297" s="619">
        <v>1500</v>
      </c>
      <c r="K297" s="620">
        <v>450</v>
      </c>
    </row>
    <row r="298" spans="1:11" ht="14.4" customHeight="1" x14ac:dyDescent="0.3">
      <c r="A298" s="615" t="s">
        <v>479</v>
      </c>
      <c r="B298" s="616" t="s">
        <v>2514</v>
      </c>
      <c r="C298" s="617" t="s">
        <v>484</v>
      </c>
      <c r="D298" s="618" t="s">
        <v>2515</v>
      </c>
      <c r="E298" s="617" t="s">
        <v>3579</v>
      </c>
      <c r="F298" s="618" t="s">
        <v>3580</v>
      </c>
      <c r="G298" s="617" t="s">
        <v>3431</v>
      </c>
      <c r="H298" s="617" t="s">
        <v>3432</v>
      </c>
      <c r="I298" s="619">
        <v>0.30299999999999994</v>
      </c>
      <c r="J298" s="619">
        <v>2300</v>
      </c>
      <c r="K298" s="620">
        <v>693</v>
      </c>
    </row>
    <row r="299" spans="1:11" ht="14.4" customHeight="1" x14ac:dyDescent="0.3">
      <c r="A299" s="615" t="s">
        <v>479</v>
      </c>
      <c r="B299" s="616" t="s">
        <v>2514</v>
      </c>
      <c r="C299" s="617" t="s">
        <v>484</v>
      </c>
      <c r="D299" s="618" t="s">
        <v>2515</v>
      </c>
      <c r="E299" s="617" t="s">
        <v>3579</v>
      </c>
      <c r="F299" s="618" t="s">
        <v>3580</v>
      </c>
      <c r="G299" s="617" t="s">
        <v>3433</v>
      </c>
      <c r="H299" s="617" t="s">
        <v>3434</v>
      </c>
      <c r="I299" s="619">
        <v>0.30538461538461531</v>
      </c>
      <c r="J299" s="619">
        <v>13000</v>
      </c>
      <c r="K299" s="620">
        <v>3977</v>
      </c>
    </row>
    <row r="300" spans="1:11" ht="14.4" customHeight="1" x14ac:dyDescent="0.3">
      <c r="A300" s="615" t="s">
        <v>479</v>
      </c>
      <c r="B300" s="616" t="s">
        <v>2514</v>
      </c>
      <c r="C300" s="617" t="s">
        <v>484</v>
      </c>
      <c r="D300" s="618" t="s">
        <v>2515</v>
      </c>
      <c r="E300" s="617" t="s">
        <v>3579</v>
      </c>
      <c r="F300" s="618" t="s">
        <v>3580</v>
      </c>
      <c r="G300" s="617" t="s">
        <v>3435</v>
      </c>
      <c r="H300" s="617" t="s">
        <v>3436</v>
      </c>
      <c r="I300" s="619">
        <v>0.30333333333333334</v>
      </c>
      <c r="J300" s="619">
        <v>700</v>
      </c>
      <c r="K300" s="620">
        <v>212</v>
      </c>
    </row>
    <row r="301" spans="1:11" ht="14.4" customHeight="1" x14ac:dyDescent="0.3">
      <c r="A301" s="615" t="s">
        <v>479</v>
      </c>
      <c r="B301" s="616" t="s">
        <v>2514</v>
      </c>
      <c r="C301" s="617" t="s">
        <v>484</v>
      </c>
      <c r="D301" s="618" t="s">
        <v>2515</v>
      </c>
      <c r="E301" s="617" t="s">
        <v>3579</v>
      </c>
      <c r="F301" s="618" t="s">
        <v>3580</v>
      </c>
      <c r="G301" s="617" t="s">
        <v>3437</v>
      </c>
      <c r="H301" s="617" t="s">
        <v>3438</v>
      </c>
      <c r="I301" s="619">
        <v>0.68</v>
      </c>
      <c r="J301" s="619">
        <v>200</v>
      </c>
      <c r="K301" s="620">
        <v>136</v>
      </c>
    </row>
    <row r="302" spans="1:11" ht="14.4" customHeight="1" x14ac:dyDescent="0.3">
      <c r="A302" s="615" t="s">
        <v>479</v>
      </c>
      <c r="B302" s="616" t="s">
        <v>2514</v>
      </c>
      <c r="C302" s="617" t="s">
        <v>484</v>
      </c>
      <c r="D302" s="618" t="s">
        <v>2515</v>
      </c>
      <c r="E302" s="617" t="s">
        <v>3579</v>
      </c>
      <c r="F302" s="618" t="s">
        <v>3580</v>
      </c>
      <c r="G302" s="617" t="s">
        <v>3439</v>
      </c>
      <c r="H302" s="617" t="s">
        <v>3440</v>
      </c>
      <c r="I302" s="619">
        <v>10.97</v>
      </c>
      <c r="J302" s="619">
        <v>20</v>
      </c>
      <c r="K302" s="620">
        <v>219.48</v>
      </c>
    </row>
    <row r="303" spans="1:11" ht="14.4" customHeight="1" x14ac:dyDescent="0.3">
      <c r="A303" s="615" t="s">
        <v>479</v>
      </c>
      <c r="B303" s="616" t="s">
        <v>2514</v>
      </c>
      <c r="C303" s="617" t="s">
        <v>484</v>
      </c>
      <c r="D303" s="618" t="s">
        <v>2515</v>
      </c>
      <c r="E303" s="617" t="s">
        <v>3579</v>
      </c>
      <c r="F303" s="618" t="s">
        <v>3580</v>
      </c>
      <c r="G303" s="617" t="s">
        <v>3441</v>
      </c>
      <c r="H303" s="617" t="s">
        <v>3442</v>
      </c>
      <c r="I303" s="619">
        <v>10.99</v>
      </c>
      <c r="J303" s="619">
        <v>40</v>
      </c>
      <c r="K303" s="620">
        <v>439.47</v>
      </c>
    </row>
    <row r="304" spans="1:11" ht="14.4" customHeight="1" x14ac:dyDescent="0.3">
      <c r="A304" s="615" t="s">
        <v>479</v>
      </c>
      <c r="B304" s="616" t="s">
        <v>2514</v>
      </c>
      <c r="C304" s="617" t="s">
        <v>484</v>
      </c>
      <c r="D304" s="618" t="s">
        <v>2515</v>
      </c>
      <c r="E304" s="617" t="s">
        <v>3579</v>
      </c>
      <c r="F304" s="618" t="s">
        <v>3580</v>
      </c>
      <c r="G304" s="617" t="s">
        <v>3443</v>
      </c>
      <c r="H304" s="617" t="s">
        <v>3444</v>
      </c>
      <c r="I304" s="619">
        <v>10.99</v>
      </c>
      <c r="J304" s="619">
        <v>100</v>
      </c>
      <c r="K304" s="620">
        <v>1098.68</v>
      </c>
    </row>
    <row r="305" spans="1:11" ht="14.4" customHeight="1" x14ac:dyDescent="0.3">
      <c r="A305" s="615" t="s">
        <v>479</v>
      </c>
      <c r="B305" s="616" t="s">
        <v>2514</v>
      </c>
      <c r="C305" s="617" t="s">
        <v>484</v>
      </c>
      <c r="D305" s="618" t="s">
        <v>2515</v>
      </c>
      <c r="E305" s="617" t="s">
        <v>3579</v>
      </c>
      <c r="F305" s="618" t="s">
        <v>3580</v>
      </c>
      <c r="G305" s="617" t="s">
        <v>3445</v>
      </c>
      <c r="H305" s="617" t="s">
        <v>3446</v>
      </c>
      <c r="I305" s="619">
        <v>0.48421052631578965</v>
      </c>
      <c r="J305" s="619">
        <v>39200</v>
      </c>
      <c r="K305" s="620">
        <v>18966</v>
      </c>
    </row>
    <row r="306" spans="1:11" ht="14.4" customHeight="1" x14ac:dyDescent="0.3">
      <c r="A306" s="615" t="s">
        <v>479</v>
      </c>
      <c r="B306" s="616" t="s">
        <v>2514</v>
      </c>
      <c r="C306" s="617" t="s">
        <v>484</v>
      </c>
      <c r="D306" s="618" t="s">
        <v>2515</v>
      </c>
      <c r="E306" s="617" t="s">
        <v>3579</v>
      </c>
      <c r="F306" s="618" t="s">
        <v>3580</v>
      </c>
      <c r="G306" s="617" t="s">
        <v>3447</v>
      </c>
      <c r="H306" s="617" t="s">
        <v>3448</v>
      </c>
      <c r="I306" s="619">
        <v>1.81</v>
      </c>
      <c r="J306" s="619">
        <v>100</v>
      </c>
      <c r="K306" s="620">
        <v>181</v>
      </c>
    </row>
    <row r="307" spans="1:11" ht="14.4" customHeight="1" x14ac:dyDescent="0.3">
      <c r="A307" s="615" t="s">
        <v>479</v>
      </c>
      <c r="B307" s="616" t="s">
        <v>2514</v>
      </c>
      <c r="C307" s="617" t="s">
        <v>484</v>
      </c>
      <c r="D307" s="618" t="s">
        <v>2515</v>
      </c>
      <c r="E307" s="617" t="s">
        <v>3579</v>
      </c>
      <c r="F307" s="618" t="s">
        <v>3580</v>
      </c>
      <c r="G307" s="617" t="s">
        <v>3449</v>
      </c>
      <c r="H307" s="617" t="s">
        <v>3450</v>
      </c>
      <c r="I307" s="619">
        <v>1.8050000000000002</v>
      </c>
      <c r="J307" s="619">
        <v>200</v>
      </c>
      <c r="K307" s="620">
        <v>361</v>
      </c>
    </row>
    <row r="308" spans="1:11" ht="14.4" customHeight="1" x14ac:dyDescent="0.3">
      <c r="A308" s="615" t="s">
        <v>479</v>
      </c>
      <c r="B308" s="616" t="s">
        <v>2514</v>
      </c>
      <c r="C308" s="617" t="s">
        <v>484</v>
      </c>
      <c r="D308" s="618" t="s">
        <v>2515</v>
      </c>
      <c r="E308" s="617" t="s">
        <v>3579</v>
      </c>
      <c r="F308" s="618" t="s">
        <v>3580</v>
      </c>
      <c r="G308" s="617" t="s">
        <v>3451</v>
      </c>
      <c r="H308" s="617" t="s">
        <v>3452</v>
      </c>
      <c r="I308" s="619">
        <v>132.68</v>
      </c>
      <c r="J308" s="619">
        <v>12</v>
      </c>
      <c r="K308" s="620">
        <v>1592.16</v>
      </c>
    </row>
    <row r="309" spans="1:11" ht="14.4" customHeight="1" x14ac:dyDescent="0.3">
      <c r="A309" s="615" t="s">
        <v>479</v>
      </c>
      <c r="B309" s="616" t="s">
        <v>2514</v>
      </c>
      <c r="C309" s="617" t="s">
        <v>484</v>
      </c>
      <c r="D309" s="618" t="s">
        <v>2515</v>
      </c>
      <c r="E309" s="617" t="s">
        <v>3579</v>
      </c>
      <c r="F309" s="618" t="s">
        <v>3580</v>
      </c>
      <c r="G309" s="617" t="s">
        <v>3453</v>
      </c>
      <c r="H309" s="617" t="s">
        <v>3454</v>
      </c>
      <c r="I309" s="619">
        <v>10.67</v>
      </c>
      <c r="J309" s="619">
        <v>80</v>
      </c>
      <c r="K309" s="620">
        <v>853.78</v>
      </c>
    </row>
    <row r="310" spans="1:11" ht="14.4" customHeight="1" x14ac:dyDescent="0.3">
      <c r="A310" s="615" t="s">
        <v>479</v>
      </c>
      <c r="B310" s="616" t="s">
        <v>2514</v>
      </c>
      <c r="C310" s="617" t="s">
        <v>484</v>
      </c>
      <c r="D310" s="618" t="s">
        <v>2515</v>
      </c>
      <c r="E310" s="617" t="s">
        <v>3581</v>
      </c>
      <c r="F310" s="618" t="s">
        <v>3582</v>
      </c>
      <c r="G310" s="617" t="s">
        <v>3455</v>
      </c>
      <c r="H310" s="617" t="s">
        <v>3456</v>
      </c>
      <c r="I310" s="619">
        <v>20.16</v>
      </c>
      <c r="J310" s="619">
        <v>50</v>
      </c>
      <c r="K310" s="620">
        <v>1007.93</v>
      </c>
    </row>
    <row r="311" spans="1:11" ht="14.4" customHeight="1" x14ac:dyDescent="0.3">
      <c r="A311" s="615" t="s">
        <v>479</v>
      </c>
      <c r="B311" s="616" t="s">
        <v>2514</v>
      </c>
      <c r="C311" s="617" t="s">
        <v>484</v>
      </c>
      <c r="D311" s="618" t="s">
        <v>2515</v>
      </c>
      <c r="E311" s="617" t="s">
        <v>3581</v>
      </c>
      <c r="F311" s="618" t="s">
        <v>3582</v>
      </c>
      <c r="G311" s="617" t="s">
        <v>3457</v>
      </c>
      <c r="H311" s="617" t="s">
        <v>3458</v>
      </c>
      <c r="I311" s="619">
        <v>0.70666666666666667</v>
      </c>
      <c r="J311" s="619">
        <v>225000</v>
      </c>
      <c r="K311" s="620">
        <v>159050</v>
      </c>
    </row>
    <row r="312" spans="1:11" ht="14.4" customHeight="1" x14ac:dyDescent="0.3">
      <c r="A312" s="615" t="s">
        <v>479</v>
      </c>
      <c r="B312" s="616" t="s">
        <v>2514</v>
      </c>
      <c r="C312" s="617" t="s">
        <v>484</v>
      </c>
      <c r="D312" s="618" t="s">
        <v>2515</v>
      </c>
      <c r="E312" s="617" t="s">
        <v>3581</v>
      </c>
      <c r="F312" s="618" t="s">
        <v>3582</v>
      </c>
      <c r="G312" s="617" t="s">
        <v>3459</v>
      </c>
      <c r="H312" s="617" t="s">
        <v>3460</v>
      </c>
      <c r="I312" s="619">
        <v>0.71</v>
      </c>
      <c r="J312" s="619">
        <v>1080</v>
      </c>
      <c r="K312" s="620">
        <v>766.8</v>
      </c>
    </row>
    <row r="313" spans="1:11" ht="14.4" customHeight="1" x14ac:dyDescent="0.3">
      <c r="A313" s="615" t="s">
        <v>479</v>
      </c>
      <c r="B313" s="616" t="s">
        <v>2514</v>
      </c>
      <c r="C313" s="617" t="s">
        <v>484</v>
      </c>
      <c r="D313" s="618" t="s">
        <v>2515</v>
      </c>
      <c r="E313" s="617" t="s">
        <v>3581</v>
      </c>
      <c r="F313" s="618" t="s">
        <v>3582</v>
      </c>
      <c r="G313" s="617" t="s">
        <v>3461</v>
      </c>
      <c r="H313" s="617" t="s">
        <v>3462</v>
      </c>
      <c r="I313" s="619">
        <v>0.70636363636363619</v>
      </c>
      <c r="J313" s="619">
        <v>3600</v>
      </c>
      <c r="K313" s="620">
        <v>2548</v>
      </c>
    </row>
    <row r="314" spans="1:11" ht="14.4" customHeight="1" x14ac:dyDescent="0.3">
      <c r="A314" s="615" t="s">
        <v>479</v>
      </c>
      <c r="B314" s="616" t="s">
        <v>2514</v>
      </c>
      <c r="C314" s="617" t="s">
        <v>484</v>
      </c>
      <c r="D314" s="618" t="s">
        <v>2515</v>
      </c>
      <c r="E314" s="617" t="s">
        <v>3581</v>
      </c>
      <c r="F314" s="618" t="s">
        <v>3582</v>
      </c>
      <c r="G314" s="617" t="s">
        <v>3463</v>
      </c>
      <c r="H314" s="617" t="s">
        <v>3464</v>
      </c>
      <c r="I314" s="619">
        <v>0.70666666666666667</v>
      </c>
      <c r="J314" s="619">
        <v>15400</v>
      </c>
      <c r="K314" s="620">
        <v>10902</v>
      </c>
    </row>
    <row r="315" spans="1:11" ht="14.4" customHeight="1" x14ac:dyDescent="0.3">
      <c r="A315" s="615" t="s">
        <v>479</v>
      </c>
      <c r="B315" s="616" t="s">
        <v>2514</v>
      </c>
      <c r="C315" s="617" t="s">
        <v>484</v>
      </c>
      <c r="D315" s="618" t="s">
        <v>2515</v>
      </c>
      <c r="E315" s="617" t="s">
        <v>3581</v>
      </c>
      <c r="F315" s="618" t="s">
        <v>3582</v>
      </c>
      <c r="G315" s="617" t="s">
        <v>3465</v>
      </c>
      <c r="H315" s="617" t="s">
        <v>3466</v>
      </c>
      <c r="I315" s="619">
        <v>12.583333333333334</v>
      </c>
      <c r="J315" s="619">
        <v>300</v>
      </c>
      <c r="K315" s="620">
        <v>3775</v>
      </c>
    </row>
    <row r="316" spans="1:11" ht="14.4" customHeight="1" x14ac:dyDescent="0.3">
      <c r="A316" s="615" t="s">
        <v>479</v>
      </c>
      <c r="B316" s="616" t="s">
        <v>2514</v>
      </c>
      <c r="C316" s="617" t="s">
        <v>484</v>
      </c>
      <c r="D316" s="618" t="s">
        <v>2515</v>
      </c>
      <c r="E316" s="617" t="s">
        <v>3581</v>
      </c>
      <c r="F316" s="618" t="s">
        <v>3582</v>
      </c>
      <c r="G316" s="617" t="s">
        <v>3465</v>
      </c>
      <c r="H316" s="617" t="s">
        <v>3467</v>
      </c>
      <c r="I316" s="619">
        <v>12.58</v>
      </c>
      <c r="J316" s="619">
        <v>50</v>
      </c>
      <c r="K316" s="620">
        <v>629</v>
      </c>
    </row>
    <row r="317" spans="1:11" ht="14.4" customHeight="1" x14ac:dyDescent="0.3">
      <c r="A317" s="615" t="s">
        <v>479</v>
      </c>
      <c r="B317" s="616" t="s">
        <v>2514</v>
      </c>
      <c r="C317" s="617" t="s">
        <v>484</v>
      </c>
      <c r="D317" s="618" t="s">
        <v>2515</v>
      </c>
      <c r="E317" s="617" t="s">
        <v>3581</v>
      </c>
      <c r="F317" s="618" t="s">
        <v>3582</v>
      </c>
      <c r="G317" s="617" t="s">
        <v>3468</v>
      </c>
      <c r="H317" s="617" t="s">
        <v>3469</v>
      </c>
      <c r="I317" s="619">
        <v>12.58</v>
      </c>
      <c r="J317" s="619">
        <v>220</v>
      </c>
      <c r="K317" s="620">
        <v>2767.6</v>
      </c>
    </row>
    <row r="318" spans="1:11" ht="14.4" customHeight="1" x14ac:dyDescent="0.3">
      <c r="A318" s="615" t="s">
        <v>479</v>
      </c>
      <c r="B318" s="616" t="s">
        <v>2514</v>
      </c>
      <c r="C318" s="617" t="s">
        <v>484</v>
      </c>
      <c r="D318" s="618" t="s">
        <v>2515</v>
      </c>
      <c r="E318" s="617" t="s">
        <v>3581</v>
      </c>
      <c r="F318" s="618" t="s">
        <v>3582</v>
      </c>
      <c r="G318" s="617" t="s">
        <v>3468</v>
      </c>
      <c r="H318" s="617" t="s">
        <v>3470</v>
      </c>
      <c r="I318" s="619">
        <v>12.586666666666668</v>
      </c>
      <c r="J318" s="619">
        <v>150</v>
      </c>
      <c r="K318" s="620">
        <v>1888</v>
      </c>
    </row>
    <row r="319" spans="1:11" ht="14.4" customHeight="1" x14ac:dyDescent="0.3">
      <c r="A319" s="615" t="s">
        <v>479</v>
      </c>
      <c r="B319" s="616" t="s">
        <v>2514</v>
      </c>
      <c r="C319" s="617" t="s">
        <v>484</v>
      </c>
      <c r="D319" s="618" t="s">
        <v>2515</v>
      </c>
      <c r="E319" s="617" t="s">
        <v>3581</v>
      </c>
      <c r="F319" s="618" t="s">
        <v>3582</v>
      </c>
      <c r="G319" s="617" t="s">
        <v>3471</v>
      </c>
      <c r="H319" s="617" t="s">
        <v>3472</v>
      </c>
      <c r="I319" s="619">
        <v>12.585000000000001</v>
      </c>
      <c r="J319" s="619">
        <v>100</v>
      </c>
      <c r="K319" s="620">
        <v>1258.5</v>
      </c>
    </row>
    <row r="320" spans="1:11" ht="14.4" customHeight="1" x14ac:dyDescent="0.3">
      <c r="A320" s="615" t="s">
        <v>479</v>
      </c>
      <c r="B320" s="616" t="s">
        <v>2514</v>
      </c>
      <c r="C320" s="617" t="s">
        <v>484</v>
      </c>
      <c r="D320" s="618" t="s">
        <v>2515</v>
      </c>
      <c r="E320" s="617" t="s">
        <v>3581</v>
      </c>
      <c r="F320" s="618" t="s">
        <v>3582</v>
      </c>
      <c r="G320" s="617" t="s">
        <v>3473</v>
      </c>
      <c r="H320" s="617" t="s">
        <v>3474</v>
      </c>
      <c r="I320" s="619">
        <v>12.59</v>
      </c>
      <c r="J320" s="619">
        <v>50</v>
      </c>
      <c r="K320" s="620">
        <v>629.5</v>
      </c>
    </row>
    <row r="321" spans="1:11" ht="14.4" customHeight="1" x14ac:dyDescent="0.3">
      <c r="A321" s="615" t="s">
        <v>479</v>
      </c>
      <c r="B321" s="616" t="s">
        <v>2514</v>
      </c>
      <c r="C321" s="617" t="s">
        <v>484</v>
      </c>
      <c r="D321" s="618" t="s">
        <v>2515</v>
      </c>
      <c r="E321" s="617" t="s">
        <v>3581</v>
      </c>
      <c r="F321" s="618" t="s">
        <v>3582</v>
      </c>
      <c r="G321" s="617" t="s">
        <v>3473</v>
      </c>
      <c r="H321" s="617" t="s">
        <v>3475</v>
      </c>
      <c r="I321" s="619">
        <v>12.585000000000001</v>
      </c>
      <c r="J321" s="619">
        <v>100</v>
      </c>
      <c r="K321" s="620">
        <v>1258.5</v>
      </c>
    </row>
    <row r="322" spans="1:11" ht="14.4" customHeight="1" x14ac:dyDescent="0.3">
      <c r="A322" s="615" t="s">
        <v>479</v>
      </c>
      <c r="B322" s="616" t="s">
        <v>2514</v>
      </c>
      <c r="C322" s="617" t="s">
        <v>484</v>
      </c>
      <c r="D322" s="618" t="s">
        <v>2515</v>
      </c>
      <c r="E322" s="617" t="s">
        <v>3581</v>
      </c>
      <c r="F322" s="618" t="s">
        <v>3582</v>
      </c>
      <c r="G322" s="617" t="s">
        <v>3476</v>
      </c>
      <c r="H322" s="617" t="s">
        <v>3477</v>
      </c>
      <c r="I322" s="619">
        <v>12.58</v>
      </c>
      <c r="J322" s="619">
        <v>120</v>
      </c>
      <c r="K322" s="620">
        <v>1509.6</v>
      </c>
    </row>
    <row r="323" spans="1:11" ht="14.4" customHeight="1" x14ac:dyDescent="0.3">
      <c r="A323" s="615" t="s">
        <v>479</v>
      </c>
      <c r="B323" s="616" t="s">
        <v>2514</v>
      </c>
      <c r="C323" s="617" t="s">
        <v>484</v>
      </c>
      <c r="D323" s="618" t="s">
        <v>2515</v>
      </c>
      <c r="E323" s="617" t="s">
        <v>3581</v>
      </c>
      <c r="F323" s="618" t="s">
        <v>3582</v>
      </c>
      <c r="G323" s="617" t="s">
        <v>3478</v>
      </c>
      <c r="H323" s="617" t="s">
        <v>3479</v>
      </c>
      <c r="I323" s="619">
        <v>20.16</v>
      </c>
      <c r="J323" s="619">
        <v>100</v>
      </c>
      <c r="K323" s="620">
        <v>2015.86</v>
      </c>
    </row>
    <row r="324" spans="1:11" ht="14.4" customHeight="1" x14ac:dyDescent="0.3">
      <c r="A324" s="615" t="s">
        <v>479</v>
      </c>
      <c r="B324" s="616" t="s">
        <v>2514</v>
      </c>
      <c r="C324" s="617" t="s">
        <v>484</v>
      </c>
      <c r="D324" s="618" t="s">
        <v>2515</v>
      </c>
      <c r="E324" s="617" t="s">
        <v>3583</v>
      </c>
      <c r="F324" s="618" t="s">
        <v>3584</v>
      </c>
      <c r="G324" s="617" t="s">
        <v>3480</v>
      </c>
      <c r="H324" s="617" t="s">
        <v>3481</v>
      </c>
      <c r="I324" s="619">
        <v>139.44000000000003</v>
      </c>
      <c r="J324" s="619">
        <v>180</v>
      </c>
      <c r="K324" s="620">
        <v>25099.05</v>
      </c>
    </row>
    <row r="325" spans="1:11" ht="14.4" customHeight="1" x14ac:dyDescent="0.3">
      <c r="A325" s="615" t="s">
        <v>479</v>
      </c>
      <c r="B325" s="616" t="s">
        <v>2514</v>
      </c>
      <c r="C325" s="617" t="s">
        <v>484</v>
      </c>
      <c r="D325" s="618" t="s">
        <v>2515</v>
      </c>
      <c r="E325" s="617" t="s">
        <v>3583</v>
      </c>
      <c r="F325" s="618" t="s">
        <v>3584</v>
      </c>
      <c r="G325" s="617" t="s">
        <v>3482</v>
      </c>
      <c r="H325" s="617" t="s">
        <v>3483</v>
      </c>
      <c r="I325" s="619">
        <v>139.44000000000003</v>
      </c>
      <c r="J325" s="619">
        <v>180</v>
      </c>
      <c r="K325" s="620">
        <v>25099</v>
      </c>
    </row>
    <row r="326" spans="1:11" ht="14.4" customHeight="1" x14ac:dyDescent="0.3">
      <c r="A326" s="615" t="s">
        <v>479</v>
      </c>
      <c r="B326" s="616" t="s">
        <v>2514</v>
      </c>
      <c r="C326" s="617" t="s">
        <v>484</v>
      </c>
      <c r="D326" s="618" t="s">
        <v>2515</v>
      </c>
      <c r="E326" s="617" t="s">
        <v>3583</v>
      </c>
      <c r="F326" s="618" t="s">
        <v>3584</v>
      </c>
      <c r="G326" s="617" t="s">
        <v>3484</v>
      </c>
      <c r="H326" s="617" t="s">
        <v>3485</v>
      </c>
      <c r="I326" s="619">
        <v>121</v>
      </c>
      <c r="J326" s="619">
        <v>5</v>
      </c>
      <c r="K326" s="620">
        <v>605</v>
      </c>
    </row>
    <row r="327" spans="1:11" ht="14.4" customHeight="1" x14ac:dyDescent="0.3">
      <c r="A327" s="615" t="s">
        <v>479</v>
      </c>
      <c r="B327" s="616" t="s">
        <v>2514</v>
      </c>
      <c r="C327" s="617" t="s">
        <v>484</v>
      </c>
      <c r="D327" s="618" t="s">
        <v>2515</v>
      </c>
      <c r="E327" s="617" t="s">
        <v>3583</v>
      </c>
      <c r="F327" s="618" t="s">
        <v>3584</v>
      </c>
      <c r="G327" s="617" t="s">
        <v>3486</v>
      </c>
      <c r="H327" s="617" t="s">
        <v>3487</v>
      </c>
      <c r="I327" s="619">
        <v>144.16285714285715</v>
      </c>
      <c r="J327" s="619">
        <v>32</v>
      </c>
      <c r="K327" s="620">
        <v>4607.68</v>
      </c>
    </row>
    <row r="328" spans="1:11" ht="14.4" customHeight="1" x14ac:dyDescent="0.3">
      <c r="A328" s="615" t="s">
        <v>479</v>
      </c>
      <c r="B328" s="616" t="s">
        <v>2514</v>
      </c>
      <c r="C328" s="617" t="s">
        <v>484</v>
      </c>
      <c r="D328" s="618" t="s">
        <v>2515</v>
      </c>
      <c r="E328" s="617" t="s">
        <v>3583</v>
      </c>
      <c r="F328" s="618" t="s">
        <v>3584</v>
      </c>
      <c r="G328" s="617" t="s">
        <v>3488</v>
      </c>
      <c r="H328" s="617" t="s">
        <v>3489</v>
      </c>
      <c r="I328" s="619">
        <v>3709.6733333333336</v>
      </c>
      <c r="J328" s="619">
        <v>2.25</v>
      </c>
      <c r="K328" s="620">
        <v>8346.76</v>
      </c>
    </row>
    <row r="329" spans="1:11" ht="14.4" customHeight="1" x14ac:dyDescent="0.3">
      <c r="A329" s="615" t="s">
        <v>479</v>
      </c>
      <c r="B329" s="616" t="s">
        <v>2514</v>
      </c>
      <c r="C329" s="617" t="s">
        <v>484</v>
      </c>
      <c r="D329" s="618" t="s">
        <v>2515</v>
      </c>
      <c r="E329" s="617" t="s">
        <v>3583</v>
      </c>
      <c r="F329" s="618" t="s">
        <v>3584</v>
      </c>
      <c r="G329" s="617" t="s">
        <v>3490</v>
      </c>
      <c r="H329" s="617" t="s">
        <v>3491</v>
      </c>
      <c r="I329" s="619">
        <v>2210.7199999999998</v>
      </c>
      <c r="J329" s="619">
        <v>2</v>
      </c>
      <c r="K329" s="620">
        <v>4421.4399999999996</v>
      </c>
    </row>
    <row r="330" spans="1:11" ht="14.4" customHeight="1" x14ac:dyDescent="0.3">
      <c r="A330" s="615" t="s">
        <v>479</v>
      </c>
      <c r="B330" s="616" t="s">
        <v>2514</v>
      </c>
      <c r="C330" s="617" t="s">
        <v>484</v>
      </c>
      <c r="D330" s="618" t="s">
        <v>2515</v>
      </c>
      <c r="E330" s="617" t="s">
        <v>3583</v>
      </c>
      <c r="F330" s="618" t="s">
        <v>3584</v>
      </c>
      <c r="G330" s="617" t="s">
        <v>3492</v>
      </c>
      <c r="H330" s="617" t="s">
        <v>3493</v>
      </c>
      <c r="I330" s="619">
        <v>5445</v>
      </c>
      <c r="J330" s="619">
        <v>3</v>
      </c>
      <c r="K330" s="620">
        <v>16335</v>
      </c>
    </row>
    <row r="331" spans="1:11" ht="14.4" customHeight="1" x14ac:dyDescent="0.3">
      <c r="A331" s="615" t="s">
        <v>479</v>
      </c>
      <c r="B331" s="616" t="s">
        <v>2514</v>
      </c>
      <c r="C331" s="617" t="s">
        <v>484</v>
      </c>
      <c r="D331" s="618" t="s">
        <v>2515</v>
      </c>
      <c r="E331" s="617" t="s">
        <v>3583</v>
      </c>
      <c r="F331" s="618" t="s">
        <v>3584</v>
      </c>
      <c r="G331" s="617" t="s">
        <v>3494</v>
      </c>
      <c r="H331" s="617" t="s">
        <v>3495</v>
      </c>
      <c r="I331" s="619">
        <v>105.8</v>
      </c>
      <c r="J331" s="619">
        <v>1</v>
      </c>
      <c r="K331" s="620">
        <v>105.8</v>
      </c>
    </row>
    <row r="332" spans="1:11" ht="14.4" customHeight="1" x14ac:dyDescent="0.3">
      <c r="A332" s="615" t="s">
        <v>479</v>
      </c>
      <c r="B332" s="616" t="s">
        <v>2514</v>
      </c>
      <c r="C332" s="617" t="s">
        <v>484</v>
      </c>
      <c r="D332" s="618" t="s">
        <v>2515</v>
      </c>
      <c r="E332" s="617" t="s">
        <v>3583</v>
      </c>
      <c r="F332" s="618" t="s">
        <v>3584</v>
      </c>
      <c r="G332" s="617" t="s">
        <v>3496</v>
      </c>
      <c r="H332" s="617" t="s">
        <v>3497</v>
      </c>
      <c r="I332" s="619">
        <v>3035.3083333333329</v>
      </c>
      <c r="J332" s="619">
        <v>15</v>
      </c>
      <c r="K332" s="620">
        <v>45529.64</v>
      </c>
    </row>
    <row r="333" spans="1:11" ht="14.4" customHeight="1" x14ac:dyDescent="0.3">
      <c r="A333" s="615" t="s">
        <v>479</v>
      </c>
      <c r="B333" s="616" t="s">
        <v>2514</v>
      </c>
      <c r="C333" s="617" t="s">
        <v>484</v>
      </c>
      <c r="D333" s="618" t="s">
        <v>2515</v>
      </c>
      <c r="E333" s="617" t="s">
        <v>3583</v>
      </c>
      <c r="F333" s="618" t="s">
        <v>3584</v>
      </c>
      <c r="G333" s="617" t="s">
        <v>3498</v>
      </c>
      <c r="H333" s="617" t="s">
        <v>3499</v>
      </c>
      <c r="I333" s="619">
        <v>16187.72</v>
      </c>
      <c r="J333" s="619">
        <v>1.25</v>
      </c>
      <c r="K333" s="620">
        <v>20234.649999999998</v>
      </c>
    </row>
    <row r="334" spans="1:11" ht="14.4" customHeight="1" x14ac:dyDescent="0.3">
      <c r="A334" s="615" t="s">
        <v>479</v>
      </c>
      <c r="B334" s="616" t="s">
        <v>2514</v>
      </c>
      <c r="C334" s="617" t="s">
        <v>484</v>
      </c>
      <c r="D334" s="618" t="s">
        <v>2515</v>
      </c>
      <c r="E334" s="617" t="s">
        <v>3583</v>
      </c>
      <c r="F334" s="618" t="s">
        <v>3584</v>
      </c>
      <c r="G334" s="617" t="s">
        <v>3500</v>
      </c>
      <c r="H334" s="617" t="s">
        <v>3501</v>
      </c>
      <c r="I334" s="619">
        <v>2722.5</v>
      </c>
      <c r="J334" s="619">
        <v>48</v>
      </c>
      <c r="K334" s="620">
        <v>130679.99</v>
      </c>
    </row>
    <row r="335" spans="1:11" ht="14.4" customHeight="1" x14ac:dyDescent="0.3">
      <c r="A335" s="615" t="s">
        <v>479</v>
      </c>
      <c r="B335" s="616" t="s">
        <v>2514</v>
      </c>
      <c r="C335" s="617" t="s">
        <v>484</v>
      </c>
      <c r="D335" s="618" t="s">
        <v>2515</v>
      </c>
      <c r="E335" s="617" t="s">
        <v>3583</v>
      </c>
      <c r="F335" s="618" t="s">
        <v>3584</v>
      </c>
      <c r="G335" s="617" t="s">
        <v>3502</v>
      </c>
      <c r="H335" s="617" t="s">
        <v>3503</v>
      </c>
      <c r="I335" s="619">
        <v>5445</v>
      </c>
      <c r="J335" s="619">
        <v>3</v>
      </c>
      <c r="K335" s="620">
        <v>16335</v>
      </c>
    </row>
    <row r="336" spans="1:11" ht="14.4" customHeight="1" x14ac:dyDescent="0.3">
      <c r="A336" s="615" t="s">
        <v>479</v>
      </c>
      <c r="B336" s="616" t="s">
        <v>2514</v>
      </c>
      <c r="C336" s="617" t="s">
        <v>484</v>
      </c>
      <c r="D336" s="618" t="s">
        <v>2515</v>
      </c>
      <c r="E336" s="617" t="s">
        <v>3583</v>
      </c>
      <c r="F336" s="618" t="s">
        <v>3584</v>
      </c>
      <c r="G336" s="617" t="s">
        <v>3504</v>
      </c>
      <c r="H336" s="617" t="s">
        <v>3505</v>
      </c>
      <c r="I336" s="619">
        <v>5445</v>
      </c>
      <c r="J336" s="619">
        <v>3</v>
      </c>
      <c r="K336" s="620">
        <v>16335</v>
      </c>
    </row>
    <row r="337" spans="1:11" ht="14.4" customHeight="1" x14ac:dyDescent="0.3">
      <c r="A337" s="615" t="s">
        <v>479</v>
      </c>
      <c r="B337" s="616" t="s">
        <v>2514</v>
      </c>
      <c r="C337" s="617" t="s">
        <v>484</v>
      </c>
      <c r="D337" s="618" t="s">
        <v>2515</v>
      </c>
      <c r="E337" s="617" t="s">
        <v>3583</v>
      </c>
      <c r="F337" s="618" t="s">
        <v>3584</v>
      </c>
      <c r="G337" s="617" t="s">
        <v>3506</v>
      </c>
      <c r="H337" s="617" t="s">
        <v>3507</v>
      </c>
      <c r="I337" s="619">
        <v>2277.85</v>
      </c>
      <c r="J337" s="619">
        <v>6</v>
      </c>
      <c r="K337" s="620">
        <v>13667.099999999999</v>
      </c>
    </row>
    <row r="338" spans="1:11" ht="14.4" customHeight="1" x14ac:dyDescent="0.3">
      <c r="A338" s="615" t="s">
        <v>479</v>
      </c>
      <c r="B338" s="616" t="s">
        <v>2514</v>
      </c>
      <c r="C338" s="617" t="s">
        <v>484</v>
      </c>
      <c r="D338" s="618" t="s">
        <v>2515</v>
      </c>
      <c r="E338" s="617" t="s">
        <v>3583</v>
      </c>
      <c r="F338" s="618" t="s">
        <v>3584</v>
      </c>
      <c r="G338" s="617" t="s">
        <v>3508</v>
      </c>
      <c r="H338" s="617" t="s">
        <v>3509</v>
      </c>
      <c r="I338" s="619">
        <v>3130.7525000000001</v>
      </c>
      <c r="J338" s="619">
        <v>5</v>
      </c>
      <c r="K338" s="620">
        <v>15653.77</v>
      </c>
    </row>
    <row r="339" spans="1:11" ht="14.4" customHeight="1" x14ac:dyDescent="0.3">
      <c r="A339" s="615" t="s">
        <v>479</v>
      </c>
      <c r="B339" s="616" t="s">
        <v>2514</v>
      </c>
      <c r="C339" s="617" t="s">
        <v>484</v>
      </c>
      <c r="D339" s="618" t="s">
        <v>2515</v>
      </c>
      <c r="E339" s="617" t="s">
        <v>3583</v>
      </c>
      <c r="F339" s="618" t="s">
        <v>3584</v>
      </c>
      <c r="G339" s="617" t="s">
        <v>3510</v>
      </c>
      <c r="H339" s="617" t="s">
        <v>3511</v>
      </c>
      <c r="I339" s="619">
        <v>2277.85</v>
      </c>
      <c r="J339" s="619">
        <v>4</v>
      </c>
      <c r="K339" s="620">
        <v>9111.4</v>
      </c>
    </row>
    <row r="340" spans="1:11" ht="14.4" customHeight="1" x14ac:dyDescent="0.3">
      <c r="A340" s="615" t="s">
        <v>479</v>
      </c>
      <c r="B340" s="616" t="s">
        <v>2514</v>
      </c>
      <c r="C340" s="617" t="s">
        <v>484</v>
      </c>
      <c r="D340" s="618" t="s">
        <v>2515</v>
      </c>
      <c r="E340" s="617" t="s">
        <v>3583</v>
      </c>
      <c r="F340" s="618" t="s">
        <v>3584</v>
      </c>
      <c r="G340" s="617" t="s">
        <v>3512</v>
      </c>
      <c r="H340" s="617" t="s">
        <v>3513</v>
      </c>
      <c r="I340" s="619">
        <v>3035.3074999999999</v>
      </c>
      <c r="J340" s="619">
        <v>8</v>
      </c>
      <c r="K340" s="620">
        <v>24282.47</v>
      </c>
    </row>
    <row r="341" spans="1:11" ht="14.4" customHeight="1" x14ac:dyDescent="0.3">
      <c r="A341" s="615" t="s">
        <v>479</v>
      </c>
      <c r="B341" s="616" t="s">
        <v>2514</v>
      </c>
      <c r="C341" s="617" t="s">
        <v>484</v>
      </c>
      <c r="D341" s="618" t="s">
        <v>2515</v>
      </c>
      <c r="E341" s="617" t="s">
        <v>3583</v>
      </c>
      <c r="F341" s="618" t="s">
        <v>3584</v>
      </c>
      <c r="G341" s="617" t="s">
        <v>3514</v>
      </c>
      <c r="H341" s="617" t="s">
        <v>3515</v>
      </c>
      <c r="I341" s="619">
        <v>213.35</v>
      </c>
      <c r="J341" s="619">
        <v>10</v>
      </c>
      <c r="K341" s="620">
        <v>2133.4699999999998</v>
      </c>
    </row>
    <row r="342" spans="1:11" ht="14.4" customHeight="1" x14ac:dyDescent="0.3">
      <c r="A342" s="615" t="s">
        <v>479</v>
      </c>
      <c r="B342" s="616" t="s">
        <v>2514</v>
      </c>
      <c r="C342" s="617" t="s">
        <v>484</v>
      </c>
      <c r="D342" s="618" t="s">
        <v>2515</v>
      </c>
      <c r="E342" s="617" t="s">
        <v>3583</v>
      </c>
      <c r="F342" s="618" t="s">
        <v>3584</v>
      </c>
      <c r="G342" s="617" t="s">
        <v>3516</v>
      </c>
      <c r="H342" s="617" t="s">
        <v>3517</v>
      </c>
      <c r="I342" s="619">
        <v>5445</v>
      </c>
      <c r="J342" s="619">
        <v>2</v>
      </c>
      <c r="K342" s="620">
        <v>10890</v>
      </c>
    </row>
    <row r="343" spans="1:11" ht="14.4" customHeight="1" x14ac:dyDescent="0.3">
      <c r="A343" s="615" t="s">
        <v>479</v>
      </c>
      <c r="B343" s="616" t="s">
        <v>2514</v>
      </c>
      <c r="C343" s="617" t="s">
        <v>484</v>
      </c>
      <c r="D343" s="618" t="s">
        <v>2515</v>
      </c>
      <c r="E343" s="617" t="s">
        <v>3583</v>
      </c>
      <c r="F343" s="618" t="s">
        <v>3584</v>
      </c>
      <c r="G343" s="617" t="s">
        <v>3518</v>
      </c>
      <c r="H343" s="617" t="s">
        <v>3519</v>
      </c>
      <c r="I343" s="619">
        <v>9228.1949999999997</v>
      </c>
      <c r="J343" s="619">
        <v>1.25</v>
      </c>
      <c r="K343" s="620">
        <v>11535.240000000002</v>
      </c>
    </row>
    <row r="344" spans="1:11" ht="14.4" customHeight="1" x14ac:dyDescent="0.3">
      <c r="A344" s="615" t="s">
        <v>479</v>
      </c>
      <c r="B344" s="616" t="s">
        <v>2514</v>
      </c>
      <c r="C344" s="617" t="s">
        <v>484</v>
      </c>
      <c r="D344" s="618" t="s">
        <v>2515</v>
      </c>
      <c r="E344" s="617" t="s">
        <v>3583</v>
      </c>
      <c r="F344" s="618" t="s">
        <v>3584</v>
      </c>
      <c r="G344" s="617" t="s">
        <v>3520</v>
      </c>
      <c r="H344" s="617" t="s">
        <v>3521</v>
      </c>
      <c r="I344" s="619">
        <v>9228.1949999999997</v>
      </c>
      <c r="J344" s="619">
        <v>1.25</v>
      </c>
      <c r="K344" s="620">
        <v>11535.240000000002</v>
      </c>
    </row>
    <row r="345" spans="1:11" ht="14.4" customHeight="1" x14ac:dyDescent="0.3">
      <c r="A345" s="615" t="s">
        <v>479</v>
      </c>
      <c r="B345" s="616" t="s">
        <v>2514</v>
      </c>
      <c r="C345" s="617" t="s">
        <v>484</v>
      </c>
      <c r="D345" s="618" t="s">
        <v>2515</v>
      </c>
      <c r="E345" s="617" t="s">
        <v>3583</v>
      </c>
      <c r="F345" s="618" t="s">
        <v>3584</v>
      </c>
      <c r="G345" s="617" t="s">
        <v>3522</v>
      </c>
      <c r="H345" s="617" t="s">
        <v>3523</v>
      </c>
      <c r="I345" s="619">
        <v>22994.599999999995</v>
      </c>
      <c r="J345" s="619">
        <v>2.25</v>
      </c>
      <c r="K345" s="620">
        <v>51737.85</v>
      </c>
    </row>
    <row r="346" spans="1:11" ht="14.4" customHeight="1" x14ac:dyDescent="0.3">
      <c r="A346" s="615" t="s">
        <v>479</v>
      </c>
      <c r="B346" s="616" t="s">
        <v>2514</v>
      </c>
      <c r="C346" s="617" t="s">
        <v>484</v>
      </c>
      <c r="D346" s="618" t="s">
        <v>2515</v>
      </c>
      <c r="E346" s="617" t="s">
        <v>3583</v>
      </c>
      <c r="F346" s="618" t="s">
        <v>3584</v>
      </c>
      <c r="G346" s="617" t="s">
        <v>3524</v>
      </c>
      <c r="H346" s="617" t="s">
        <v>3525</v>
      </c>
      <c r="I346" s="619">
        <v>16187.72</v>
      </c>
      <c r="J346" s="619">
        <v>0.25</v>
      </c>
      <c r="K346" s="620">
        <v>4046.93</v>
      </c>
    </row>
    <row r="347" spans="1:11" ht="14.4" customHeight="1" x14ac:dyDescent="0.3">
      <c r="A347" s="615" t="s">
        <v>479</v>
      </c>
      <c r="B347" s="616" t="s">
        <v>2514</v>
      </c>
      <c r="C347" s="617" t="s">
        <v>484</v>
      </c>
      <c r="D347" s="618" t="s">
        <v>2515</v>
      </c>
      <c r="E347" s="617" t="s">
        <v>3583</v>
      </c>
      <c r="F347" s="618" t="s">
        <v>3584</v>
      </c>
      <c r="G347" s="617" t="s">
        <v>3526</v>
      </c>
      <c r="H347" s="617" t="s">
        <v>3527</v>
      </c>
      <c r="I347" s="619">
        <v>22994.6</v>
      </c>
      <c r="J347" s="619">
        <v>1.25</v>
      </c>
      <c r="K347" s="620">
        <v>28743.25</v>
      </c>
    </row>
    <row r="348" spans="1:11" ht="14.4" customHeight="1" x14ac:dyDescent="0.3">
      <c r="A348" s="615" t="s">
        <v>479</v>
      </c>
      <c r="B348" s="616" t="s">
        <v>2514</v>
      </c>
      <c r="C348" s="617" t="s">
        <v>484</v>
      </c>
      <c r="D348" s="618" t="s">
        <v>2515</v>
      </c>
      <c r="E348" s="617" t="s">
        <v>3583</v>
      </c>
      <c r="F348" s="618" t="s">
        <v>3584</v>
      </c>
      <c r="G348" s="617" t="s">
        <v>3528</v>
      </c>
      <c r="H348" s="617" t="s">
        <v>3529</v>
      </c>
      <c r="I348" s="619">
        <v>2624.54</v>
      </c>
      <c r="J348" s="619">
        <v>1</v>
      </c>
      <c r="K348" s="620">
        <v>2624.54</v>
      </c>
    </row>
    <row r="349" spans="1:11" ht="14.4" customHeight="1" x14ac:dyDescent="0.3">
      <c r="A349" s="615" t="s">
        <v>479</v>
      </c>
      <c r="B349" s="616" t="s">
        <v>2514</v>
      </c>
      <c r="C349" s="617" t="s">
        <v>484</v>
      </c>
      <c r="D349" s="618" t="s">
        <v>2515</v>
      </c>
      <c r="E349" s="617" t="s">
        <v>3583</v>
      </c>
      <c r="F349" s="618" t="s">
        <v>3584</v>
      </c>
      <c r="G349" s="617" t="s">
        <v>3530</v>
      </c>
      <c r="H349" s="617" t="s">
        <v>3531</v>
      </c>
      <c r="I349" s="619">
        <v>22994.6</v>
      </c>
      <c r="J349" s="619">
        <v>0.25</v>
      </c>
      <c r="K349" s="620">
        <v>5748.65</v>
      </c>
    </row>
    <row r="350" spans="1:11" ht="14.4" customHeight="1" x14ac:dyDescent="0.3">
      <c r="A350" s="615" t="s">
        <v>479</v>
      </c>
      <c r="B350" s="616" t="s">
        <v>2514</v>
      </c>
      <c r="C350" s="617" t="s">
        <v>484</v>
      </c>
      <c r="D350" s="618" t="s">
        <v>2515</v>
      </c>
      <c r="E350" s="617" t="s">
        <v>3583</v>
      </c>
      <c r="F350" s="618" t="s">
        <v>3584</v>
      </c>
      <c r="G350" s="617" t="s">
        <v>3532</v>
      </c>
      <c r="H350" s="617" t="s">
        <v>3533</v>
      </c>
      <c r="I350" s="619">
        <v>22994.596666666668</v>
      </c>
      <c r="J350" s="619">
        <v>2.25</v>
      </c>
      <c r="K350" s="620">
        <v>51737.84</v>
      </c>
    </row>
    <row r="351" spans="1:11" ht="14.4" customHeight="1" x14ac:dyDescent="0.3">
      <c r="A351" s="615" t="s">
        <v>479</v>
      </c>
      <c r="B351" s="616" t="s">
        <v>2514</v>
      </c>
      <c r="C351" s="617" t="s">
        <v>484</v>
      </c>
      <c r="D351" s="618" t="s">
        <v>2515</v>
      </c>
      <c r="E351" s="617" t="s">
        <v>3583</v>
      </c>
      <c r="F351" s="618" t="s">
        <v>3584</v>
      </c>
      <c r="G351" s="617" t="s">
        <v>3534</v>
      </c>
      <c r="H351" s="617" t="s">
        <v>3535</v>
      </c>
      <c r="I351" s="619">
        <v>34908.5</v>
      </c>
      <c r="J351" s="619">
        <v>0.5</v>
      </c>
      <c r="K351" s="620">
        <v>17454.25</v>
      </c>
    </row>
    <row r="352" spans="1:11" ht="14.4" customHeight="1" x14ac:dyDescent="0.3">
      <c r="A352" s="615" t="s">
        <v>479</v>
      </c>
      <c r="B352" s="616" t="s">
        <v>2514</v>
      </c>
      <c r="C352" s="617" t="s">
        <v>484</v>
      </c>
      <c r="D352" s="618" t="s">
        <v>2515</v>
      </c>
      <c r="E352" s="617" t="s">
        <v>3583</v>
      </c>
      <c r="F352" s="618" t="s">
        <v>3584</v>
      </c>
      <c r="G352" s="617" t="s">
        <v>3536</v>
      </c>
      <c r="H352" s="617" t="s">
        <v>3537</v>
      </c>
      <c r="I352" s="619">
        <v>1212.42</v>
      </c>
      <c r="J352" s="619">
        <v>3</v>
      </c>
      <c r="K352" s="620">
        <v>3637.26</v>
      </c>
    </row>
    <row r="353" spans="1:11" ht="14.4" customHeight="1" x14ac:dyDescent="0.3">
      <c r="A353" s="615" t="s">
        <v>479</v>
      </c>
      <c r="B353" s="616" t="s">
        <v>2514</v>
      </c>
      <c r="C353" s="617" t="s">
        <v>484</v>
      </c>
      <c r="D353" s="618" t="s">
        <v>2515</v>
      </c>
      <c r="E353" s="617" t="s">
        <v>3585</v>
      </c>
      <c r="F353" s="618" t="s">
        <v>3586</v>
      </c>
      <c r="G353" s="617" t="s">
        <v>3538</v>
      </c>
      <c r="H353" s="617" t="s">
        <v>3539</v>
      </c>
      <c r="I353" s="619">
        <v>36.83</v>
      </c>
      <c r="J353" s="619">
        <v>23</v>
      </c>
      <c r="K353" s="620">
        <v>847.15</v>
      </c>
    </row>
    <row r="354" spans="1:11" ht="14.4" customHeight="1" x14ac:dyDescent="0.3">
      <c r="A354" s="615" t="s">
        <v>479</v>
      </c>
      <c r="B354" s="616" t="s">
        <v>2514</v>
      </c>
      <c r="C354" s="617" t="s">
        <v>484</v>
      </c>
      <c r="D354" s="618" t="s">
        <v>2515</v>
      </c>
      <c r="E354" s="617" t="s">
        <v>3585</v>
      </c>
      <c r="F354" s="618" t="s">
        <v>3586</v>
      </c>
      <c r="G354" s="617" t="s">
        <v>3540</v>
      </c>
      <c r="H354" s="617" t="s">
        <v>3541</v>
      </c>
      <c r="I354" s="619">
        <v>15.20857142857143</v>
      </c>
      <c r="J354" s="619">
        <v>350</v>
      </c>
      <c r="K354" s="620">
        <v>5322.5199999999995</v>
      </c>
    </row>
    <row r="355" spans="1:11" ht="14.4" customHeight="1" x14ac:dyDescent="0.3">
      <c r="A355" s="615" t="s">
        <v>479</v>
      </c>
      <c r="B355" s="616" t="s">
        <v>2514</v>
      </c>
      <c r="C355" s="617" t="s">
        <v>484</v>
      </c>
      <c r="D355" s="618" t="s">
        <v>2515</v>
      </c>
      <c r="E355" s="617" t="s">
        <v>3585</v>
      </c>
      <c r="F355" s="618" t="s">
        <v>3586</v>
      </c>
      <c r="G355" s="617" t="s">
        <v>3542</v>
      </c>
      <c r="H355" s="617" t="s">
        <v>3543</v>
      </c>
      <c r="I355" s="619">
        <v>23.473571428571429</v>
      </c>
      <c r="J355" s="619">
        <v>600</v>
      </c>
      <c r="K355" s="620">
        <v>14084.1</v>
      </c>
    </row>
    <row r="356" spans="1:11" ht="14.4" customHeight="1" x14ac:dyDescent="0.3">
      <c r="A356" s="615" t="s">
        <v>479</v>
      </c>
      <c r="B356" s="616" t="s">
        <v>2514</v>
      </c>
      <c r="C356" s="617" t="s">
        <v>484</v>
      </c>
      <c r="D356" s="618" t="s">
        <v>2515</v>
      </c>
      <c r="E356" s="617" t="s">
        <v>3585</v>
      </c>
      <c r="F356" s="618" t="s">
        <v>3586</v>
      </c>
      <c r="G356" s="617" t="s">
        <v>3544</v>
      </c>
      <c r="H356" s="617" t="s">
        <v>3545</v>
      </c>
      <c r="I356" s="619">
        <v>36.83</v>
      </c>
      <c r="J356" s="619">
        <v>10</v>
      </c>
      <c r="K356" s="620">
        <v>368.3</v>
      </c>
    </row>
    <row r="357" spans="1:11" ht="14.4" customHeight="1" x14ac:dyDescent="0.3">
      <c r="A357" s="615" t="s">
        <v>479</v>
      </c>
      <c r="B357" s="616" t="s">
        <v>2514</v>
      </c>
      <c r="C357" s="617" t="s">
        <v>484</v>
      </c>
      <c r="D357" s="618" t="s">
        <v>2515</v>
      </c>
      <c r="E357" s="617" t="s">
        <v>3585</v>
      </c>
      <c r="F357" s="618" t="s">
        <v>3586</v>
      </c>
      <c r="G357" s="617" t="s">
        <v>3546</v>
      </c>
      <c r="H357" s="617" t="s">
        <v>3547</v>
      </c>
      <c r="I357" s="619">
        <v>220.21999999999997</v>
      </c>
      <c r="J357" s="619">
        <v>100</v>
      </c>
      <c r="K357" s="620">
        <v>22022</v>
      </c>
    </row>
    <row r="358" spans="1:11" ht="14.4" customHeight="1" x14ac:dyDescent="0.3">
      <c r="A358" s="615" t="s">
        <v>479</v>
      </c>
      <c r="B358" s="616" t="s">
        <v>2514</v>
      </c>
      <c r="C358" s="617" t="s">
        <v>484</v>
      </c>
      <c r="D358" s="618" t="s">
        <v>2515</v>
      </c>
      <c r="E358" s="617" t="s">
        <v>3585</v>
      </c>
      <c r="F358" s="618" t="s">
        <v>3586</v>
      </c>
      <c r="G358" s="617" t="s">
        <v>3546</v>
      </c>
      <c r="H358" s="617" t="s">
        <v>3548</v>
      </c>
      <c r="I358" s="619">
        <v>220.22</v>
      </c>
      <c r="J358" s="619">
        <v>40</v>
      </c>
      <c r="K358" s="620">
        <v>8808.7999999999993</v>
      </c>
    </row>
    <row r="359" spans="1:11" ht="14.4" customHeight="1" x14ac:dyDescent="0.3">
      <c r="A359" s="615" t="s">
        <v>479</v>
      </c>
      <c r="B359" s="616" t="s">
        <v>2514</v>
      </c>
      <c r="C359" s="617" t="s">
        <v>484</v>
      </c>
      <c r="D359" s="618" t="s">
        <v>2515</v>
      </c>
      <c r="E359" s="617" t="s">
        <v>3585</v>
      </c>
      <c r="F359" s="618" t="s">
        <v>3586</v>
      </c>
      <c r="G359" s="617" t="s">
        <v>3549</v>
      </c>
      <c r="H359" s="617" t="s">
        <v>3550</v>
      </c>
      <c r="I359" s="619">
        <v>440.43999999999994</v>
      </c>
      <c r="J359" s="619">
        <v>70</v>
      </c>
      <c r="K359" s="620">
        <v>30830.800000000003</v>
      </c>
    </row>
    <row r="360" spans="1:11" ht="14.4" customHeight="1" x14ac:dyDescent="0.3">
      <c r="A360" s="615" t="s">
        <v>479</v>
      </c>
      <c r="B360" s="616" t="s">
        <v>2514</v>
      </c>
      <c r="C360" s="617" t="s">
        <v>484</v>
      </c>
      <c r="D360" s="618" t="s">
        <v>2515</v>
      </c>
      <c r="E360" s="617" t="s">
        <v>3585</v>
      </c>
      <c r="F360" s="618" t="s">
        <v>3586</v>
      </c>
      <c r="G360" s="617" t="s">
        <v>3551</v>
      </c>
      <c r="H360" s="617" t="s">
        <v>3552</v>
      </c>
      <c r="I360" s="619">
        <v>1045.4400000000003</v>
      </c>
      <c r="J360" s="619">
        <v>45</v>
      </c>
      <c r="K360" s="620">
        <v>47044.799999999996</v>
      </c>
    </row>
    <row r="361" spans="1:11" ht="14.4" customHeight="1" x14ac:dyDescent="0.3">
      <c r="A361" s="615" t="s">
        <v>479</v>
      </c>
      <c r="B361" s="616" t="s">
        <v>2514</v>
      </c>
      <c r="C361" s="617" t="s">
        <v>484</v>
      </c>
      <c r="D361" s="618" t="s">
        <v>2515</v>
      </c>
      <c r="E361" s="617" t="s">
        <v>3585</v>
      </c>
      <c r="F361" s="618" t="s">
        <v>3586</v>
      </c>
      <c r="G361" s="617" t="s">
        <v>3553</v>
      </c>
      <c r="H361" s="617" t="s">
        <v>3554</v>
      </c>
      <c r="I361" s="619">
        <v>36.83</v>
      </c>
      <c r="J361" s="619">
        <v>3</v>
      </c>
      <c r="K361" s="620">
        <v>110.5</v>
      </c>
    </row>
    <row r="362" spans="1:11" ht="14.4" customHeight="1" x14ac:dyDescent="0.3">
      <c r="A362" s="615" t="s">
        <v>479</v>
      </c>
      <c r="B362" s="616" t="s">
        <v>2514</v>
      </c>
      <c r="C362" s="617" t="s">
        <v>484</v>
      </c>
      <c r="D362" s="618" t="s">
        <v>2515</v>
      </c>
      <c r="E362" s="617" t="s">
        <v>3585</v>
      </c>
      <c r="F362" s="618" t="s">
        <v>3586</v>
      </c>
      <c r="G362" s="617" t="s">
        <v>3555</v>
      </c>
      <c r="H362" s="617" t="s">
        <v>3556</v>
      </c>
      <c r="I362" s="619">
        <v>36.83</v>
      </c>
      <c r="J362" s="619">
        <v>23</v>
      </c>
      <c r="K362" s="620">
        <v>847.1</v>
      </c>
    </row>
    <row r="363" spans="1:11" ht="14.4" customHeight="1" x14ac:dyDescent="0.3">
      <c r="A363" s="615" t="s">
        <v>479</v>
      </c>
      <c r="B363" s="616" t="s">
        <v>2514</v>
      </c>
      <c r="C363" s="617" t="s">
        <v>484</v>
      </c>
      <c r="D363" s="618" t="s">
        <v>2515</v>
      </c>
      <c r="E363" s="617" t="s">
        <v>3585</v>
      </c>
      <c r="F363" s="618" t="s">
        <v>3586</v>
      </c>
      <c r="G363" s="617" t="s">
        <v>3557</v>
      </c>
      <c r="H363" s="617" t="s">
        <v>3558</v>
      </c>
      <c r="I363" s="619">
        <v>50.600000000000016</v>
      </c>
      <c r="J363" s="619">
        <v>630</v>
      </c>
      <c r="K363" s="620">
        <v>31879.400000000005</v>
      </c>
    </row>
    <row r="364" spans="1:11" ht="14.4" customHeight="1" x14ac:dyDescent="0.3">
      <c r="A364" s="615" t="s">
        <v>479</v>
      </c>
      <c r="B364" s="616" t="s">
        <v>2514</v>
      </c>
      <c r="C364" s="617" t="s">
        <v>484</v>
      </c>
      <c r="D364" s="618" t="s">
        <v>2515</v>
      </c>
      <c r="E364" s="617" t="s">
        <v>3585</v>
      </c>
      <c r="F364" s="618" t="s">
        <v>3586</v>
      </c>
      <c r="G364" s="617" t="s">
        <v>3559</v>
      </c>
      <c r="H364" s="617" t="s">
        <v>3560</v>
      </c>
      <c r="I364" s="619">
        <v>154.88</v>
      </c>
      <c r="J364" s="619">
        <v>140</v>
      </c>
      <c r="K364" s="620">
        <v>21683.309999999998</v>
      </c>
    </row>
    <row r="365" spans="1:11" ht="14.4" customHeight="1" x14ac:dyDescent="0.3">
      <c r="A365" s="615" t="s">
        <v>479</v>
      </c>
      <c r="B365" s="616" t="s">
        <v>2514</v>
      </c>
      <c r="C365" s="617" t="s">
        <v>484</v>
      </c>
      <c r="D365" s="618" t="s">
        <v>2515</v>
      </c>
      <c r="E365" s="617" t="s">
        <v>3585</v>
      </c>
      <c r="F365" s="618" t="s">
        <v>3586</v>
      </c>
      <c r="G365" s="617" t="s">
        <v>3561</v>
      </c>
      <c r="H365" s="617" t="s">
        <v>3562</v>
      </c>
      <c r="I365" s="619">
        <v>36.83</v>
      </c>
      <c r="J365" s="619">
        <v>15</v>
      </c>
      <c r="K365" s="620">
        <v>552.49</v>
      </c>
    </row>
    <row r="366" spans="1:11" ht="14.4" customHeight="1" thickBot="1" x14ac:dyDescent="0.35">
      <c r="A366" s="621" t="s">
        <v>479</v>
      </c>
      <c r="B366" s="622" t="s">
        <v>2514</v>
      </c>
      <c r="C366" s="623" t="s">
        <v>484</v>
      </c>
      <c r="D366" s="624" t="s">
        <v>2515</v>
      </c>
      <c r="E366" s="623" t="s">
        <v>3585</v>
      </c>
      <c r="F366" s="624" t="s">
        <v>3586</v>
      </c>
      <c r="G366" s="623" t="s">
        <v>3563</v>
      </c>
      <c r="H366" s="623" t="s">
        <v>3564</v>
      </c>
      <c r="I366" s="625">
        <v>19.968333333333334</v>
      </c>
      <c r="J366" s="625">
        <v>300</v>
      </c>
      <c r="K366" s="626">
        <v>5990.76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12" width="13.109375" customWidth="1"/>
  </cols>
  <sheetData>
    <row r="1" spans="1:13" ht="18.600000000000001" thickBot="1" x14ac:dyDescent="0.4">
      <c r="A1" s="510" t="s">
        <v>117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</row>
    <row r="2" spans="1:13" ht="15" thickBot="1" x14ac:dyDescent="0.35">
      <c r="A2" s="360" t="s">
        <v>280</v>
      </c>
      <c r="B2" s="361"/>
      <c r="C2" s="361"/>
      <c r="D2" s="361"/>
      <c r="E2" s="361"/>
      <c r="F2" s="361"/>
      <c r="G2" s="361"/>
      <c r="H2" s="361"/>
      <c r="I2" s="361"/>
      <c r="J2" s="361"/>
    </row>
    <row r="3" spans="1:13" x14ac:dyDescent="0.3">
      <c r="A3" s="379" t="s">
        <v>218</v>
      </c>
      <c r="B3" s="508" t="s">
        <v>201</v>
      </c>
      <c r="C3" s="362">
        <v>0</v>
      </c>
      <c r="D3" s="382">
        <v>100</v>
      </c>
      <c r="E3" s="382">
        <v>101</v>
      </c>
      <c r="F3" s="382">
        <v>302</v>
      </c>
      <c r="G3" s="382">
        <v>303</v>
      </c>
      <c r="H3" s="382">
        <v>304</v>
      </c>
      <c r="I3" s="382">
        <v>305</v>
      </c>
      <c r="J3" s="363">
        <v>636</v>
      </c>
      <c r="K3" s="363">
        <v>642</v>
      </c>
      <c r="L3" s="680">
        <v>930</v>
      </c>
      <c r="M3" s="695"/>
    </row>
    <row r="4" spans="1:13" ht="24.6" outlineLevel="1" thickBot="1" x14ac:dyDescent="0.35">
      <c r="A4" s="380">
        <v>2016</v>
      </c>
      <c r="B4" s="509"/>
      <c r="C4" s="364" t="s">
        <v>202</v>
      </c>
      <c r="D4" s="383" t="s">
        <v>246</v>
      </c>
      <c r="E4" s="383" t="s">
        <v>247</v>
      </c>
      <c r="F4" s="383" t="s">
        <v>248</v>
      </c>
      <c r="G4" s="383" t="s">
        <v>249</v>
      </c>
      <c r="H4" s="383" t="s">
        <v>250</v>
      </c>
      <c r="I4" s="383" t="s">
        <v>251</v>
      </c>
      <c r="J4" s="365" t="s">
        <v>227</v>
      </c>
      <c r="K4" s="365" t="s">
        <v>228</v>
      </c>
      <c r="L4" s="681" t="s">
        <v>220</v>
      </c>
      <c r="M4" s="695"/>
    </row>
    <row r="5" spans="1:13" x14ac:dyDescent="0.3">
      <c r="A5" s="366" t="s">
        <v>203</v>
      </c>
      <c r="B5" s="404"/>
      <c r="C5" s="405"/>
      <c r="D5" s="406"/>
      <c r="E5" s="406"/>
      <c r="F5" s="406"/>
      <c r="G5" s="406"/>
      <c r="H5" s="406"/>
      <c r="I5" s="406"/>
      <c r="J5" s="406"/>
      <c r="K5" s="406"/>
      <c r="L5" s="682"/>
      <c r="M5" s="695"/>
    </row>
    <row r="6" spans="1:13" ht="15" collapsed="1" thickBot="1" x14ac:dyDescent="0.35">
      <c r="A6" s="367" t="s">
        <v>81</v>
      </c>
      <c r="B6" s="407">
        <f xml:space="preserve">
TRUNC(IF($A$4&lt;=12,SUMIFS('ON Data'!F:F,'ON Data'!$D:$D,$A$4,'ON Data'!$E:$E,1),SUMIFS('ON Data'!F:F,'ON Data'!$E:$E,1)/'ON Data'!$D$3),1)</f>
        <v>58.8</v>
      </c>
      <c r="C6" s="408">
        <f xml:space="preserve">
TRUNC(IF($A$4&lt;=12,SUMIFS('ON Data'!G:G,'ON Data'!$D:$D,$A$4,'ON Data'!$E:$E,1),SUMIFS('ON Data'!G:G,'ON Data'!$E:$E,1)/'ON Data'!$D$3),1)</f>
        <v>0</v>
      </c>
      <c r="D6" s="409">
        <f xml:space="preserve">
TRUNC(IF($A$4&lt;=12,SUMIFS('ON Data'!J:J,'ON Data'!$D:$D,$A$4,'ON Data'!$E:$E,1),SUMIFS('ON Data'!J:J,'ON Data'!$E:$E,1)/'ON Data'!$D$3),1)</f>
        <v>1.6</v>
      </c>
      <c r="E6" s="409">
        <f xml:space="preserve">
TRUNC(IF($A$4&lt;=12,SUMIFS('ON Data'!K:K,'ON Data'!$D:$D,$A$4,'ON Data'!$E:$E,1),SUMIFS('ON Data'!K:K,'ON Data'!$E:$E,1)/'ON Data'!$D$3),1)</f>
        <v>6.6</v>
      </c>
      <c r="F6" s="409">
        <f xml:space="preserve">
TRUNC(IF($A$4&lt;=12,SUMIFS('ON Data'!O:O,'ON Data'!$D:$D,$A$4,'ON Data'!$E:$E,1),SUMIFS('ON Data'!O:O,'ON Data'!$E:$E,1)/'ON Data'!$D$3),1)</f>
        <v>0.3</v>
      </c>
      <c r="G6" s="409">
        <f xml:space="preserve">
TRUNC(IF($A$4&lt;=12,SUMIFS('ON Data'!P:P,'ON Data'!$D:$D,$A$4,'ON Data'!$E:$E,1),SUMIFS('ON Data'!P:P,'ON Data'!$E:$E,1)/'ON Data'!$D$3),1)</f>
        <v>14.2</v>
      </c>
      <c r="H6" s="409">
        <f xml:space="preserve">
TRUNC(IF($A$4&lt;=12,SUMIFS('ON Data'!Q:Q,'ON Data'!$D:$D,$A$4,'ON Data'!$E:$E,1),SUMIFS('ON Data'!Q:Q,'ON Data'!$E:$E,1)/'ON Data'!$D$3),1)</f>
        <v>20</v>
      </c>
      <c r="I6" s="409">
        <f xml:space="preserve">
TRUNC(IF($A$4&lt;=12,SUMIFS('ON Data'!R:R,'ON Data'!$D:$D,$A$4,'ON Data'!$E:$E,1),SUMIFS('ON Data'!R:R,'ON Data'!$E:$E,1)/'ON Data'!$D$3),1)</f>
        <v>10</v>
      </c>
      <c r="J6" s="409">
        <f xml:space="preserve">
TRUNC(IF($A$4&lt;=12,SUMIFS('ON Data'!AO:AO,'ON Data'!$D:$D,$A$4,'ON Data'!$E:$E,1),SUMIFS('ON Data'!AO:AO,'ON Data'!$E:$E,1)/'ON Data'!$D$3),1)</f>
        <v>2.5</v>
      </c>
      <c r="K6" s="409">
        <f xml:space="preserve">
TRUNC(IF($A$4&lt;=12,SUMIFS('ON Data'!AR:AR,'ON Data'!$D:$D,$A$4,'ON Data'!$E:$E,1),SUMIFS('ON Data'!AR:AR,'ON Data'!$E:$E,1)/'ON Data'!$D$3),1)</f>
        <v>2.2999999999999998</v>
      </c>
      <c r="L6" s="683">
        <f xml:space="preserve">
TRUNC(IF($A$4&lt;=12,SUMIFS('ON Data'!AW:AW,'ON Data'!$D:$D,$A$4,'ON Data'!$E:$E,1),SUMIFS('ON Data'!AW:AW,'ON Data'!$E:$E,1)/'ON Data'!$D$3),1)</f>
        <v>1</v>
      </c>
      <c r="M6" s="695"/>
    </row>
    <row r="7" spans="1:13" ht="15" hidden="1" outlineLevel="1" thickBot="1" x14ac:dyDescent="0.35">
      <c r="A7" s="367" t="s">
        <v>118</v>
      </c>
      <c r="B7" s="407"/>
      <c r="C7" s="410"/>
      <c r="D7" s="409"/>
      <c r="E7" s="409"/>
      <c r="F7" s="409"/>
      <c r="G7" s="409"/>
      <c r="H7" s="409"/>
      <c r="I7" s="409"/>
      <c r="J7" s="409"/>
      <c r="K7" s="409"/>
      <c r="L7" s="683"/>
      <c r="M7" s="695"/>
    </row>
    <row r="8" spans="1:13" ht="15" hidden="1" outlineLevel="1" thickBot="1" x14ac:dyDescent="0.35">
      <c r="A8" s="367" t="s">
        <v>83</v>
      </c>
      <c r="B8" s="407"/>
      <c r="C8" s="410"/>
      <c r="D8" s="409"/>
      <c r="E8" s="409"/>
      <c r="F8" s="409"/>
      <c r="G8" s="409"/>
      <c r="H8" s="409"/>
      <c r="I8" s="409"/>
      <c r="J8" s="409"/>
      <c r="K8" s="409"/>
      <c r="L8" s="683"/>
      <c r="M8" s="695"/>
    </row>
    <row r="9" spans="1:13" ht="15" hidden="1" outlineLevel="1" thickBot="1" x14ac:dyDescent="0.35">
      <c r="A9" s="368" t="s">
        <v>56</v>
      </c>
      <c r="B9" s="411"/>
      <c r="C9" s="412"/>
      <c r="D9" s="413"/>
      <c r="E9" s="413"/>
      <c r="F9" s="413"/>
      <c r="G9" s="413"/>
      <c r="H9" s="413"/>
      <c r="I9" s="413"/>
      <c r="J9" s="413"/>
      <c r="K9" s="413"/>
      <c r="L9" s="684"/>
      <c r="M9" s="695"/>
    </row>
    <row r="10" spans="1:13" x14ac:dyDescent="0.3">
      <c r="A10" s="369" t="s">
        <v>204</v>
      </c>
      <c r="B10" s="384"/>
      <c r="C10" s="385"/>
      <c r="D10" s="386"/>
      <c r="E10" s="386"/>
      <c r="F10" s="386"/>
      <c r="G10" s="386"/>
      <c r="H10" s="386"/>
      <c r="I10" s="386"/>
      <c r="J10" s="386"/>
      <c r="K10" s="386"/>
      <c r="L10" s="685"/>
      <c r="M10" s="695"/>
    </row>
    <row r="11" spans="1:13" x14ac:dyDescent="0.3">
      <c r="A11" s="370" t="s">
        <v>205</v>
      </c>
      <c r="B11" s="387">
        <f xml:space="preserve">
IF($A$4&lt;=12,SUMIFS('ON Data'!F:F,'ON Data'!$D:$D,$A$4,'ON Data'!$E:$E,2),SUMIFS('ON Data'!F:F,'ON Data'!$E:$E,2))</f>
        <v>98501.87</v>
      </c>
      <c r="C11" s="388">
        <f xml:space="preserve">
IF($A$4&lt;=12,SUMIFS('ON Data'!G:G,'ON Data'!$D:$D,$A$4,'ON Data'!$E:$E,2),SUMIFS('ON Data'!G:G,'ON Data'!$E:$E,2))</f>
        <v>0</v>
      </c>
      <c r="D11" s="389">
        <f xml:space="preserve">
IF($A$4&lt;=12,SUMIFS('ON Data'!J:J,'ON Data'!$D:$D,$A$4,'ON Data'!$E:$E,2),SUMIFS('ON Data'!J:J,'ON Data'!$E:$E,2))</f>
        <v>2951</v>
      </c>
      <c r="E11" s="389">
        <f xml:space="preserve">
IF($A$4&lt;=12,SUMIFS('ON Data'!K:K,'ON Data'!$D:$D,$A$4,'ON Data'!$E:$E,2),SUMIFS('ON Data'!K:K,'ON Data'!$E:$E,2))</f>
        <v>11818.15</v>
      </c>
      <c r="F11" s="389">
        <f xml:space="preserve">
IF($A$4&lt;=12,SUMIFS('ON Data'!O:O,'ON Data'!$D:$D,$A$4,'ON Data'!$E:$E,2),SUMIFS('ON Data'!O:O,'ON Data'!$E:$E,2))</f>
        <v>660</v>
      </c>
      <c r="G11" s="389">
        <f xml:space="preserve">
IF($A$4&lt;=12,SUMIFS('ON Data'!P:P,'ON Data'!$D:$D,$A$4,'ON Data'!$E:$E,2),SUMIFS('ON Data'!P:P,'ON Data'!$E:$E,2))</f>
        <v>24814.589999999997</v>
      </c>
      <c r="H11" s="389">
        <f xml:space="preserve">
IF($A$4&lt;=12,SUMIFS('ON Data'!Q:Q,'ON Data'!$D:$D,$A$4,'ON Data'!$E:$E,2),SUMIFS('ON Data'!Q:Q,'ON Data'!$E:$E,2))</f>
        <v>32050.48</v>
      </c>
      <c r="I11" s="389">
        <f xml:space="preserve">
IF($A$4&lt;=12,SUMIFS('ON Data'!R:R,'ON Data'!$D:$D,$A$4,'ON Data'!$E:$E,2),SUMIFS('ON Data'!R:R,'ON Data'!$E:$E,2))</f>
        <v>15685.900000000001</v>
      </c>
      <c r="J11" s="389">
        <f xml:space="preserve">
IF($A$4&lt;=12,SUMIFS('ON Data'!AO:AO,'ON Data'!$D:$D,$A$4,'ON Data'!$E:$E,2),SUMIFS('ON Data'!AO:AO,'ON Data'!$E:$E,2))</f>
        <v>4537</v>
      </c>
      <c r="K11" s="389">
        <f xml:space="preserve">
IF($A$4&lt;=12,SUMIFS('ON Data'!AR:AR,'ON Data'!$D:$D,$A$4,'ON Data'!$E:$E,2),SUMIFS('ON Data'!AR:AR,'ON Data'!$E:$E,2))</f>
        <v>4080.75</v>
      </c>
      <c r="L11" s="686">
        <f xml:space="preserve">
IF($A$4&lt;=12,SUMIFS('ON Data'!AW:AW,'ON Data'!$D:$D,$A$4,'ON Data'!$E:$E,2),SUMIFS('ON Data'!AW:AW,'ON Data'!$E:$E,2))</f>
        <v>1904</v>
      </c>
      <c r="M11" s="695"/>
    </row>
    <row r="12" spans="1:13" x14ac:dyDescent="0.3">
      <c r="A12" s="370" t="s">
        <v>206</v>
      </c>
      <c r="B12" s="387">
        <f xml:space="preserve">
IF($A$4&lt;=12,SUMIFS('ON Data'!F:F,'ON Data'!$D:$D,$A$4,'ON Data'!$E:$E,3),SUMIFS('ON Data'!F:F,'ON Data'!$E:$E,3))</f>
        <v>3202.0699999999997</v>
      </c>
      <c r="C12" s="388">
        <f xml:space="preserve">
IF($A$4&lt;=12,SUMIFS('ON Data'!G:G,'ON Data'!$D:$D,$A$4,'ON Data'!$E:$E,3),SUMIFS('ON Data'!G:G,'ON Data'!$E:$E,3))</f>
        <v>0</v>
      </c>
      <c r="D12" s="389">
        <f xml:space="preserve">
IF($A$4&lt;=12,SUMIFS('ON Data'!J:J,'ON Data'!$D:$D,$A$4,'ON Data'!$E:$E,3),SUMIFS('ON Data'!J:J,'ON Data'!$E:$E,3))</f>
        <v>171</v>
      </c>
      <c r="E12" s="389">
        <f xml:space="preserve">
IF($A$4&lt;=12,SUMIFS('ON Data'!K:K,'ON Data'!$D:$D,$A$4,'ON Data'!$E:$E,3),SUMIFS('ON Data'!K:K,'ON Data'!$E:$E,3))</f>
        <v>460</v>
      </c>
      <c r="F12" s="389">
        <f xml:space="preserve">
IF($A$4&lt;=12,SUMIFS('ON Data'!O:O,'ON Data'!$D:$D,$A$4,'ON Data'!$E:$E,3),SUMIFS('ON Data'!O:O,'ON Data'!$E:$E,3))</f>
        <v>0</v>
      </c>
      <c r="G12" s="389">
        <f xml:space="preserve">
IF($A$4&lt;=12,SUMIFS('ON Data'!P:P,'ON Data'!$D:$D,$A$4,'ON Data'!$E:$E,3),SUMIFS('ON Data'!P:P,'ON Data'!$E:$E,3))</f>
        <v>790.21</v>
      </c>
      <c r="H12" s="389">
        <f xml:space="preserve">
IF($A$4&lt;=12,SUMIFS('ON Data'!Q:Q,'ON Data'!$D:$D,$A$4,'ON Data'!$E:$E,3),SUMIFS('ON Data'!Q:Q,'ON Data'!$E:$E,3))</f>
        <v>1316.01</v>
      </c>
      <c r="I12" s="389">
        <f xml:space="preserve">
IF($A$4&lt;=12,SUMIFS('ON Data'!R:R,'ON Data'!$D:$D,$A$4,'ON Data'!$E:$E,3),SUMIFS('ON Data'!R:R,'ON Data'!$E:$E,3))</f>
        <v>464.84999999999997</v>
      </c>
      <c r="J12" s="389">
        <f xml:space="preserve">
IF($A$4&lt;=12,SUMIFS('ON Data'!AO:AO,'ON Data'!$D:$D,$A$4,'ON Data'!$E:$E,3),SUMIFS('ON Data'!AO:AO,'ON Data'!$E:$E,3))</f>
        <v>0</v>
      </c>
      <c r="K12" s="389">
        <f xml:space="preserve">
IF($A$4&lt;=12,SUMIFS('ON Data'!AR:AR,'ON Data'!$D:$D,$A$4,'ON Data'!$E:$E,3),SUMIFS('ON Data'!AR:AR,'ON Data'!$E:$E,3))</f>
        <v>0</v>
      </c>
      <c r="L12" s="686">
        <f xml:space="preserve">
IF($A$4&lt;=12,SUMIFS('ON Data'!AW:AW,'ON Data'!$D:$D,$A$4,'ON Data'!$E:$E,3),SUMIFS('ON Data'!AW:AW,'ON Data'!$E:$E,3))</f>
        <v>0</v>
      </c>
      <c r="M12" s="695"/>
    </row>
    <row r="13" spans="1:13" x14ac:dyDescent="0.3">
      <c r="A13" s="370" t="s">
        <v>213</v>
      </c>
      <c r="B13" s="387">
        <f xml:space="preserve">
IF($A$4&lt;=12,SUMIFS('ON Data'!F:F,'ON Data'!$D:$D,$A$4,'ON Data'!$E:$E,4),SUMIFS('ON Data'!F:F,'ON Data'!$E:$E,4))</f>
        <v>9179.0999999999985</v>
      </c>
      <c r="C13" s="388">
        <f xml:space="preserve">
IF($A$4&lt;=12,SUMIFS('ON Data'!G:G,'ON Data'!$D:$D,$A$4,'ON Data'!$E:$E,4),SUMIFS('ON Data'!G:G,'ON Data'!$E:$E,4))</f>
        <v>0</v>
      </c>
      <c r="D13" s="389">
        <f xml:space="preserve">
IF($A$4&lt;=12,SUMIFS('ON Data'!J:J,'ON Data'!$D:$D,$A$4,'ON Data'!$E:$E,4),SUMIFS('ON Data'!J:J,'ON Data'!$E:$E,4))</f>
        <v>281</v>
      </c>
      <c r="E13" s="389">
        <f xml:space="preserve">
IF($A$4&lt;=12,SUMIFS('ON Data'!K:K,'ON Data'!$D:$D,$A$4,'ON Data'!$E:$E,4),SUMIFS('ON Data'!K:K,'ON Data'!$E:$E,4))</f>
        <v>1443</v>
      </c>
      <c r="F13" s="389">
        <f xml:space="preserve">
IF($A$4&lt;=12,SUMIFS('ON Data'!O:O,'ON Data'!$D:$D,$A$4,'ON Data'!$E:$E,4),SUMIFS('ON Data'!O:O,'ON Data'!$E:$E,4))</f>
        <v>70</v>
      </c>
      <c r="G13" s="389">
        <f xml:space="preserve">
IF($A$4&lt;=12,SUMIFS('ON Data'!P:P,'ON Data'!$D:$D,$A$4,'ON Data'!$E:$E,4),SUMIFS('ON Data'!P:P,'ON Data'!$E:$E,4))</f>
        <v>2019.33</v>
      </c>
      <c r="H13" s="389">
        <f xml:space="preserve">
IF($A$4&lt;=12,SUMIFS('ON Data'!Q:Q,'ON Data'!$D:$D,$A$4,'ON Data'!$E:$E,4),SUMIFS('ON Data'!Q:Q,'ON Data'!$E:$E,4))</f>
        <v>3244.27</v>
      </c>
      <c r="I13" s="389">
        <f xml:space="preserve">
IF($A$4&lt;=12,SUMIFS('ON Data'!R:R,'ON Data'!$D:$D,$A$4,'ON Data'!$E:$E,4),SUMIFS('ON Data'!R:R,'ON Data'!$E:$E,4))</f>
        <v>1490.75</v>
      </c>
      <c r="J13" s="389">
        <f xml:space="preserve">
IF($A$4&lt;=12,SUMIFS('ON Data'!AO:AO,'ON Data'!$D:$D,$A$4,'ON Data'!$E:$E,4),SUMIFS('ON Data'!AO:AO,'ON Data'!$E:$E,4))</f>
        <v>311.5</v>
      </c>
      <c r="K13" s="389">
        <f xml:space="preserve">
IF($A$4&lt;=12,SUMIFS('ON Data'!AR:AR,'ON Data'!$D:$D,$A$4,'ON Data'!$E:$E,4),SUMIFS('ON Data'!AR:AR,'ON Data'!$E:$E,4))</f>
        <v>319.25</v>
      </c>
      <c r="L13" s="686">
        <f xml:space="preserve">
IF($A$4&lt;=12,SUMIFS('ON Data'!AW:AW,'ON Data'!$D:$D,$A$4,'ON Data'!$E:$E,4),SUMIFS('ON Data'!AW:AW,'ON Data'!$E:$E,4))</f>
        <v>0</v>
      </c>
      <c r="M13" s="695"/>
    </row>
    <row r="14" spans="1:13" ht="15" thickBot="1" x14ac:dyDescent="0.35">
      <c r="A14" s="371" t="s">
        <v>207</v>
      </c>
      <c r="B14" s="391">
        <f xml:space="preserve">
IF($A$4&lt;=12,SUMIFS('ON Data'!F:F,'ON Data'!$D:$D,$A$4,'ON Data'!$E:$E,5),SUMIFS('ON Data'!F:F,'ON Data'!$E:$E,5))</f>
        <v>300</v>
      </c>
      <c r="C14" s="392">
        <f xml:space="preserve">
IF($A$4&lt;=12,SUMIFS('ON Data'!G:G,'ON Data'!$D:$D,$A$4,'ON Data'!$E:$E,5),SUMIFS('ON Data'!G:G,'ON Data'!$E:$E,5))</f>
        <v>300</v>
      </c>
      <c r="D14" s="393">
        <f xml:space="preserve">
IF($A$4&lt;=12,SUMIFS('ON Data'!J:J,'ON Data'!$D:$D,$A$4,'ON Data'!$E:$E,5),SUMIFS('ON Data'!J:J,'ON Data'!$E:$E,5))</f>
        <v>0</v>
      </c>
      <c r="E14" s="393">
        <f xml:space="preserve">
IF($A$4&lt;=12,SUMIFS('ON Data'!K:K,'ON Data'!$D:$D,$A$4,'ON Data'!$E:$E,5),SUMIFS('ON Data'!K:K,'ON Data'!$E:$E,5))</f>
        <v>0</v>
      </c>
      <c r="F14" s="393">
        <f xml:space="preserve">
IF($A$4&lt;=12,SUMIFS('ON Data'!O:O,'ON Data'!$D:$D,$A$4,'ON Data'!$E:$E,5),SUMIFS('ON Data'!O:O,'ON Data'!$E:$E,5))</f>
        <v>0</v>
      </c>
      <c r="G14" s="393">
        <f xml:space="preserve">
IF($A$4&lt;=12,SUMIFS('ON Data'!P:P,'ON Data'!$D:$D,$A$4,'ON Data'!$E:$E,5),SUMIFS('ON Data'!P:P,'ON Data'!$E:$E,5))</f>
        <v>0</v>
      </c>
      <c r="H14" s="393">
        <f xml:space="preserve">
IF($A$4&lt;=12,SUMIFS('ON Data'!Q:Q,'ON Data'!$D:$D,$A$4,'ON Data'!$E:$E,5),SUMIFS('ON Data'!Q:Q,'ON Data'!$E:$E,5))</f>
        <v>0</v>
      </c>
      <c r="I14" s="393">
        <f xml:space="preserve">
IF($A$4&lt;=12,SUMIFS('ON Data'!R:R,'ON Data'!$D:$D,$A$4,'ON Data'!$E:$E,5),SUMIFS('ON Data'!R:R,'ON Data'!$E:$E,5))</f>
        <v>0</v>
      </c>
      <c r="J14" s="393">
        <f xml:space="preserve">
IF($A$4&lt;=12,SUMIFS('ON Data'!AO:AO,'ON Data'!$D:$D,$A$4,'ON Data'!$E:$E,5),SUMIFS('ON Data'!AO:AO,'ON Data'!$E:$E,5))</f>
        <v>0</v>
      </c>
      <c r="K14" s="393">
        <f xml:space="preserve">
IF($A$4&lt;=12,SUMIFS('ON Data'!AR:AR,'ON Data'!$D:$D,$A$4,'ON Data'!$E:$E,5),SUMIFS('ON Data'!AR:AR,'ON Data'!$E:$E,5))</f>
        <v>0</v>
      </c>
      <c r="L14" s="687">
        <f xml:space="preserve">
IF($A$4&lt;=12,SUMIFS('ON Data'!AW:AW,'ON Data'!$D:$D,$A$4,'ON Data'!$E:$E,5),SUMIFS('ON Data'!AW:AW,'ON Data'!$E:$E,5))</f>
        <v>0</v>
      </c>
      <c r="M14" s="695"/>
    </row>
    <row r="15" spans="1:13" x14ac:dyDescent="0.3">
      <c r="A15" s="271" t="s">
        <v>217</v>
      </c>
      <c r="B15" s="395"/>
      <c r="C15" s="396"/>
      <c r="D15" s="397"/>
      <c r="E15" s="397"/>
      <c r="F15" s="397"/>
      <c r="G15" s="397"/>
      <c r="H15" s="397"/>
      <c r="I15" s="397"/>
      <c r="J15" s="397"/>
      <c r="K15" s="397"/>
      <c r="L15" s="688"/>
      <c r="M15" s="695"/>
    </row>
    <row r="16" spans="1:13" x14ac:dyDescent="0.3">
      <c r="A16" s="372" t="s">
        <v>208</v>
      </c>
      <c r="B16" s="387">
        <f xml:space="preserve">
IF($A$4&lt;=12,SUMIFS('ON Data'!F:F,'ON Data'!$D:$D,$A$4,'ON Data'!$E:$E,7),SUMIFS('ON Data'!F:F,'ON Data'!$E:$E,7))</f>
        <v>0</v>
      </c>
      <c r="C16" s="388">
        <f xml:space="preserve">
IF($A$4&lt;=12,SUMIFS('ON Data'!G:G,'ON Data'!$D:$D,$A$4,'ON Data'!$E:$E,7),SUMIFS('ON Data'!G:G,'ON Data'!$E:$E,7))</f>
        <v>0</v>
      </c>
      <c r="D16" s="389">
        <f xml:space="preserve">
IF($A$4&lt;=12,SUMIFS('ON Data'!J:J,'ON Data'!$D:$D,$A$4,'ON Data'!$E:$E,7),SUMIFS('ON Data'!J:J,'ON Data'!$E:$E,7))</f>
        <v>0</v>
      </c>
      <c r="E16" s="389">
        <f xml:space="preserve">
IF($A$4&lt;=12,SUMIFS('ON Data'!K:K,'ON Data'!$D:$D,$A$4,'ON Data'!$E:$E,7),SUMIFS('ON Data'!K:K,'ON Data'!$E:$E,7))</f>
        <v>0</v>
      </c>
      <c r="F16" s="389">
        <f xml:space="preserve">
IF($A$4&lt;=12,SUMIFS('ON Data'!O:O,'ON Data'!$D:$D,$A$4,'ON Data'!$E:$E,7),SUMIFS('ON Data'!O:O,'ON Data'!$E:$E,7))</f>
        <v>0</v>
      </c>
      <c r="G16" s="389">
        <f xml:space="preserve">
IF($A$4&lt;=12,SUMIFS('ON Data'!P:P,'ON Data'!$D:$D,$A$4,'ON Data'!$E:$E,7),SUMIFS('ON Data'!P:P,'ON Data'!$E:$E,7))</f>
        <v>0</v>
      </c>
      <c r="H16" s="389">
        <f xml:space="preserve">
IF($A$4&lt;=12,SUMIFS('ON Data'!Q:Q,'ON Data'!$D:$D,$A$4,'ON Data'!$E:$E,7),SUMIFS('ON Data'!Q:Q,'ON Data'!$E:$E,7))</f>
        <v>0</v>
      </c>
      <c r="I16" s="389">
        <f xml:space="preserve">
IF($A$4&lt;=12,SUMIFS('ON Data'!R:R,'ON Data'!$D:$D,$A$4,'ON Data'!$E:$E,7),SUMIFS('ON Data'!R:R,'ON Data'!$E:$E,7))</f>
        <v>0</v>
      </c>
      <c r="J16" s="389">
        <f xml:space="preserve">
IF($A$4&lt;=12,SUMIFS('ON Data'!AO:AO,'ON Data'!$D:$D,$A$4,'ON Data'!$E:$E,7),SUMIFS('ON Data'!AO:AO,'ON Data'!$E:$E,7))</f>
        <v>0</v>
      </c>
      <c r="K16" s="389">
        <f xml:space="preserve">
IF($A$4&lt;=12,SUMIFS('ON Data'!AR:AR,'ON Data'!$D:$D,$A$4,'ON Data'!$E:$E,7),SUMIFS('ON Data'!AR:AR,'ON Data'!$E:$E,7))</f>
        <v>0</v>
      </c>
      <c r="L16" s="686">
        <f xml:space="preserve">
IF($A$4&lt;=12,SUMIFS('ON Data'!AW:AW,'ON Data'!$D:$D,$A$4,'ON Data'!$E:$E,7),SUMIFS('ON Data'!AW:AW,'ON Data'!$E:$E,7))</f>
        <v>0</v>
      </c>
      <c r="M16" s="695"/>
    </row>
    <row r="17" spans="1:13" x14ac:dyDescent="0.3">
      <c r="A17" s="372" t="s">
        <v>209</v>
      </c>
      <c r="B17" s="387">
        <f xml:space="preserve">
IF($A$4&lt;=12,SUMIFS('ON Data'!F:F,'ON Data'!$D:$D,$A$4,'ON Data'!$E:$E,8),SUMIFS('ON Data'!F:F,'ON Data'!$E:$E,8))</f>
        <v>0</v>
      </c>
      <c r="C17" s="388">
        <f xml:space="preserve">
IF($A$4&lt;=12,SUMIFS('ON Data'!G:G,'ON Data'!$D:$D,$A$4,'ON Data'!$E:$E,8),SUMIFS('ON Data'!G:G,'ON Data'!$E:$E,8))</f>
        <v>0</v>
      </c>
      <c r="D17" s="389">
        <f xml:space="preserve">
IF($A$4&lt;=12,SUMIFS('ON Data'!J:J,'ON Data'!$D:$D,$A$4,'ON Data'!$E:$E,8),SUMIFS('ON Data'!J:J,'ON Data'!$E:$E,8))</f>
        <v>0</v>
      </c>
      <c r="E17" s="389">
        <f xml:space="preserve">
IF($A$4&lt;=12,SUMIFS('ON Data'!K:K,'ON Data'!$D:$D,$A$4,'ON Data'!$E:$E,8),SUMIFS('ON Data'!K:K,'ON Data'!$E:$E,8))</f>
        <v>0</v>
      </c>
      <c r="F17" s="389">
        <f xml:space="preserve">
IF($A$4&lt;=12,SUMIFS('ON Data'!O:O,'ON Data'!$D:$D,$A$4,'ON Data'!$E:$E,8),SUMIFS('ON Data'!O:O,'ON Data'!$E:$E,8))</f>
        <v>0</v>
      </c>
      <c r="G17" s="389">
        <f xml:space="preserve">
IF($A$4&lt;=12,SUMIFS('ON Data'!P:P,'ON Data'!$D:$D,$A$4,'ON Data'!$E:$E,8),SUMIFS('ON Data'!P:P,'ON Data'!$E:$E,8))</f>
        <v>0</v>
      </c>
      <c r="H17" s="389">
        <f xml:space="preserve">
IF($A$4&lt;=12,SUMIFS('ON Data'!Q:Q,'ON Data'!$D:$D,$A$4,'ON Data'!$E:$E,8),SUMIFS('ON Data'!Q:Q,'ON Data'!$E:$E,8))</f>
        <v>0</v>
      </c>
      <c r="I17" s="389">
        <f xml:space="preserve">
IF($A$4&lt;=12,SUMIFS('ON Data'!R:R,'ON Data'!$D:$D,$A$4,'ON Data'!$E:$E,8),SUMIFS('ON Data'!R:R,'ON Data'!$E:$E,8))</f>
        <v>0</v>
      </c>
      <c r="J17" s="389">
        <f xml:space="preserve">
IF($A$4&lt;=12,SUMIFS('ON Data'!AO:AO,'ON Data'!$D:$D,$A$4,'ON Data'!$E:$E,8),SUMIFS('ON Data'!AO:AO,'ON Data'!$E:$E,8))</f>
        <v>0</v>
      </c>
      <c r="K17" s="389">
        <f xml:space="preserve">
IF($A$4&lt;=12,SUMIFS('ON Data'!AR:AR,'ON Data'!$D:$D,$A$4,'ON Data'!$E:$E,8),SUMIFS('ON Data'!AR:AR,'ON Data'!$E:$E,8))</f>
        <v>0</v>
      </c>
      <c r="L17" s="686">
        <f xml:space="preserve">
IF($A$4&lt;=12,SUMIFS('ON Data'!AW:AW,'ON Data'!$D:$D,$A$4,'ON Data'!$E:$E,8),SUMIFS('ON Data'!AW:AW,'ON Data'!$E:$E,8))</f>
        <v>0</v>
      </c>
      <c r="M17" s="695"/>
    </row>
    <row r="18" spans="1:13" x14ac:dyDescent="0.3">
      <c r="A18" s="372" t="s">
        <v>210</v>
      </c>
      <c r="B18" s="387">
        <f xml:space="preserve">
B19-B16-B17</f>
        <v>1890984</v>
      </c>
      <c r="C18" s="388">
        <f t="shared" ref="C18:E18" si="0" xml:space="preserve">
C19-C16-C17</f>
        <v>0</v>
      </c>
      <c r="D18" s="389">
        <f t="shared" si="0"/>
        <v>36779</v>
      </c>
      <c r="E18" s="389">
        <f t="shared" si="0"/>
        <v>451775</v>
      </c>
      <c r="F18" s="389">
        <f t="shared" ref="F18:I18" si="1" xml:space="preserve">
F19-F16-F17</f>
        <v>0</v>
      </c>
      <c r="G18" s="389">
        <f t="shared" si="1"/>
        <v>376337</v>
      </c>
      <c r="H18" s="389">
        <f t="shared" si="1"/>
        <v>575149</v>
      </c>
      <c r="I18" s="389">
        <f t="shared" si="1"/>
        <v>329648</v>
      </c>
      <c r="J18" s="389">
        <f t="shared" ref="J18:L18" si="2" xml:space="preserve">
J19-J16-J17</f>
        <v>56034</v>
      </c>
      <c r="K18" s="389">
        <f t="shared" si="2"/>
        <v>45444</v>
      </c>
      <c r="L18" s="686">
        <f t="shared" si="2"/>
        <v>19818</v>
      </c>
      <c r="M18" s="695"/>
    </row>
    <row r="19" spans="1:13" ht="15" thickBot="1" x14ac:dyDescent="0.35">
      <c r="A19" s="373" t="s">
        <v>211</v>
      </c>
      <c r="B19" s="398">
        <f xml:space="preserve">
IF($A$4&lt;=12,SUMIFS('ON Data'!F:F,'ON Data'!$D:$D,$A$4,'ON Data'!$E:$E,9),SUMIFS('ON Data'!F:F,'ON Data'!$E:$E,9))</f>
        <v>1890984</v>
      </c>
      <c r="C19" s="399">
        <f xml:space="preserve">
IF($A$4&lt;=12,SUMIFS('ON Data'!G:G,'ON Data'!$D:$D,$A$4,'ON Data'!$E:$E,9),SUMIFS('ON Data'!G:G,'ON Data'!$E:$E,9))</f>
        <v>0</v>
      </c>
      <c r="D19" s="400">
        <f xml:space="preserve">
IF($A$4&lt;=12,SUMIFS('ON Data'!J:J,'ON Data'!$D:$D,$A$4,'ON Data'!$E:$E,9),SUMIFS('ON Data'!J:J,'ON Data'!$E:$E,9))</f>
        <v>36779</v>
      </c>
      <c r="E19" s="400">
        <f xml:space="preserve">
IF($A$4&lt;=12,SUMIFS('ON Data'!K:K,'ON Data'!$D:$D,$A$4,'ON Data'!$E:$E,9),SUMIFS('ON Data'!K:K,'ON Data'!$E:$E,9))</f>
        <v>451775</v>
      </c>
      <c r="F19" s="400">
        <f xml:space="preserve">
IF($A$4&lt;=12,SUMIFS('ON Data'!O:O,'ON Data'!$D:$D,$A$4,'ON Data'!$E:$E,9),SUMIFS('ON Data'!O:O,'ON Data'!$E:$E,9))</f>
        <v>0</v>
      </c>
      <c r="G19" s="400">
        <f xml:space="preserve">
IF($A$4&lt;=12,SUMIFS('ON Data'!P:P,'ON Data'!$D:$D,$A$4,'ON Data'!$E:$E,9),SUMIFS('ON Data'!P:P,'ON Data'!$E:$E,9))</f>
        <v>376337</v>
      </c>
      <c r="H19" s="400">
        <f xml:space="preserve">
IF($A$4&lt;=12,SUMIFS('ON Data'!Q:Q,'ON Data'!$D:$D,$A$4,'ON Data'!$E:$E,9),SUMIFS('ON Data'!Q:Q,'ON Data'!$E:$E,9))</f>
        <v>575149</v>
      </c>
      <c r="I19" s="400">
        <f xml:space="preserve">
IF($A$4&lt;=12,SUMIFS('ON Data'!R:R,'ON Data'!$D:$D,$A$4,'ON Data'!$E:$E,9),SUMIFS('ON Data'!R:R,'ON Data'!$E:$E,9))</f>
        <v>329648</v>
      </c>
      <c r="J19" s="400">
        <f xml:space="preserve">
IF($A$4&lt;=12,SUMIFS('ON Data'!AO:AO,'ON Data'!$D:$D,$A$4,'ON Data'!$E:$E,9),SUMIFS('ON Data'!AO:AO,'ON Data'!$E:$E,9))</f>
        <v>56034</v>
      </c>
      <c r="K19" s="400">
        <f xml:space="preserve">
IF($A$4&lt;=12,SUMIFS('ON Data'!AR:AR,'ON Data'!$D:$D,$A$4,'ON Data'!$E:$E,9),SUMIFS('ON Data'!AR:AR,'ON Data'!$E:$E,9))</f>
        <v>45444</v>
      </c>
      <c r="L19" s="689">
        <f xml:space="preserve">
IF($A$4&lt;=12,SUMIFS('ON Data'!AW:AW,'ON Data'!$D:$D,$A$4,'ON Data'!$E:$E,9),SUMIFS('ON Data'!AW:AW,'ON Data'!$E:$E,9))</f>
        <v>19818</v>
      </c>
      <c r="M19" s="695"/>
    </row>
    <row r="20" spans="1:13" ht="15" collapsed="1" thickBot="1" x14ac:dyDescent="0.35">
      <c r="A20" s="374" t="s">
        <v>81</v>
      </c>
      <c r="B20" s="401">
        <f xml:space="preserve">
IF($A$4&lt;=12,SUMIFS('ON Data'!F:F,'ON Data'!$D:$D,$A$4,'ON Data'!$E:$E,6),SUMIFS('ON Data'!F:F,'ON Data'!$E:$E,6))</f>
        <v>31677327</v>
      </c>
      <c r="C20" s="402">
        <f xml:space="preserve">
IF($A$4&lt;=12,SUMIFS('ON Data'!G:G,'ON Data'!$D:$D,$A$4,'ON Data'!$E:$E,6),SUMIFS('ON Data'!G:G,'ON Data'!$E:$E,6))</f>
        <v>67200</v>
      </c>
      <c r="D20" s="403">
        <f xml:space="preserve">
IF($A$4&lt;=12,SUMIFS('ON Data'!J:J,'ON Data'!$D:$D,$A$4,'ON Data'!$E:$E,6),SUMIFS('ON Data'!J:J,'ON Data'!$E:$E,6))</f>
        <v>993133</v>
      </c>
      <c r="E20" s="403">
        <f xml:space="preserve">
IF($A$4&lt;=12,SUMIFS('ON Data'!K:K,'ON Data'!$D:$D,$A$4,'ON Data'!$E:$E,6),SUMIFS('ON Data'!K:K,'ON Data'!$E:$E,6))</f>
        <v>7607721</v>
      </c>
      <c r="F20" s="403">
        <f xml:space="preserve">
IF($A$4&lt;=12,SUMIFS('ON Data'!O:O,'ON Data'!$D:$D,$A$4,'ON Data'!$E:$E,6),SUMIFS('ON Data'!O:O,'ON Data'!$E:$E,6))</f>
        <v>92291</v>
      </c>
      <c r="G20" s="403">
        <f xml:space="preserve">
IF($A$4&lt;=12,SUMIFS('ON Data'!P:P,'ON Data'!$D:$D,$A$4,'ON Data'!$E:$E,6),SUMIFS('ON Data'!P:P,'ON Data'!$E:$E,6))</f>
        <v>5818192</v>
      </c>
      <c r="H20" s="403">
        <f xml:space="preserve">
IF($A$4&lt;=12,SUMIFS('ON Data'!Q:Q,'ON Data'!$D:$D,$A$4,'ON Data'!$E:$E,6),SUMIFS('ON Data'!Q:Q,'ON Data'!$E:$E,6))</f>
        <v>10027854</v>
      </c>
      <c r="I20" s="403">
        <f xml:space="preserve">
IF($A$4&lt;=12,SUMIFS('ON Data'!R:R,'ON Data'!$D:$D,$A$4,'ON Data'!$E:$E,6),SUMIFS('ON Data'!R:R,'ON Data'!$E:$E,6))</f>
        <v>5195374</v>
      </c>
      <c r="J20" s="403">
        <f xml:space="preserve">
IF($A$4&lt;=12,SUMIFS('ON Data'!AO:AO,'ON Data'!$D:$D,$A$4,'ON Data'!$E:$E,6),SUMIFS('ON Data'!AO:AO,'ON Data'!$E:$E,6))</f>
        <v>839253</v>
      </c>
      <c r="K20" s="403">
        <f xml:space="preserve">
IF($A$4&lt;=12,SUMIFS('ON Data'!AR:AR,'ON Data'!$D:$D,$A$4,'ON Data'!$E:$E,6),SUMIFS('ON Data'!AR:AR,'ON Data'!$E:$E,6))</f>
        <v>701207</v>
      </c>
      <c r="L20" s="690">
        <f xml:space="preserve">
IF($A$4&lt;=12,SUMIFS('ON Data'!AW:AW,'ON Data'!$D:$D,$A$4,'ON Data'!$E:$E,6),SUMIFS('ON Data'!AW:AW,'ON Data'!$E:$E,6))</f>
        <v>335102</v>
      </c>
      <c r="M20" s="695"/>
    </row>
    <row r="21" spans="1:13" ht="15" hidden="1" outlineLevel="1" thickBot="1" x14ac:dyDescent="0.35">
      <c r="A21" s="367" t="s">
        <v>118</v>
      </c>
      <c r="B21" s="387">
        <f xml:space="preserve">
IF($A$4&lt;=12,SUMIFS('ON Data'!F:F,'ON Data'!$D:$D,$A$4,'ON Data'!$E:$E,12),SUMIFS('ON Data'!F:F,'ON Data'!$E:$E,12))</f>
        <v>0</v>
      </c>
      <c r="C21" s="388">
        <f xml:space="preserve">
IF($A$4&lt;=12,SUMIFS('ON Data'!G:G,'ON Data'!$D:$D,$A$4,'ON Data'!$E:$E,12),SUMIFS('ON Data'!G:G,'ON Data'!$E:$E,12))</f>
        <v>0</v>
      </c>
      <c r="D21" s="389">
        <f xml:space="preserve">
IF($A$4&lt;=12,SUMIFS('ON Data'!J:J,'ON Data'!$D:$D,$A$4,'ON Data'!$E:$E,12),SUMIFS('ON Data'!J:J,'ON Data'!$E:$E,12))</f>
        <v>0</v>
      </c>
      <c r="E21" s="389">
        <f xml:space="preserve">
IF($A$4&lt;=12,SUMIFS('ON Data'!K:K,'ON Data'!$D:$D,$A$4,'ON Data'!$E:$E,12),SUMIFS('ON Data'!K:K,'ON Data'!$E:$E,12))</f>
        <v>0</v>
      </c>
      <c r="F21" s="389">
        <f xml:space="preserve">
IF($A$4&lt;=12,SUMIFS('ON Data'!O:O,'ON Data'!$D:$D,$A$4,'ON Data'!$E:$E,12),SUMIFS('ON Data'!O:O,'ON Data'!$E:$E,12))</f>
        <v>0</v>
      </c>
      <c r="G21" s="389">
        <f xml:space="preserve">
IF($A$4&lt;=12,SUMIFS('ON Data'!P:P,'ON Data'!$D:$D,$A$4,'ON Data'!$E:$E,12),SUMIFS('ON Data'!P:P,'ON Data'!$E:$E,12))</f>
        <v>0</v>
      </c>
      <c r="H21" s="389">
        <f xml:space="preserve">
IF($A$4&lt;=12,SUMIFS('ON Data'!Q:Q,'ON Data'!$D:$D,$A$4,'ON Data'!$E:$E,12),SUMIFS('ON Data'!Q:Q,'ON Data'!$E:$E,12))</f>
        <v>0</v>
      </c>
      <c r="I21" s="389">
        <f xml:space="preserve">
IF($A$4&lt;=12,SUMIFS('ON Data'!R:R,'ON Data'!$D:$D,$A$4,'ON Data'!$E:$E,12),SUMIFS('ON Data'!R:R,'ON Data'!$E:$E,12))</f>
        <v>0</v>
      </c>
      <c r="J21" s="390">
        <f xml:space="preserve">
IF($A$4&lt;=12,SUMIFS('ON Data'!AO:AO,'ON Data'!$D:$D,$A$4,'ON Data'!$E:$E,12),SUMIFS('ON Data'!AO:AO,'ON Data'!$E:$E,12))</f>
        <v>0</v>
      </c>
      <c r="M21" s="695"/>
    </row>
    <row r="22" spans="1:13" ht="15" hidden="1" outlineLevel="1" thickBot="1" x14ac:dyDescent="0.35">
      <c r="A22" s="367" t="s">
        <v>83</v>
      </c>
      <c r="B22" s="446" t="str">
        <f xml:space="preserve">
IF(OR(B21="",B21=0),"",B20/B21)</f>
        <v/>
      </c>
      <c r="C22" s="447" t="str">
        <f t="shared" ref="C22:E22" si="3" xml:space="preserve">
IF(OR(C21="",C21=0),"",C20/C21)</f>
        <v/>
      </c>
      <c r="D22" s="448" t="str">
        <f t="shared" si="3"/>
        <v/>
      </c>
      <c r="E22" s="448" t="str">
        <f t="shared" si="3"/>
        <v/>
      </c>
      <c r="F22" s="448" t="str">
        <f t="shared" ref="F22:J22" si="4" xml:space="preserve">
IF(OR(F21="",F21=0),"",F20/F21)</f>
        <v/>
      </c>
      <c r="G22" s="448" t="str">
        <f t="shared" si="4"/>
        <v/>
      </c>
      <c r="H22" s="448" t="str">
        <f t="shared" si="4"/>
        <v/>
      </c>
      <c r="I22" s="448" t="str">
        <f t="shared" si="4"/>
        <v/>
      </c>
      <c r="J22" s="449" t="str">
        <f t="shared" si="4"/>
        <v/>
      </c>
      <c r="M22" s="695"/>
    </row>
    <row r="23" spans="1:13" ht="15" hidden="1" outlineLevel="1" thickBot="1" x14ac:dyDescent="0.35">
      <c r="A23" s="375" t="s">
        <v>56</v>
      </c>
      <c r="B23" s="391">
        <f xml:space="preserve">
IF(B21="","",B20-B21)</f>
        <v>31677327</v>
      </c>
      <c r="C23" s="392">
        <f t="shared" ref="C23:E23" si="5" xml:space="preserve">
IF(C21="","",C20-C21)</f>
        <v>67200</v>
      </c>
      <c r="D23" s="393">
        <f t="shared" si="5"/>
        <v>993133</v>
      </c>
      <c r="E23" s="393">
        <f t="shared" si="5"/>
        <v>7607721</v>
      </c>
      <c r="F23" s="393">
        <f t="shared" ref="F23:J23" si="6" xml:space="preserve">
IF(F21="","",F20-F21)</f>
        <v>92291</v>
      </c>
      <c r="G23" s="393">
        <f t="shared" si="6"/>
        <v>5818192</v>
      </c>
      <c r="H23" s="393">
        <f t="shared" si="6"/>
        <v>10027854</v>
      </c>
      <c r="I23" s="393">
        <f t="shared" si="6"/>
        <v>5195374</v>
      </c>
      <c r="J23" s="394">
        <f t="shared" si="6"/>
        <v>839253</v>
      </c>
      <c r="M23" s="695"/>
    </row>
    <row r="24" spans="1:13" x14ac:dyDescent="0.3">
      <c r="A24" s="369" t="s">
        <v>212</v>
      </c>
      <c r="B24" s="418" t="s">
        <v>3</v>
      </c>
      <c r="C24" s="696" t="s">
        <v>223</v>
      </c>
      <c r="D24" s="666"/>
      <c r="E24" s="667"/>
      <c r="F24" s="668" t="s">
        <v>224</v>
      </c>
      <c r="G24" s="669"/>
      <c r="H24" s="669"/>
      <c r="I24" s="669"/>
      <c r="J24" s="669"/>
      <c r="K24" s="669"/>
      <c r="L24" s="691" t="s">
        <v>225</v>
      </c>
      <c r="M24" s="695"/>
    </row>
    <row r="25" spans="1:13" x14ac:dyDescent="0.3">
      <c r="A25" s="370" t="s">
        <v>81</v>
      </c>
      <c r="B25" s="387">
        <f xml:space="preserve">
SUM(C25:L25)</f>
        <v>214571</v>
      </c>
      <c r="C25" s="697">
        <f xml:space="preserve">
IF($A$4&lt;=12,SUMIFS('ON Data'!J:J,'ON Data'!$D:$D,$A$4,'ON Data'!$E:$E,10),SUMIFS('ON Data'!J:J,'ON Data'!$E:$E,10))</f>
        <v>18100</v>
      </c>
      <c r="D25" s="670"/>
      <c r="E25" s="671"/>
      <c r="F25" s="672">
        <f xml:space="preserve">
IF($A$4&lt;=12,SUMIFS('ON Data'!O:O,'ON Data'!$D:$D,$A$4,'ON Data'!$E:$E,10),SUMIFS('ON Data'!O:O,'ON Data'!$E:$E,10))</f>
        <v>196471</v>
      </c>
      <c r="G25" s="671"/>
      <c r="H25" s="671"/>
      <c r="I25" s="671"/>
      <c r="J25" s="671"/>
      <c r="K25" s="671"/>
      <c r="L25" s="692">
        <f xml:space="preserve">
IF($A$4&lt;=12,SUMIFS('ON Data'!AW:AW,'ON Data'!$D:$D,$A$4,'ON Data'!$E:$E,10),SUMIFS('ON Data'!AW:AW,'ON Data'!$E:$E,10))</f>
        <v>0</v>
      </c>
      <c r="M25" s="695"/>
    </row>
    <row r="26" spans="1:13" x14ac:dyDescent="0.3">
      <c r="A26" s="376" t="s">
        <v>222</v>
      </c>
      <c r="B26" s="398">
        <f xml:space="preserve">
SUM(C26:L26)</f>
        <v>152610.68702290076</v>
      </c>
      <c r="C26" s="697">
        <f xml:space="preserve">
IF($A$4&lt;=12,SUMIFS('ON Data'!J:J,'ON Data'!$D:$D,$A$4,'ON Data'!$E:$E,11),SUMIFS('ON Data'!J:J,'ON Data'!$E:$E,11))</f>
        <v>20610.687022900773</v>
      </c>
      <c r="D26" s="670"/>
      <c r="E26" s="671"/>
      <c r="F26" s="673">
        <f xml:space="preserve">
IF($A$4&lt;=12,SUMIFS('ON Data'!O:O,'ON Data'!$D:$D,$A$4,'ON Data'!$E:$E,11),SUMIFS('ON Data'!O:O,'ON Data'!$E:$E,11))</f>
        <v>132000</v>
      </c>
      <c r="G26" s="674"/>
      <c r="H26" s="674"/>
      <c r="I26" s="674"/>
      <c r="J26" s="674"/>
      <c r="K26" s="674"/>
      <c r="L26" s="692">
        <f xml:space="preserve">
IF($A$4&lt;=12,SUMIFS('ON Data'!AW:AW,'ON Data'!$D:$D,$A$4,'ON Data'!$E:$E,11),SUMIFS('ON Data'!AW:AW,'ON Data'!$E:$E,11))</f>
        <v>0</v>
      </c>
      <c r="M26" s="695"/>
    </row>
    <row r="27" spans="1:13" x14ac:dyDescent="0.3">
      <c r="A27" s="376" t="s">
        <v>83</v>
      </c>
      <c r="B27" s="419">
        <f xml:space="preserve">
IF(B26=0,0,B25/B26)</f>
        <v>1.4060024509803921</v>
      </c>
      <c r="C27" s="698">
        <f xml:space="preserve">
IF(C26=0,0,C25/C26)</f>
        <v>0.87818518518518474</v>
      </c>
      <c r="D27" s="675"/>
      <c r="E27" s="671"/>
      <c r="F27" s="676">
        <f xml:space="preserve">
IF(F26=0,0,F25/F26)</f>
        <v>1.4884166666666667</v>
      </c>
      <c r="G27" s="671"/>
      <c r="H27" s="671"/>
      <c r="I27" s="671"/>
      <c r="J27" s="671"/>
      <c r="K27" s="671"/>
      <c r="L27" s="693">
        <f xml:space="preserve">
IF(L26=0,0,L25/L26)</f>
        <v>0</v>
      </c>
      <c r="M27" s="695"/>
    </row>
    <row r="28" spans="1:13" ht="15" thickBot="1" x14ac:dyDescent="0.35">
      <c r="A28" s="376" t="s">
        <v>221</v>
      </c>
      <c r="B28" s="398">
        <f xml:space="preserve">
SUM(C28:L28)</f>
        <v>-61960.312977099224</v>
      </c>
      <c r="C28" s="699">
        <f xml:space="preserve">
C26-C25</f>
        <v>2510.6870229007727</v>
      </c>
      <c r="D28" s="677"/>
      <c r="E28" s="678"/>
      <c r="F28" s="679">
        <f xml:space="preserve">
F26-F25</f>
        <v>-64471</v>
      </c>
      <c r="G28" s="678"/>
      <c r="H28" s="678"/>
      <c r="I28" s="678"/>
      <c r="J28" s="678"/>
      <c r="K28" s="678"/>
      <c r="L28" s="694">
        <f xml:space="preserve">
L26-L25</f>
        <v>0</v>
      </c>
      <c r="M28" s="695"/>
    </row>
    <row r="29" spans="1:13" x14ac:dyDescent="0.3">
      <c r="A29" s="377"/>
      <c r="B29" s="377"/>
      <c r="C29" s="378"/>
      <c r="D29" s="378"/>
      <c r="E29" s="378"/>
      <c r="F29" s="378"/>
      <c r="G29" s="378"/>
      <c r="H29" s="378"/>
      <c r="I29" s="378"/>
      <c r="J29" s="377"/>
    </row>
    <row r="30" spans="1:13" x14ac:dyDescent="0.3">
      <c r="A30" s="210" t="s">
        <v>177</v>
      </c>
      <c r="B30" s="238"/>
      <c r="C30" s="238"/>
      <c r="D30" s="238"/>
      <c r="E30" s="238"/>
      <c r="F30" s="238"/>
      <c r="G30" s="238"/>
      <c r="H30" s="238"/>
      <c r="I30" s="238"/>
      <c r="J30" s="259"/>
    </row>
    <row r="31" spans="1:13" x14ac:dyDescent="0.3">
      <c r="A31" s="211" t="s">
        <v>219</v>
      </c>
      <c r="B31" s="238"/>
      <c r="C31" s="238"/>
      <c r="D31" s="238"/>
      <c r="E31" s="238"/>
      <c r="F31" s="238"/>
      <c r="G31" s="238"/>
      <c r="H31" s="238"/>
      <c r="I31" s="238"/>
      <c r="J31" s="259"/>
    </row>
    <row r="32" spans="1:13" ht="14.4" customHeight="1" x14ac:dyDescent="0.3">
      <c r="A32" s="415" t="s">
        <v>216</v>
      </c>
      <c r="B32" s="416"/>
      <c r="C32" s="416"/>
      <c r="D32" s="416"/>
      <c r="E32" s="416"/>
      <c r="F32" s="416"/>
      <c r="G32" s="416"/>
      <c r="H32" s="416"/>
      <c r="I32" s="416"/>
    </row>
    <row r="33" spans="1:1" x14ac:dyDescent="0.3">
      <c r="A33" s="417" t="s">
        <v>252</v>
      </c>
    </row>
    <row r="34" spans="1:1" x14ac:dyDescent="0.3">
      <c r="A34" s="417" t="s">
        <v>253</v>
      </c>
    </row>
    <row r="35" spans="1:1" x14ac:dyDescent="0.3">
      <c r="A35" s="417" t="s">
        <v>254</v>
      </c>
    </row>
    <row r="36" spans="1:1" x14ac:dyDescent="0.3">
      <c r="A36" s="417" t="s">
        <v>226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25" priority="8" operator="greaterThan">
      <formula>1</formula>
    </cfRule>
  </conditionalFormatting>
  <conditionalFormatting sqref="C28">
    <cfRule type="cellIs" dxfId="24" priority="7" operator="lessThan">
      <formula>0</formula>
    </cfRule>
  </conditionalFormatting>
  <conditionalFormatting sqref="B22:J22">
    <cfRule type="cellIs" dxfId="23" priority="6" operator="greaterThan">
      <formula>1</formula>
    </cfRule>
  </conditionalFormatting>
  <conditionalFormatting sqref="B23:J23">
    <cfRule type="cellIs" dxfId="22" priority="5" operator="greaterThan">
      <formula>0</formula>
    </cfRule>
  </conditionalFormatting>
  <conditionalFormatting sqref="L27">
    <cfRule type="cellIs" dxfId="21" priority="4" operator="greaterThan">
      <formula>1</formula>
    </cfRule>
  </conditionalFormatting>
  <conditionalFormatting sqref="L28">
    <cfRule type="cellIs" dxfId="20" priority="3" operator="lessThan">
      <formula>0</formula>
    </cfRule>
  </conditionalFormatting>
  <conditionalFormatting sqref="F28">
    <cfRule type="cellIs" dxfId="19" priority="1" operator="lessThan">
      <formula>0</formula>
    </cfRule>
  </conditionalFormatting>
  <conditionalFormatting sqref="F27">
    <cfRule type="cellIs" dxfId="18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05"/>
  <sheetViews>
    <sheetView showGridLines="0" showRowColHeaders="0" workbookViewId="0"/>
  </sheetViews>
  <sheetFormatPr defaultRowHeight="14.4" x14ac:dyDescent="0.3"/>
  <cols>
    <col min="1" max="16384" width="8.88671875" style="356"/>
  </cols>
  <sheetData>
    <row r="1" spans="1:49" x14ac:dyDescent="0.3">
      <c r="A1" s="356" t="s">
        <v>3588</v>
      </c>
    </row>
    <row r="2" spans="1:49" x14ac:dyDescent="0.3">
      <c r="A2" s="360" t="s">
        <v>280</v>
      </c>
    </row>
    <row r="3" spans="1:49" x14ac:dyDescent="0.3">
      <c r="A3" s="356" t="s">
        <v>188</v>
      </c>
      <c r="B3" s="381">
        <v>2016</v>
      </c>
      <c r="D3" s="357">
        <f>MAX(D5:D1048576)</f>
        <v>12</v>
      </c>
      <c r="F3" s="357">
        <f>SUMIF($E5:$E1048576,"&lt;10",F5:F1048576)</f>
        <v>33680200.140000001</v>
      </c>
      <c r="G3" s="357">
        <f t="shared" ref="G3:AW3" si="0">SUMIF($E5:$E1048576,"&lt;10",G5:G1048576)</f>
        <v>67500</v>
      </c>
      <c r="H3" s="357">
        <f t="shared" si="0"/>
        <v>0</v>
      </c>
      <c r="I3" s="357">
        <f t="shared" si="0"/>
        <v>0</v>
      </c>
      <c r="J3" s="357">
        <f t="shared" si="0"/>
        <v>1033335</v>
      </c>
      <c r="K3" s="357">
        <f t="shared" si="0"/>
        <v>8073297.3499999968</v>
      </c>
      <c r="L3" s="357">
        <f t="shared" si="0"/>
        <v>0</v>
      </c>
      <c r="M3" s="357">
        <f t="shared" si="0"/>
        <v>0</v>
      </c>
      <c r="N3" s="357">
        <f t="shared" si="0"/>
        <v>0</v>
      </c>
      <c r="O3" s="357">
        <f t="shared" si="0"/>
        <v>93025</v>
      </c>
      <c r="P3" s="357">
        <f t="shared" si="0"/>
        <v>6222324.5300000003</v>
      </c>
      <c r="Q3" s="357">
        <f t="shared" si="0"/>
        <v>10639854.259999998</v>
      </c>
      <c r="R3" s="357">
        <f t="shared" si="0"/>
        <v>5542783.4999999981</v>
      </c>
      <c r="S3" s="357">
        <f t="shared" si="0"/>
        <v>0</v>
      </c>
      <c r="T3" s="357">
        <f t="shared" si="0"/>
        <v>0</v>
      </c>
      <c r="U3" s="357">
        <f t="shared" si="0"/>
        <v>0</v>
      </c>
      <c r="V3" s="357">
        <f t="shared" si="0"/>
        <v>0</v>
      </c>
      <c r="W3" s="357">
        <f t="shared" si="0"/>
        <v>0</v>
      </c>
      <c r="X3" s="357">
        <f t="shared" si="0"/>
        <v>0</v>
      </c>
      <c r="Y3" s="357">
        <f t="shared" si="0"/>
        <v>0</v>
      </c>
      <c r="Z3" s="357">
        <f t="shared" si="0"/>
        <v>0</v>
      </c>
      <c r="AA3" s="357">
        <f t="shared" si="0"/>
        <v>0</v>
      </c>
      <c r="AB3" s="357">
        <f t="shared" si="0"/>
        <v>0</v>
      </c>
      <c r="AC3" s="357">
        <f t="shared" si="0"/>
        <v>0</v>
      </c>
      <c r="AD3" s="357">
        <f t="shared" si="0"/>
        <v>0</v>
      </c>
      <c r="AE3" s="357">
        <f t="shared" si="0"/>
        <v>0</v>
      </c>
      <c r="AF3" s="357">
        <f t="shared" si="0"/>
        <v>0</v>
      </c>
      <c r="AG3" s="357">
        <f t="shared" si="0"/>
        <v>0</v>
      </c>
      <c r="AH3" s="357">
        <f t="shared" si="0"/>
        <v>0</v>
      </c>
      <c r="AI3" s="357">
        <f t="shared" si="0"/>
        <v>0</v>
      </c>
      <c r="AJ3" s="357">
        <f t="shared" si="0"/>
        <v>0</v>
      </c>
      <c r="AK3" s="357">
        <f t="shared" si="0"/>
        <v>0</v>
      </c>
      <c r="AL3" s="357">
        <f t="shared" si="0"/>
        <v>0</v>
      </c>
      <c r="AM3" s="357">
        <f t="shared" si="0"/>
        <v>0</v>
      </c>
      <c r="AN3" s="357">
        <f t="shared" si="0"/>
        <v>0</v>
      </c>
      <c r="AO3" s="357">
        <f t="shared" si="0"/>
        <v>900165.5</v>
      </c>
      <c r="AP3" s="357">
        <f t="shared" si="0"/>
        <v>0</v>
      </c>
      <c r="AQ3" s="357">
        <f t="shared" si="0"/>
        <v>0</v>
      </c>
      <c r="AR3" s="357">
        <f t="shared" si="0"/>
        <v>751079</v>
      </c>
      <c r="AS3" s="357">
        <f t="shared" si="0"/>
        <v>0</v>
      </c>
      <c r="AT3" s="357">
        <f t="shared" si="0"/>
        <v>0</v>
      </c>
      <c r="AU3" s="357">
        <f t="shared" si="0"/>
        <v>0</v>
      </c>
      <c r="AV3" s="357">
        <f t="shared" si="0"/>
        <v>0</v>
      </c>
      <c r="AW3" s="357">
        <f t="shared" si="0"/>
        <v>356836</v>
      </c>
    </row>
    <row r="4" spans="1:49" x14ac:dyDescent="0.3">
      <c r="A4" s="356" t="s">
        <v>189</v>
      </c>
      <c r="B4" s="381">
        <v>1</v>
      </c>
      <c r="C4" s="358" t="s">
        <v>5</v>
      </c>
      <c r="D4" s="359" t="s">
        <v>55</v>
      </c>
      <c r="E4" s="359" t="s">
        <v>187</v>
      </c>
      <c r="F4" s="359" t="s">
        <v>3</v>
      </c>
      <c r="G4" s="359">
        <v>0</v>
      </c>
      <c r="H4" s="359">
        <v>25</v>
      </c>
      <c r="I4" s="359">
        <v>99</v>
      </c>
      <c r="J4" s="359">
        <v>100</v>
      </c>
      <c r="K4" s="359">
        <v>101</v>
      </c>
      <c r="L4" s="359">
        <v>102</v>
      </c>
      <c r="M4" s="359">
        <v>103</v>
      </c>
      <c r="N4" s="359">
        <v>203</v>
      </c>
      <c r="O4" s="359">
        <v>302</v>
      </c>
      <c r="P4" s="359">
        <v>303</v>
      </c>
      <c r="Q4" s="359">
        <v>304</v>
      </c>
      <c r="R4" s="359">
        <v>305</v>
      </c>
      <c r="S4" s="359">
        <v>306</v>
      </c>
      <c r="T4" s="359">
        <v>407</v>
      </c>
      <c r="U4" s="359">
        <v>408</v>
      </c>
      <c r="V4" s="359">
        <v>409</v>
      </c>
      <c r="W4" s="359">
        <v>410</v>
      </c>
      <c r="X4" s="359">
        <v>415</v>
      </c>
      <c r="Y4" s="359">
        <v>416</v>
      </c>
      <c r="Z4" s="359">
        <v>418</v>
      </c>
      <c r="AA4" s="359">
        <v>419</v>
      </c>
      <c r="AB4" s="359">
        <v>420</v>
      </c>
      <c r="AC4" s="359">
        <v>421</v>
      </c>
      <c r="AD4" s="359">
        <v>520</v>
      </c>
      <c r="AE4" s="359">
        <v>521</v>
      </c>
      <c r="AF4" s="359">
        <v>522</v>
      </c>
      <c r="AG4" s="359">
        <v>523</v>
      </c>
      <c r="AH4" s="359">
        <v>524</v>
      </c>
      <c r="AI4" s="359">
        <v>525</v>
      </c>
      <c r="AJ4" s="359">
        <v>526</v>
      </c>
      <c r="AK4" s="359">
        <v>527</v>
      </c>
      <c r="AL4" s="359">
        <v>528</v>
      </c>
      <c r="AM4" s="359">
        <v>629</v>
      </c>
      <c r="AN4" s="359">
        <v>630</v>
      </c>
      <c r="AO4" s="359">
        <v>636</v>
      </c>
      <c r="AP4" s="359">
        <v>637</v>
      </c>
      <c r="AQ4" s="359">
        <v>640</v>
      </c>
      <c r="AR4" s="359">
        <v>642</v>
      </c>
      <c r="AS4" s="359">
        <v>743</v>
      </c>
      <c r="AT4" s="359">
        <v>745</v>
      </c>
      <c r="AU4" s="359">
        <v>746</v>
      </c>
      <c r="AV4" s="359">
        <v>747</v>
      </c>
      <c r="AW4" s="359">
        <v>930</v>
      </c>
    </row>
    <row r="5" spans="1:49" x14ac:dyDescent="0.3">
      <c r="A5" s="356" t="s">
        <v>190</v>
      </c>
      <c r="B5" s="381">
        <v>2</v>
      </c>
      <c r="C5" s="356">
        <v>59</v>
      </c>
      <c r="D5" s="356">
        <v>1</v>
      </c>
      <c r="E5" s="356">
        <v>1</v>
      </c>
      <c r="F5" s="356">
        <v>55.15</v>
      </c>
      <c r="G5" s="356">
        <v>0</v>
      </c>
      <c r="H5" s="356">
        <v>0</v>
      </c>
      <c r="I5" s="356">
        <v>0</v>
      </c>
      <c r="J5" s="356">
        <v>1.8</v>
      </c>
      <c r="K5" s="356">
        <v>6.55</v>
      </c>
      <c r="L5" s="356">
        <v>0</v>
      </c>
      <c r="M5" s="356">
        <v>0</v>
      </c>
      <c r="N5" s="356">
        <v>0</v>
      </c>
      <c r="O5" s="356">
        <v>0</v>
      </c>
      <c r="P5" s="356">
        <v>10.050000000000001</v>
      </c>
      <c r="Q5" s="356">
        <v>21.5</v>
      </c>
      <c r="R5" s="356">
        <v>10.25</v>
      </c>
      <c r="S5" s="356">
        <v>0</v>
      </c>
      <c r="T5" s="356">
        <v>0</v>
      </c>
      <c r="U5" s="356">
        <v>0</v>
      </c>
      <c r="V5" s="356">
        <v>0</v>
      </c>
      <c r="W5" s="356">
        <v>0</v>
      </c>
      <c r="X5" s="356">
        <v>0</v>
      </c>
      <c r="Y5" s="356">
        <v>0</v>
      </c>
      <c r="Z5" s="356">
        <v>0</v>
      </c>
      <c r="AA5" s="356">
        <v>0</v>
      </c>
      <c r="AB5" s="356">
        <v>0</v>
      </c>
      <c r="AC5" s="356">
        <v>0</v>
      </c>
      <c r="AD5" s="356">
        <v>0</v>
      </c>
      <c r="AE5" s="356">
        <v>0</v>
      </c>
      <c r="AF5" s="356">
        <v>0</v>
      </c>
      <c r="AG5" s="356">
        <v>0</v>
      </c>
      <c r="AH5" s="356">
        <v>0</v>
      </c>
      <c r="AI5" s="356">
        <v>0</v>
      </c>
      <c r="AJ5" s="356">
        <v>0</v>
      </c>
      <c r="AK5" s="356">
        <v>0</v>
      </c>
      <c r="AL5" s="356">
        <v>0</v>
      </c>
      <c r="AM5" s="356">
        <v>0</v>
      </c>
      <c r="AN5" s="356">
        <v>0</v>
      </c>
      <c r="AO5" s="356">
        <v>2</v>
      </c>
      <c r="AP5" s="356">
        <v>0</v>
      </c>
      <c r="AQ5" s="356">
        <v>0</v>
      </c>
      <c r="AR5" s="356">
        <v>2</v>
      </c>
      <c r="AS5" s="356">
        <v>0</v>
      </c>
      <c r="AT5" s="356">
        <v>0</v>
      </c>
      <c r="AU5" s="356">
        <v>0</v>
      </c>
      <c r="AV5" s="356">
        <v>0</v>
      </c>
      <c r="AW5" s="356">
        <v>1</v>
      </c>
    </row>
    <row r="6" spans="1:49" x14ac:dyDescent="0.3">
      <c r="A6" s="356" t="s">
        <v>191</v>
      </c>
      <c r="B6" s="381">
        <v>3</v>
      </c>
      <c r="C6" s="356">
        <v>59</v>
      </c>
      <c r="D6" s="356">
        <v>1</v>
      </c>
      <c r="E6" s="356">
        <v>2</v>
      </c>
      <c r="F6" s="356">
        <v>7384.53</v>
      </c>
      <c r="G6" s="356">
        <v>0</v>
      </c>
      <c r="H6" s="356">
        <v>0</v>
      </c>
      <c r="I6" s="356">
        <v>0</v>
      </c>
      <c r="J6" s="356">
        <v>283.5</v>
      </c>
      <c r="K6" s="356">
        <v>940.15</v>
      </c>
      <c r="L6" s="356">
        <v>0</v>
      </c>
      <c r="M6" s="356">
        <v>0</v>
      </c>
      <c r="N6" s="356">
        <v>0</v>
      </c>
      <c r="O6" s="356">
        <v>0</v>
      </c>
      <c r="P6" s="356">
        <v>1396.9</v>
      </c>
      <c r="Q6" s="356">
        <v>2630.73</v>
      </c>
      <c r="R6" s="356">
        <v>1397.5</v>
      </c>
      <c r="S6" s="356">
        <v>0</v>
      </c>
      <c r="T6" s="356">
        <v>0</v>
      </c>
      <c r="U6" s="356">
        <v>0</v>
      </c>
      <c r="V6" s="356">
        <v>0</v>
      </c>
      <c r="W6" s="356">
        <v>0</v>
      </c>
      <c r="X6" s="356">
        <v>0</v>
      </c>
      <c r="Y6" s="356">
        <v>0</v>
      </c>
      <c r="Z6" s="356">
        <v>0</v>
      </c>
      <c r="AA6" s="356">
        <v>0</v>
      </c>
      <c r="AB6" s="356">
        <v>0</v>
      </c>
      <c r="AC6" s="356">
        <v>0</v>
      </c>
      <c r="AD6" s="356">
        <v>0</v>
      </c>
      <c r="AE6" s="356">
        <v>0</v>
      </c>
      <c r="AF6" s="356">
        <v>0</v>
      </c>
      <c r="AG6" s="356">
        <v>0</v>
      </c>
      <c r="AH6" s="356">
        <v>0</v>
      </c>
      <c r="AI6" s="356">
        <v>0</v>
      </c>
      <c r="AJ6" s="356">
        <v>0</v>
      </c>
      <c r="AK6" s="356">
        <v>0</v>
      </c>
      <c r="AL6" s="356">
        <v>0</v>
      </c>
      <c r="AM6" s="356">
        <v>0</v>
      </c>
      <c r="AN6" s="356">
        <v>0</v>
      </c>
      <c r="AO6" s="356">
        <v>325.5</v>
      </c>
      <c r="AP6" s="356">
        <v>0</v>
      </c>
      <c r="AQ6" s="356">
        <v>0</v>
      </c>
      <c r="AR6" s="356">
        <v>242.25</v>
      </c>
      <c r="AS6" s="356">
        <v>0</v>
      </c>
      <c r="AT6" s="356">
        <v>0</v>
      </c>
      <c r="AU6" s="356">
        <v>0</v>
      </c>
      <c r="AV6" s="356">
        <v>0</v>
      </c>
      <c r="AW6" s="356">
        <v>168</v>
      </c>
    </row>
    <row r="7" spans="1:49" x14ac:dyDescent="0.3">
      <c r="A7" s="356" t="s">
        <v>192</v>
      </c>
      <c r="B7" s="381">
        <v>4</v>
      </c>
      <c r="C7" s="356">
        <v>59</v>
      </c>
      <c r="D7" s="356">
        <v>1</v>
      </c>
      <c r="E7" s="356">
        <v>3</v>
      </c>
      <c r="F7" s="356">
        <v>312.85000000000002</v>
      </c>
      <c r="G7" s="356">
        <v>0</v>
      </c>
      <c r="H7" s="356">
        <v>0</v>
      </c>
      <c r="I7" s="356">
        <v>0</v>
      </c>
      <c r="J7" s="356">
        <v>12</v>
      </c>
      <c r="K7" s="356">
        <v>29</v>
      </c>
      <c r="L7" s="356">
        <v>0</v>
      </c>
      <c r="M7" s="356">
        <v>0</v>
      </c>
      <c r="N7" s="356">
        <v>0</v>
      </c>
      <c r="O7" s="356">
        <v>0</v>
      </c>
      <c r="P7" s="356">
        <v>78</v>
      </c>
      <c r="Q7" s="356">
        <v>135.85</v>
      </c>
      <c r="R7" s="356">
        <v>58</v>
      </c>
      <c r="S7" s="356">
        <v>0</v>
      </c>
      <c r="T7" s="356">
        <v>0</v>
      </c>
      <c r="U7" s="356">
        <v>0</v>
      </c>
      <c r="V7" s="356">
        <v>0</v>
      </c>
      <c r="W7" s="356">
        <v>0</v>
      </c>
      <c r="X7" s="356">
        <v>0</v>
      </c>
      <c r="Y7" s="356">
        <v>0</v>
      </c>
      <c r="Z7" s="356">
        <v>0</v>
      </c>
      <c r="AA7" s="356">
        <v>0</v>
      </c>
      <c r="AB7" s="356">
        <v>0</v>
      </c>
      <c r="AC7" s="356">
        <v>0</v>
      </c>
      <c r="AD7" s="356">
        <v>0</v>
      </c>
      <c r="AE7" s="356">
        <v>0</v>
      </c>
      <c r="AF7" s="356">
        <v>0</v>
      </c>
      <c r="AG7" s="356">
        <v>0</v>
      </c>
      <c r="AH7" s="356">
        <v>0</v>
      </c>
      <c r="AI7" s="356">
        <v>0</v>
      </c>
      <c r="AJ7" s="356">
        <v>0</v>
      </c>
      <c r="AK7" s="356">
        <v>0</v>
      </c>
      <c r="AL7" s="356">
        <v>0</v>
      </c>
      <c r="AM7" s="356">
        <v>0</v>
      </c>
      <c r="AN7" s="356">
        <v>0</v>
      </c>
      <c r="AO7" s="356">
        <v>0</v>
      </c>
      <c r="AP7" s="356">
        <v>0</v>
      </c>
      <c r="AQ7" s="356">
        <v>0</v>
      </c>
      <c r="AR7" s="356">
        <v>0</v>
      </c>
      <c r="AS7" s="356">
        <v>0</v>
      </c>
      <c r="AT7" s="356">
        <v>0</v>
      </c>
      <c r="AU7" s="356">
        <v>0</v>
      </c>
      <c r="AV7" s="356">
        <v>0</v>
      </c>
      <c r="AW7" s="356">
        <v>0</v>
      </c>
    </row>
    <row r="8" spans="1:49" x14ac:dyDescent="0.3">
      <c r="A8" s="356" t="s">
        <v>193</v>
      </c>
      <c r="B8" s="381">
        <v>5</v>
      </c>
      <c r="C8" s="356">
        <v>59</v>
      </c>
      <c r="D8" s="356">
        <v>1</v>
      </c>
      <c r="E8" s="356">
        <v>4</v>
      </c>
      <c r="F8" s="356">
        <v>759.5</v>
      </c>
      <c r="G8" s="356">
        <v>0</v>
      </c>
      <c r="H8" s="356">
        <v>0</v>
      </c>
      <c r="I8" s="356">
        <v>0</v>
      </c>
      <c r="J8" s="356">
        <v>20</v>
      </c>
      <c r="K8" s="356">
        <v>85</v>
      </c>
      <c r="L8" s="356">
        <v>0</v>
      </c>
      <c r="M8" s="356">
        <v>0</v>
      </c>
      <c r="N8" s="356">
        <v>0</v>
      </c>
      <c r="O8" s="356">
        <v>0</v>
      </c>
      <c r="P8" s="356">
        <v>130</v>
      </c>
      <c r="Q8" s="356">
        <v>331</v>
      </c>
      <c r="R8" s="356">
        <v>168.5</v>
      </c>
      <c r="S8" s="356">
        <v>0</v>
      </c>
      <c r="T8" s="356">
        <v>0</v>
      </c>
      <c r="U8" s="356">
        <v>0</v>
      </c>
      <c r="V8" s="356">
        <v>0</v>
      </c>
      <c r="W8" s="356">
        <v>0</v>
      </c>
      <c r="X8" s="356">
        <v>0</v>
      </c>
      <c r="Y8" s="356">
        <v>0</v>
      </c>
      <c r="Z8" s="356">
        <v>0</v>
      </c>
      <c r="AA8" s="356">
        <v>0</v>
      </c>
      <c r="AB8" s="356">
        <v>0</v>
      </c>
      <c r="AC8" s="356">
        <v>0</v>
      </c>
      <c r="AD8" s="356">
        <v>0</v>
      </c>
      <c r="AE8" s="356">
        <v>0</v>
      </c>
      <c r="AF8" s="356">
        <v>0</v>
      </c>
      <c r="AG8" s="356">
        <v>0</v>
      </c>
      <c r="AH8" s="356">
        <v>0</v>
      </c>
      <c r="AI8" s="356">
        <v>0</v>
      </c>
      <c r="AJ8" s="356">
        <v>0</v>
      </c>
      <c r="AK8" s="356">
        <v>0</v>
      </c>
      <c r="AL8" s="356">
        <v>0</v>
      </c>
      <c r="AM8" s="356">
        <v>0</v>
      </c>
      <c r="AN8" s="356">
        <v>0</v>
      </c>
      <c r="AO8" s="356">
        <v>6</v>
      </c>
      <c r="AP8" s="356">
        <v>0</v>
      </c>
      <c r="AQ8" s="356">
        <v>0</v>
      </c>
      <c r="AR8" s="356">
        <v>19</v>
      </c>
      <c r="AS8" s="356">
        <v>0</v>
      </c>
      <c r="AT8" s="356">
        <v>0</v>
      </c>
      <c r="AU8" s="356">
        <v>0</v>
      </c>
      <c r="AV8" s="356">
        <v>0</v>
      </c>
      <c r="AW8" s="356">
        <v>0</v>
      </c>
    </row>
    <row r="9" spans="1:49" x14ac:dyDescent="0.3">
      <c r="A9" s="356" t="s">
        <v>194</v>
      </c>
      <c r="B9" s="381">
        <v>6</v>
      </c>
      <c r="C9" s="356">
        <v>59</v>
      </c>
      <c r="D9" s="356">
        <v>1</v>
      </c>
      <c r="E9" s="356">
        <v>5</v>
      </c>
      <c r="F9" s="356">
        <v>48</v>
      </c>
      <c r="G9" s="356">
        <v>48</v>
      </c>
      <c r="H9" s="356">
        <v>0</v>
      </c>
      <c r="I9" s="356">
        <v>0</v>
      </c>
      <c r="J9" s="356">
        <v>0</v>
      </c>
      <c r="K9" s="356">
        <v>0</v>
      </c>
      <c r="L9" s="356">
        <v>0</v>
      </c>
      <c r="M9" s="356">
        <v>0</v>
      </c>
      <c r="N9" s="356">
        <v>0</v>
      </c>
      <c r="O9" s="356">
        <v>0</v>
      </c>
      <c r="P9" s="356">
        <v>0</v>
      </c>
      <c r="Q9" s="356">
        <v>0</v>
      </c>
      <c r="R9" s="356">
        <v>0</v>
      </c>
      <c r="S9" s="356">
        <v>0</v>
      </c>
      <c r="T9" s="356">
        <v>0</v>
      </c>
      <c r="U9" s="356">
        <v>0</v>
      </c>
      <c r="V9" s="356">
        <v>0</v>
      </c>
      <c r="W9" s="356">
        <v>0</v>
      </c>
      <c r="X9" s="356">
        <v>0</v>
      </c>
      <c r="Y9" s="356">
        <v>0</v>
      </c>
      <c r="Z9" s="356">
        <v>0</v>
      </c>
      <c r="AA9" s="356">
        <v>0</v>
      </c>
      <c r="AB9" s="356">
        <v>0</v>
      </c>
      <c r="AC9" s="356">
        <v>0</v>
      </c>
      <c r="AD9" s="356">
        <v>0</v>
      </c>
      <c r="AE9" s="356">
        <v>0</v>
      </c>
      <c r="AF9" s="356">
        <v>0</v>
      </c>
      <c r="AG9" s="356">
        <v>0</v>
      </c>
      <c r="AH9" s="356">
        <v>0</v>
      </c>
      <c r="AI9" s="356">
        <v>0</v>
      </c>
      <c r="AJ9" s="356">
        <v>0</v>
      </c>
      <c r="AK9" s="356">
        <v>0</v>
      </c>
      <c r="AL9" s="356">
        <v>0</v>
      </c>
      <c r="AM9" s="356">
        <v>0</v>
      </c>
      <c r="AN9" s="356">
        <v>0</v>
      </c>
      <c r="AO9" s="356">
        <v>0</v>
      </c>
      <c r="AP9" s="356">
        <v>0</v>
      </c>
      <c r="AQ9" s="356">
        <v>0</v>
      </c>
      <c r="AR9" s="356">
        <v>0</v>
      </c>
      <c r="AS9" s="356">
        <v>0</v>
      </c>
      <c r="AT9" s="356">
        <v>0</v>
      </c>
      <c r="AU9" s="356">
        <v>0</v>
      </c>
      <c r="AV9" s="356">
        <v>0</v>
      </c>
      <c r="AW9" s="356">
        <v>0</v>
      </c>
    </row>
    <row r="10" spans="1:49" x14ac:dyDescent="0.3">
      <c r="A10" s="356" t="s">
        <v>195</v>
      </c>
      <c r="B10" s="381">
        <v>7</v>
      </c>
      <c r="C10" s="356">
        <v>59</v>
      </c>
      <c r="D10" s="356">
        <v>1</v>
      </c>
      <c r="E10" s="356">
        <v>6</v>
      </c>
      <c r="F10" s="356">
        <v>2346818</v>
      </c>
      <c r="G10" s="356">
        <v>9600</v>
      </c>
      <c r="H10" s="356">
        <v>0</v>
      </c>
      <c r="I10" s="356">
        <v>0</v>
      </c>
      <c r="J10" s="356">
        <v>79947</v>
      </c>
      <c r="K10" s="356">
        <v>549646</v>
      </c>
      <c r="L10" s="356">
        <v>0</v>
      </c>
      <c r="M10" s="356">
        <v>0</v>
      </c>
      <c r="N10" s="356">
        <v>0</v>
      </c>
      <c r="O10" s="356">
        <v>0</v>
      </c>
      <c r="P10" s="356">
        <v>349955</v>
      </c>
      <c r="Q10" s="356">
        <v>802865</v>
      </c>
      <c r="R10" s="356">
        <v>447347</v>
      </c>
      <c r="S10" s="356">
        <v>0</v>
      </c>
      <c r="T10" s="356">
        <v>0</v>
      </c>
      <c r="U10" s="356">
        <v>0</v>
      </c>
      <c r="V10" s="356">
        <v>0</v>
      </c>
      <c r="W10" s="356">
        <v>0</v>
      </c>
      <c r="X10" s="356">
        <v>0</v>
      </c>
      <c r="Y10" s="356">
        <v>0</v>
      </c>
      <c r="Z10" s="356">
        <v>0</v>
      </c>
      <c r="AA10" s="356">
        <v>0</v>
      </c>
      <c r="AB10" s="356">
        <v>0</v>
      </c>
      <c r="AC10" s="356">
        <v>0</v>
      </c>
      <c r="AD10" s="356">
        <v>0</v>
      </c>
      <c r="AE10" s="356">
        <v>0</v>
      </c>
      <c r="AF10" s="356">
        <v>0</v>
      </c>
      <c r="AG10" s="356">
        <v>0</v>
      </c>
      <c r="AH10" s="356">
        <v>0</v>
      </c>
      <c r="AI10" s="356">
        <v>0</v>
      </c>
      <c r="AJ10" s="356">
        <v>0</v>
      </c>
      <c r="AK10" s="356">
        <v>0</v>
      </c>
      <c r="AL10" s="356">
        <v>0</v>
      </c>
      <c r="AM10" s="356">
        <v>0</v>
      </c>
      <c r="AN10" s="356">
        <v>0</v>
      </c>
      <c r="AO10" s="356">
        <v>46732</v>
      </c>
      <c r="AP10" s="356">
        <v>0</v>
      </c>
      <c r="AQ10" s="356">
        <v>0</v>
      </c>
      <c r="AR10" s="356">
        <v>34536</v>
      </c>
      <c r="AS10" s="356">
        <v>0</v>
      </c>
      <c r="AT10" s="356">
        <v>0</v>
      </c>
      <c r="AU10" s="356">
        <v>0</v>
      </c>
      <c r="AV10" s="356">
        <v>0</v>
      </c>
      <c r="AW10" s="356">
        <v>26190</v>
      </c>
    </row>
    <row r="11" spans="1:49" x14ac:dyDescent="0.3">
      <c r="A11" s="356" t="s">
        <v>196</v>
      </c>
      <c r="B11" s="381">
        <v>8</v>
      </c>
      <c r="C11" s="356">
        <v>59</v>
      </c>
      <c r="D11" s="356">
        <v>1</v>
      </c>
      <c r="E11" s="356">
        <v>9</v>
      </c>
      <c r="F11" s="356">
        <v>55854</v>
      </c>
      <c r="G11" s="356">
        <v>0</v>
      </c>
      <c r="H11" s="356">
        <v>0</v>
      </c>
      <c r="I11" s="356">
        <v>0</v>
      </c>
      <c r="J11" s="356">
        <v>0</v>
      </c>
      <c r="K11" s="356">
        <v>0</v>
      </c>
      <c r="L11" s="356">
        <v>0</v>
      </c>
      <c r="M11" s="356">
        <v>0</v>
      </c>
      <c r="N11" s="356">
        <v>0</v>
      </c>
      <c r="O11" s="356">
        <v>0</v>
      </c>
      <c r="P11" s="356">
        <v>11536</v>
      </c>
      <c r="Q11" s="356">
        <v>28943</v>
      </c>
      <c r="R11" s="356">
        <v>15375</v>
      </c>
      <c r="S11" s="356">
        <v>0</v>
      </c>
      <c r="T11" s="356">
        <v>0</v>
      </c>
      <c r="U11" s="356">
        <v>0</v>
      </c>
      <c r="V11" s="356">
        <v>0</v>
      </c>
      <c r="W11" s="356">
        <v>0</v>
      </c>
      <c r="X11" s="356">
        <v>0</v>
      </c>
      <c r="Y11" s="356">
        <v>0</v>
      </c>
      <c r="Z11" s="356">
        <v>0</v>
      </c>
      <c r="AA11" s="356">
        <v>0</v>
      </c>
      <c r="AB11" s="356">
        <v>0</v>
      </c>
      <c r="AC11" s="356">
        <v>0</v>
      </c>
      <c r="AD11" s="356">
        <v>0</v>
      </c>
      <c r="AE11" s="356">
        <v>0</v>
      </c>
      <c r="AF11" s="356">
        <v>0</v>
      </c>
      <c r="AG11" s="356">
        <v>0</v>
      </c>
      <c r="AH11" s="356">
        <v>0</v>
      </c>
      <c r="AI11" s="356">
        <v>0</v>
      </c>
      <c r="AJ11" s="356">
        <v>0</v>
      </c>
      <c r="AK11" s="356">
        <v>0</v>
      </c>
      <c r="AL11" s="356">
        <v>0</v>
      </c>
      <c r="AM11" s="356">
        <v>0</v>
      </c>
      <c r="AN11" s="356">
        <v>0</v>
      </c>
      <c r="AO11" s="356">
        <v>0</v>
      </c>
      <c r="AP11" s="356">
        <v>0</v>
      </c>
      <c r="AQ11" s="356">
        <v>0</v>
      </c>
      <c r="AR11" s="356">
        <v>0</v>
      </c>
      <c r="AS11" s="356">
        <v>0</v>
      </c>
      <c r="AT11" s="356">
        <v>0</v>
      </c>
      <c r="AU11" s="356">
        <v>0</v>
      </c>
      <c r="AV11" s="356">
        <v>0</v>
      </c>
      <c r="AW11" s="356">
        <v>0</v>
      </c>
    </row>
    <row r="12" spans="1:49" x14ac:dyDescent="0.3">
      <c r="A12" s="356" t="s">
        <v>197</v>
      </c>
      <c r="B12" s="381">
        <v>9</v>
      </c>
      <c r="C12" s="356">
        <v>59</v>
      </c>
      <c r="D12" s="356">
        <v>1</v>
      </c>
      <c r="E12" s="356">
        <v>10</v>
      </c>
      <c r="F12" s="356">
        <v>10755</v>
      </c>
      <c r="G12" s="356">
        <v>0</v>
      </c>
      <c r="H12" s="356">
        <v>0</v>
      </c>
      <c r="I12" s="356">
        <v>0</v>
      </c>
      <c r="J12" s="356">
        <v>0</v>
      </c>
      <c r="K12" s="356">
        <v>0</v>
      </c>
      <c r="L12" s="356">
        <v>0</v>
      </c>
      <c r="M12" s="356">
        <v>0</v>
      </c>
      <c r="N12" s="356">
        <v>0</v>
      </c>
      <c r="O12" s="356">
        <v>10755</v>
      </c>
      <c r="P12" s="356">
        <v>0</v>
      </c>
      <c r="Q12" s="356">
        <v>0</v>
      </c>
      <c r="R12" s="356">
        <v>0</v>
      </c>
      <c r="S12" s="356">
        <v>0</v>
      </c>
      <c r="T12" s="356">
        <v>0</v>
      </c>
      <c r="U12" s="356">
        <v>0</v>
      </c>
      <c r="V12" s="356">
        <v>0</v>
      </c>
      <c r="W12" s="356">
        <v>0</v>
      </c>
      <c r="X12" s="356">
        <v>0</v>
      </c>
      <c r="Y12" s="356">
        <v>0</v>
      </c>
      <c r="Z12" s="356">
        <v>0</v>
      </c>
      <c r="AA12" s="356">
        <v>0</v>
      </c>
      <c r="AB12" s="356">
        <v>0</v>
      </c>
      <c r="AC12" s="356">
        <v>0</v>
      </c>
      <c r="AD12" s="356">
        <v>0</v>
      </c>
      <c r="AE12" s="356">
        <v>0</v>
      </c>
      <c r="AF12" s="356">
        <v>0</v>
      </c>
      <c r="AG12" s="356">
        <v>0</v>
      </c>
      <c r="AH12" s="356">
        <v>0</v>
      </c>
      <c r="AI12" s="356">
        <v>0</v>
      </c>
      <c r="AJ12" s="356">
        <v>0</v>
      </c>
      <c r="AK12" s="356">
        <v>0</v>
      </c>
      <c r="AL12" s="356">
        <v>0</v>
      </c>
      <c r="AM12" s="356">
        <v>0</v>
      </c>
      <c r="AN12" s="356">
        <v>0</v>
      </c>
      <c r="AO12" s="356">
        <v>0</v>
      </c>
      <c r="AP12" s="356">
        <v>0</v>
      </c>
      <c r="AQ12" s="356">
        <v>0</v>
      </c>
      <c r="AR12" s="356">
        <v>0</v>
      </c>
      <c r="AS12" s="356">
        <v>0</v>
      </c>
      <c r="AT12" s="356">
        <v>0</v>
      </c>
      <c r="AU12" s="356">
        <v>0</v>
      </c>
      <c r="AV12" s="356">
        <v>0</v>
      </c>
      <c r="AW12" s="356">
        <v>0</v>
      </c>
    </row>
    <row r="13" spans="1:49" x14ac:dyDescent="0.3">
      <c r="A13" s="356" t="s">
        <v>198</v>
      </c>
      <c r="B13" s="381">
        <v>10</v>
      </c>
      <c r="C13" s="356">
        <v>59</v>
      </c>
      <c r="D13" s="356">
        <v>1</v>
      </c>
      <c r="E13" s="356">
        <v>11</v>
      </c>
      <c r="F13" s="356">
        <v>12717.557251908398</v>
      </c>
      <c r="G13" s="356">
        <v>0</v>
      </c>
      <c r="H13" s="356">
        <v>0</v>
      </c>
      <c r="I13" s="356">
        <v>0</v>
      </c>
      <c r="J13" s="356">
        <v>1717.5572519083971</v>
      </c>
      <c r="K13" s="356">
        <v>0</v>
      </c>
      <c r="L13" s="356">
        <v>0</v>
      </c>
      <c r="M13" s="356">
        <v>0</v>
      </c>
      <c r="N13" s="356">
        <v>0</v>
      </c>
      <c r="O13" s="356">
        <v>11000</v>
      </c>
      <c r="P13" s="356">
        <v>0</v>
      </c>
      <c r="Q13" s="356">
        <v>0</v>
      </c>
      <c r="R13" s="356">
        <v>0</v>
      </c>
      <c r="S13" s="356">
        <v>0</v>
      </c>
      <c r="T13" s="356">
        <v>0</v>
      </c>
      <c r="U13" s="356">
        <v>0</v>
      </c>
      <c r="V13" s="356">
        <v>0</v>
      </c>
      <c r="W13" s="356">
        <v>0</v>
      </c>
      <c r="X13" s="356">
        <v>0</v>
      </c>
      <c r="Y13" s="356">
        <v>0</v>
      </c>
      <c r="Z13" s="356">
        <v>0</v>
      </c>
      <c r="AA13" s="356">
        <v>0</v>
      </c>
      <c r="AB13" s="356">
        <v>0</v>
      </c>
      <c r="AC13" s="356">
        <v>0</v>
      </c>
      <c r="AD13" s="356">
        <v>0</v>
      </c>
      <c r="AE13" s="356">
        <v>0</v>
      </c>
      <c r="AF13" s="356">
        <v>0</v>
      </c>
      <c r="AG13" s="356">
        <v>0</v>
      </c>
      <c r="AH13" s="356">
        <v>0</v>
      </c>
      <c r="AI13" s="356">
        <v>0</v>
      </c>
      <c r="AJ13" s="356">
        <v>0</v>
      </c>
      <c r="AK13" s="356">
        <v>0</v>
      </c>
      <c r="AL13" s="356">
        <v>0</v>
      </c>
      <c r="AM13" s="356">
        <v>0</v>
      </c>
      <c r="AN13" s="356">
        <v>0</v>
      </c>
      <c r="AO13" s="356">
        <v>0</v>
      </c>
      <c r="AP13" s="356">
        <v>0</v>
      </c>
      <c r="AQ13" s="356">
        <v>0</v>
      </c>
      <c r="AR13" s="356">
        <v>0</v>
      </c>
      <c r="AS13" s="356">
        <v>0</v>
      </c>
      <c r="AT13" s="356">
        <v>0</v>
      </c>
      <c r="AU13" s="356">
        <v>0</v>
      </c>
      <c r="AV13" s="356">
        <v>0</v>
      </c>
      <c r="AW13" s="356">
        <v>0</v>
      </c>
    </row>
    <row r="14" spans="1:49" x14ac:dyDescent="0.3">
      <c r="A14" s="356" t="s">
        <v>199</v>
      </c>
      <c r="B14" s="381">
        <v>11</v>
      </c>
      <c r="C14" s="356">
        <v>59</v>
      </c>
      <c r="D14" s="356">
        <v>2</v>
      </c>
      <c r="E14" s="356">
        <v>1</v>
      </c>
      <c r="F14" s="356">
        <v>57.9</v>
      </c>
      <c r="G14" s="356">
        <v>0</v>
      </c>
      <c r="H14" s="356">
        <v>0</v>
      </c>
      <c r="I14" s="356">
        <v>0</v>
      </c>
      <c r="J14" s="356">
        <v>1.8</v>
      </c>
      <c r="K14" s="356">
        <v>6.55</v>
      </c>
      <c r="L14" s="356">
        <v>0</v>
      </c>
      <c r="M14" s="356">
        <v>0</v>
      </c>
      <c r="N14" s="356">
        <v>0</v>
      </c>
      <c r="O14" s="356">
        <v>0</v>
      </c>
      <c r="P14" s="356">
        <v>10.55</v>
      </c>
      <c r="Q14" s="356">
        <v>23.25</v>
      </c>
      <c r="R14" s="356">
        <v>10.75</v>
      </c>
      <c r="S14" s="356">
        <v>0</v>
      </c>
      <c r="T14" s="356">
        <v>0</v>
      </c>
      <c r="U14" s="356">
        <v>0</v>
      </c>
      <c r="V14" s="356">
        <v>0</v>
      </c>
      <c r="W14" s="356">
        <v>0</v>
      </c>
      <c r="X14" s="356">
        <v>0</v>
      </c>
      <c r="Y14" s="356">
        <v>0</v>
      </c>
      <c r="Z14" s="356">
        <v>0</v>
      </c>
      <c r="AA14" s="356">
        <v>0</v>
      </c>
      <c r="AB14" s="356">
        <v>0</v>
      </c>
      <c r="AC14" s="356">
        <v>0</v>
      </c>
      <c r="AD14" s="356">
        <v>0</v>
      </c>
      <c r="AE14" s="356">
        <v>0</v>
      </c>
      <c r="AF14" s="356">
        <v>0</v>
      </c>
      <c r="AG14" s="356">
        <v>0</v>
      </c>
      <c r="AH14" s="356">
        <v>0</v>
      </c>
      <c r="AI14" s="356">
        <v>0</v>
      </c>
      <c r="AJ14" s="356">
        <v>0</v>
      </c>
      <c r="AK14" s="356">
        <v>0</v>
      </c>
      <c r="AL14" s="356">
        <v>0</v>
      </c>
      <c r="AM14" s="356">
        <v>0</v>
      </c>
      <c r="AN14" s="356">
        <v>0</v>
      </c>
      <c r="AO14" s="356">
        <v>2</v>
      </c>
      <c r="AP14" s="356">
        <v>0</v>
      </c>
      <c r="AQ14" s="356">
        <v>0</v>
      </c>
      <c r="AR14" s="356">
        <v>2</v>
      </c>
      <c r="AS14" s="356">
        <v>0</v>
      </c>
      <c r="AT14" s="356">
        <v>0</v>
      </c>
      <c r="AU14" s="356">
        <v>0</v>
      </c>
      <c r="AV14" s="356">
        <v>0</v>
      </c>
      <c r="AW14" s="356">
        <v>1</v>
      </c>
    </row>
    <row r="15" spans="1:49" x14ac:dyDescent="0.3">
      <c r="A15" s="356" t="s">
        <v>200</v>
      </c>
      <c r="B15" s="381">
        <v>12</v>
      </c>
      <c r="C15" s="356">
        <v>59</v>
      </c>
      <c r="D15" s="356">
        <v>2</v>
      </c>
      <c r="E15" s="356">
        <v>2</v>
      </c>
      <c r="F15" s="356">
        <v>7669.25</v>
      </c>
      <c r="G15" s="356">
        <v>0</v>
      </c>
      <c r="H15" s="356">
        <v>0</v>
      </c>
      <c r="I15" s="356">
        <v>0</v>
      </c>
      <c r="J15" s="356">
        <v>237.5</v>
      </c>
      <c r="K15" s="356">
        <v>930.65</v>
      </c>
      <c r="L15" s="356">
        <v>0</v>
      </c>
      <c r="M15" s="356">
        <v>0</v>
      </c>
      <c r="N15" s="356">
        <v>0</v>
      </c>
      <c r="O15" s="356">
        <v>0</v>
      </c>
      <c r="P15" s="356">
        <v>1387.15</v>
      </c>
      <c r="Q15" s="356">
        <v>2817.8</v>
      </c>
      <c r="R15" s="356">
        <v>1477.15</v>
      </c>
      <c r="S15" s="356">
        <v>0</v>
      </c>
      <c r="T15" s="356">
        <v>0</v>
      </c>
      <c r="U15" s="356">
        <v>0</v>
      </c>
      <c r="V15" s="356">
        <v>0</v>
      </c>
      <c r="W15" s="356">
        <v>0</v>
      </c>
      <c r="X15" s="356">
        <v>0</v>
      </c>
      <c r="Y15" s="356">
        <v>0</v>
      </c>
      <c r="Z15" s="356">
        <v>0</v>
      </c>
      <c r="AA15" s="356">
        <v>0</v>
      </c>
      <c r="AB15" s="356">
        <v>0</v>
      </c>
      <c r="AC15" s="356">
        <v>0</v>
      </c>
      <c r="AD15" s="356">
        <v>0</v>
      </c>
      <c r="AE15" s="356">
        <v>0</v>
      </c>
      <c r="AF15" s="356">
        <v>0</v>
      </c>
      <c r="AG15" s="356">
        <v>0</v>
      </c>
      <c r="AH15" s="356">
        <v>0</v>
      </c>
      <c r="AI15" s="356">
        <v>0</v>
      </c>
      <c r="AJ15" s="356">
        <v>0</v>
      </c>
      <c r="AK15" s="356">
        <v>0</v>
      </c>
      <c r="AL15" s="356">
        <v>0</v>
      </c>
      <c r="AM15" s="356">
        <v>0</v>
      </c>
      <c r="AN15" s="356">
        <v>0</v>
      </c>
      <c r="AO15" s="356">
        <v>325.5</v>
      </c>
      <c r="AP15" s="356">
        <v>0</v>
      </c>
      <c r="AQ15" s="356">
        <v>0</v>
      </c>
      <c r="AR15" s="356">
        <v>325.5</v>
      </c>
      <c r="AS15" s="356">
        <v>0</v>
      </c>
      <c r="AT15" s="356">
        <v>0</v>
      </c>
      <c r="AU15" s="356">
        <v>0</v>
      </c>
      <c r="AV15" s="356">
        <v>0</v>
      </c>
      <c r="AW15" s="356">
        <v>168</v>
      </c>
    </row>
    <row r="16" spans="1:49" x14ac:dyDescent="0.3">
      <c r="A16" s="356" t="s">
        <v>188</v>
      </c>
      <c r="B16" s="381">
        <v>2016</v>
      </c>
      <c r="C16" s="356">
        <v>59</v>
      </c>
      <c r="D16" s="356">
        <v>2</v>
      </c>
      <c r="E16" s="356">
        <v>3</v>
      </c>
      <c r="F16" s="356">
        <v>293.5</v>
      </c>
      <c r="G16" s="356">
        <v>0</v>
      </c>
      <c r="H16" s="356">
        <v>0</v>
      </c>
      <c r="I16" s="356">
        <v>0</v>
      </c>
      <c r="J16" s="356">
        <v>20</v>
      </c>
      <c r="K16" s="356">
        <v>46</v>
      </c>
      <c r="L16" s="356">
        <v>0</v>
      </c>
      <c r="M16" s="356">
        <v>0</v>
      </c>
      <c r="N16" s="356">
        <v>0</v>
      </c>
      <c r="O16" s="356">
        <v>0</v>
      </c>
      <c r="P16" s="356">
        <v>107</v>
      </c>
      <c r="Q16" s="356">
        <v>66.5</v>
      </c>
      <c r="R16" s="356">
        <v>54</v>
      </c>
      <c r="S16" s="356">
        <v>0</v>
      </c>
      <c r="T16" s="356">
        <v>0</v>
      </c>
      <c r="U16" s="356">
        <v>0</v>
      </c>
      <c r="V16" s="356">
        <v>0</v>
      </c>
      <c r="W16" s="356">
        <v>0</v>
      </c>
      <c r="X16" s="356">
        <v>0</v>
      </c>
      <c r="Y16" s="356">
        <v>0</v>
      </c>
      <c r="Z16" s="356">
        <v>0</v>
      </c>
      <c r="AA16" s="356">
        <v>0</v>
      </c>
      <c r="AB16" s="356">
        <v>0</v>
      </c>
      <c r="AC16" s="356">
        <v>0</v>
      </c>
      <c r="AD16" s="356">
        <v>0</v>
      </c>
      <c r="AE16" s="356">
        <v>0</v>
      </c>
      <c r="AF16" s="356">
        <v>0</v>
      </c>
      <c r="AG16" s="356">
        <v>0</v>
      </c>
      <c r="AH16" s="356">
        <v>0</v>
      </c>
      <c r="AI16" s="356">
        <v>0</v>
      </c>
      <c r="AJ16" s="356">
        <v>0</v>
      </c>
      <c r="AK16" s="356">
        <v>0</v>
      </c>
      <c r="AL16" s="356">
        <v>0</v>
      </c>
      <c r="AM16" s="356">
        <v>0</v>
      </c>
      <c r="AN16" s="356">
        <v>0</v>
      </c>
      <c r="AO16" s="356">
        <v>0</v>
      </c>
      <c r="AP16" s="356">
        <v>0</v>
      </c>
      <c r="AQ16" s="356">
        <v>0</v>
      </c>
      <c r="AR16" s="356">
        <v>0</v>
      </c>
      <c r="AS16" s="356">
        <v>0</v>
      </c>
      <c r="AT16" s="356">
        <v>0</v>
      </c>
      <c r="AU16" s="356">
        <v>0</v>
      </c>
      <c r="AV16" s="356">
        <v>0</v>
      </c>
      <c r="AW16" s="356">
        <v>0</v>
      </c>
    </row>
    <row r="17" spans="3:49" x14ac:dyDescent="0.3">
      <c r="C17" s="356">
        <v>59</v>
      </c>
      <c r="D17" s="356">
        <v>2</v>
      </c>
      <c r="E17" s="356">
        <v>4</v>
      </c>
      <c r="F17" s="356">
        <v>773.62</v>
      </c>
      <c r="G17" s="356">
        <v>0</v>
      </c>
      <c r="H17" s="356">
        <v>0</v>
      </c>
      <c r="I17" s="356">
        <v>0</v>
      </c>
      <c r="J17" s="356">
        <v>26</v>
      </c>
      <c r="K17" s="356">
        <v>127</v>
      </c>
      <c r="L17" s="356">
        <v>0</v>
      </c>
      <c r="M17" s="356">
        <v>0</v>
      </c>
      <c r="N17" s="356">
        <v>0</v>
      </c>
      <c r="O17" s="356">
        <v>0</v>
      </c>
      <c r="P17" s="356">
        <v>140</v>
      </c>
      <c r="Q17" s="356">
        <v>368.62</v>
      </c>
      <c r="R17" s="356">
        <v>101</v>
      </c>
      <c r="S17" s="356">
        <v>0</v>
      </c>
      <c r="T17" s="356">
        <v>0</v>
      </c>
      <c r="U17" s="356">
        <v>0</v>
      </c>
      <c r="V17" s="356">
        <v>0</v>
      </c>
      <c r="W17" s="356">
        <v>0</v>
      </c>
      <c r="X17" s="356">
        <v>0</v>
      </c>
      <c r="Y17" s="356">
        <v>0</v>
      </c>
      <c r="Z17" s="356">
        <v>0</v>
      </c>
      <c r="AA17" s="356">
        <v>0</v>
      </c>
      <c r="AB17" s="356">
        <v>0</v>
      </c>
      <c r="AC17" s="356">
        <v>0</v>
      </c>
      <c r="AD17" s="356">
        <v>0</v>
      </c>
      <c r="AE17" s="356">
        <v>0</v>
      </c>
      <c r="AF17" s="356">
        <v>0</v>
      </c>
      <c r="AG17" s="356">
        <v>0</v>
      </c>
      <c r="AH17" s="356">
        <v>0</v>
      </c>
      <c r="AI17" s="356">
        <v>0</v>
      </c>
      <c r="AJ17" s="356">
        <v>0</v>
      </c>
      <c r="AK17" s="356">
        <v>0</v>
      </c>
      <c r="AL17" s="356">
        <v>0</v>
      </c>
      <c r="AM17" s="356">
        <v>0</v>
      </c>
      <c r="AN17" s="356">
        <v>0</v>
      </c>
      <c r="AO17" s="356">
        <v>6</v>
      </c>
      <c r="AP17" s="356">
        <v>0</v>
      </c>
      <c r="AQ17" s="356">
        <v>0</v>
      </c>
      <c r="AR17" s="356">
        <v>5</v>
      </c>
      <c r="AS17" s="356">
        <v>0</v>
      </c>
      <c r="AT17" s="356">
        <v>0</v>
      </c>
      <c r="AU17" s="356">
        <v>0</v>
      </c>
      <c r="AV17" s="356">
        <v>0</v>
      </c>
      <c r="AW17" s="356">
        <v>0</v>
      </c>
    </row>
    <row r="18" spans="3:49" x14ac:dyDescent="0.3">
      <c r="C18" s="356">
        <v>59</v>
      </c>
      <c r="D18" s="356">
        <v>2</v>
      </c>
      <c r="E18" s="356">
        <v>5</v>
      </c>
      <c r="F18" s="356">
        <v>48</v>
      </c>
      <c r="G18" s="356">
        <v>48</v>
      </c>
      <c r="H18" s="356">
        <v>0</v>
      </c>
      <c r="I18" s="356">
        <v>0</v>
      </c>
      <c r="J18" s="356">
        <v>0</v>
      </c>
      <c r="K18" s="356">
        <v>0</v>
      </c>
      <c r="L18" s="356">
        <v>0</v>
      </c>
      <c r="M18" s="356">
        <v>0</v>
      </c>
      <c r="N18" s="356">
        <v>0</v>
      </c>
      <c r="O18" s="356">
        <v>0</v>
      </c>
      <c r="P18" s="356">
        <v>0</v>
      </c>
      <c r="Q18" s="356">
        <v>0</v>
      </c>
      <c r="R18" s="356">
        <v>0</v>
      </c>
      <c r="S18" s="356">
        <v>0</v>
      </c>
      <c r="T18" s="356">
        <v>0</v>
      </c>
      <c r="U18" s="356">
        <v>0</v>
      </c>
      <c r="V18" s="356">
        <v>0</v>
      </c>
      <c r="W18" s="356">
        <v>0</v>
      </c>
      <c r="X18" s="356">
        <v>0</v>
      </c>
      <c r="Y18" s="356">
        <v>0</v>
      </c>
      <c r="Z18" s="356">
        <v>0</v>
      </c>
      <c r="AA18" s="356">
        <v>0</v>
      </c>
      <c r="AB18" s="356">
        <v>0</v>
      </c>
      <c r="AC18" s="356">
        <v>0</v>
      </c>
      <c r="AD18" s="356">
        <v>0</v>
      </c>
      <c r="AE18" s="356">
        <v>0</v>
      </c>
      <c r="AF18" s="356">
        <v>0</v>
      </c>
      <c r="AG18" s="356">
        <v>0</v>
      </c>
      <c r="AH18" s="356">
        <v>0</v>
      </c>
      <c r="AI18" s="356">
        <v>0</v>
      </c>
      <c r="AJ18" s="356">
        <v>0</v>
      </c>
      <c r="AK18" s="356">
        <v>0</v>
      </c>
      <c r="AL18" s="356">
        <v>0</v>
      </c>
      <c r="AM18" s="356">
        <v>0</v>
      </c>
      <c r="AN18" s="356">
        <v>0</v>
      </c>
      <c r="AO18" s="356">
        <v>0</v>
      </c>
      <c r="AP18" s="356">
        <v>0</v>
      </c>
      <c r="AQ18" s="356">
        <v>0</v>
      </c>
      <c r="AR18" s="356">
        <v>0</v>
      </c>
      <c r="AS18" s="356">
        <v>0</v>
      </c>
      <c r="AT18" s="356">
        <v>0</v>
      </c>
      <c r="AU18" s="356">
        <v>0</v>
      </c>
      <c r="AV18" s="356">
        <v>0</v>
      </c>
      <c r="AW18" s="356">
        <v>0</v>
      </c>
    </row>
    <row r="19" spans="3:49" x14ac:dyDescent="0.3">
      <c r="C19" s="356">
        <v>59</v>
      </c>
      <c r="D19" s="356">
        <v>2</v>
      </c>
      <c r="E19" s="356">
        <v>6</v>
      </c>
      <c r="F19" s="356">
        <v>2402119</v>
      </c>
      <c r="G19" s="356">
        <v>9600</v>
      </c>
      <c r="H19" s="356">
        <v>0</v>
      </c>
      <c r="I19" s="356">
        <v>0</v>
      </c>
      <c r="J19" s="356">
        <v>85838</v>
      </c>
      <c r="K19" s="356">
        <v>583469</v>
      </c>
      <c r="L19" s="356">
        <v>0</v>
      </c>
      <c r="M19" s="356">
        <v>0</v>
      </c>
      <c r="N19" s="356">
        <v>0</v>
      </c>
      <c r="O19" s="356">
        <v>0</v>
      </c>
      <c r="P19" s="356">
        <v>352629</v>
      </c>
      <c r="Q19" s="356">
        <v>843654</v>
      </c>
      <c r="R19" s="356">
        <v>412550</v>
      </c>
      <c r="S19" s="356">
        <v>0</v>
      </c>
      <c r="T19" s="356">
        <v>0</v>
      </c>
      <c r="U19" s="356">
        <v>0</v>
      </c>
      <c r="V19" s="356">
        <v>0</v>
      </c>
      <c r="W19" s="356">
        <v>0</v>
      </c>
      <c r="X19" s="356">
        <v>0</v>
      </c>
      <c r="Y19" s="356">
        <v>0</v>
      </c>
      <c r="Z19" s="356">
        <v>0</v>
      </c>
      <c r="AA19" s="356">
        <v>0</v>
      </c>
      <c r="AB19" s="356">
        <v>0</v>
      </c>
      <c r="AC19" s="356">
        <v>0</v>
      </c>
      <c r="AD19" s="356">
        <v>0</v>
      </c>
      <c r="AE19" s="356">
        <v>0</v>
      </c>
      <c r="AF19" s="356">
        <v>0</v>
      </c>
      <c r="AG19" s="356">
        <v>0</v>
      </c>
      <c r="AH19" s="356">
        <v>0</v>
      </c>
      <c r="AI19" s="356">
        <v>0</v>
      </c>
      <c r="AJ19" s="356">
        <v>0</v>
      </c>
      <c r="AK19" s="356">
        <v>0</v>
      </c>
      <c r="AL19" s="356">
        <v>0</v>
      </c>
      <c r="AM19" s="356">
        <v>0</v>
      </c>
      <c r="AN19" s="356">
        <v>0</v>
      </c>
      <c r="AO19" s="356">
        <v>46703</v>
      </c>
      <c r="AP19" s="356">
        <v>0</v>
      </c>
      <c r="AQ19" s="356">
        <v>0</v>
      </c>
      <c r="AR19" s="356">
        <v>41486</v>
      </c>
      <c r="AS19" s="356">
        <v>0</v>
      </c>
      <c r="AT19" s="356">
        <v>0</v>
      </c>
      <c r="AU19" s="356">
        <v>0</v>
      </c>
      <c r="AV19" s="356">
        <v>0</v>
      </c>
      <c r="AW19" s="356">
        <v>26190</v>
      </c>
    </row>
    <row r="20" spans="3:49" x14ac:dyDescent="0.3">
      <c r="C20" s="356">
        <v>59</v>
      </c>
      <c r="D20" s="356">
        <v>2</v>
      </c>
      <c r="E20" s="356">
        <v>9</v>
      </c>
      <c r="F20" s="356">
        <v>44834</v>
      </c>
      <c r="G20" s="356">
        <v>0</v>
      </c>
      <c r="H20" s="356">
        <v>0</v>
      </c>
      <c r="I20" s="356">
        <v>0</v>
      </c>
      <c r="J20" s="356">
        <v>0</v>
      </c>
      <c r="K20" s="356">
        <v>0</v>
      </c>
      <c r="L20" s="356">
        <v>0</v>
      </c>
      <c r="M20" s="356">
        <v>0</v>
      </c>
      <c r="N20" s="356">
        <v>0</v>
      </c>
      <c r="O20" s="356">
        <v>0</v>
      </c>
      <c r="P20" s="356">
        <v>14112</v>
      </c>
      <c r="Q20" s="356">
        <v>27270</v>
      </c>
      <c r="R20" s="356">
        <v>3452</v>
      </c>
      <c r="S20" s="356">
        <v>0</v>
      </c>
      <c r="T20" s="356">
        <v>0</v>
      </c>
      <c r="U20" s="356">
        <v>0</v>
      </c>
      <c r="V20" s="356">
        <v>0</v>
      </c>
      <c r="W20" s="356">
        <v>0</v>
      </c>
      <c r="X20" s="356">
        <v>0</v>
      </c>
      <c r="Y20" s="356">
        <v>0</v>
      </c>
      <c r="Z20" s="356">
        <v>0</v>
      </c>
      <c r="AA20" s="356">
        <v>0</v>
      </c>
      <c r="AB20" s="356">
        <v>0</v>
      </c>
      <c r="AC20" s="356">
        <v>0</v>
      </c>
      <c r="AD20" s="356">
        <v>0</v>
      </c>
      <c r="AE20" s="356">
        <v>0</v>
      </c>
      <c r="AF20" s="356">
        <v>0</v>
      </c>
      <c r="AG20" s="356">
        <v>0</v>
      </c>
      <c r="AH20" s="356">
        <v>0</v>
      </c>
      <c r="AI20" s="356">
        <v>0</v>
      </c>
      <c r="AJ20" s="356">
        <v>0</v>
      </c>
      <c r="AK20" s="356">
        <v>0</v>
      </c>
      <c r="AL20" s="356">
        <v>0</v>
      </c>
      <c r="AM20" s="356">
        <v>0</v>
      </c>
      <c r="AN20" s="356">
        <v>0</v>
      </c>
      <c r="AO20" s="356">
        <v>0</v>
      </c>
      <c r="AP20" s="356">
        <v>0</v>
      </c>
      <c r="AQ20" s="356">
        <v>0</v>
      </c>
      <c r="AR20" s="356">
        <v>0</v>
      </c>
      <c r="AS20" s="356">
        <v>0</v>
      </c>
      <c r="AT20" s="356">
        <v>0</v>
      </c>
      <c r="AU20" s="356">
        <v>0</v>
      </c>
      <c r="AV20" s="356">
        <v>0</v>
      </c>
      <c r="AW20" s="356">
        <v>0</v>
      </c>
    </row>
    <row r="21" spans="3:49" x14ac:dyDescent="0.3">
      <c r="C21" s="356">
        <v>59</v>
      </c>
      <c r="D21" s="356">
        <v>2</v>
      </c>
      <c r="E21" s="356">
        <v>11</v>
      </c>
      <c r="F21" s="356">
        <v>12717.557251908398</v>
      </c>
      <c r="G21" s="356">
        <v>0</v>
      </c>
      <c r="H21" s="356">
        <v>0</v>
      </c>
      <c r="I21" s="356">
        <v>0</v>
      </c>
      <c r="J21" s="356">
        <v>1717.5572519083971</v>
      </c>
      <c r="K21" s="356">
        <v>0</v>
      </c>
      <c r="L21" s="356">
        <v>0</v>
      </c>
      <c r="M21" s="356">
        <v>0</v>
      </c>
      <c r="N21" s="356">
        <v>0</v>
      </c>
      <c r="O21" s="356">
        <v>11000</v>
      </c>
      <c r="P21" s="356">
        <v>0</v>
      </c>
      <c r="Q21" s="356">
        <v>0</v>
      </c>
      <c r="R21" s="356">
        <v>0</v>
      </c>
      <c r="S21" s="356">
        <v>0</v>
      </c>
      <c r="T21" s="356">
        <v>0</v>
      </c>
      <c r="U21" s="356">
        <v>0</v>
      </c>
      <c r="V21" s="356">
        <v>0</v>
      </c>
      <c r="W21" s="356">
        <v>0</v>
      </c>
      <c r="X21" s="356">
        <v>0</v>
      </c>
      <c r="Y21" s="356">
        <v>0</v>
      </c>
      <c r="Z21" s="356">
        <v>0</v>
      </c>
      <c r="AA21" s="356">
        <v>0</v>
      </c>
      <c r="AB21" s="356">
        <v>0</v>
      </c>
      <c r="AC21" s="356">
        <v>0</v>
      </c>
      <c r="AD21" s="356">
        <v>0</v>
      </c>
      <c r="AE21" s="356">
        <v>0</v>
      </c>
      <c r="AF21" s="356">
        <v>0</v>
      </c>
      <c r="AG21" s="356">
        <v>0</v>
      </c>
      <c r="AH21" s="356">
        <v>0</v>
      </c>
      <c r="AI21" s="356">
        <v>0</v>
      </c>
      <c r="AJ21" s="356">
        <v>0</v>
      </c>
      <c r="AK21" s="356">
        <v>0</v>
      </c>
      <c r="AL21" s="356">
        <v>0</v>
      </c>
      <c r="AM21" s="356">
        <v>0</v>
      </c>
      <c r="AN21" s="356">
        <v>0</v>
      </c>
      <c r="AO21" s="356">
        <v>0</v>
      </c>
      <c r="AP21" s="356">
        <v>0</v>
      </c>
      <c r="AQ21" s="356">
        <v>0</v>
      </c>
      <c r="AR21" s="356">
        <v>0</v>
      </c>
      <c r="AS21" s="356">
        <v>0</v>
      </c>
      <c r="AT21" s="356">
        <v>0</v>
      </c>
      <c r="AU21" s="356">
        <v>0</v>
      </c>
      <c r="AV21" s="356">
        <v>0</v>
      </c>
      <c r="AW21" s="356">
        <v>0</v>
      </c>
    </row>
    <row r="22" spans="3:49" x14ac:dyDescent="0.3">
      <c r="C22" s="356">
        <v>59</v>
      </c>
      <c r="D22" s="356">
        <v>3</v>
      </c>
      <c r="E22" s="356">
        <v>1</v>
      </c>
      <c r="F22" s="356">
        <v>57.9</v>
      </c>
      <c r="G22" s="356">
        <v>0</v>
      </c>
      <c r="H22" s="356">
        <v>0</v>
      </c>
      <c r="I22" s="356">
        <v>0</v>
      </c>
      <c r="J22" s="356">
        <v>1.8</v>
      </c>
      <c r="K22" s="356">
        <v>6.55</v>
      </c>
      <c r="L22" s="356">
        <v>0</v>
      </c>
      <c r="M22" s="356">
        <v>0</v>
      </c>
      <c r="N22" s="356">
        <v>0</v>
      </c>
      <c r="O22" s="356">
        <v>0</v>
      </c>
      <c r="P22" s="356">
        <v>10.050000000000001</v>
      </c>
      <c r="Q22" s="356">
        <v>23.75</v>
      </c>
      <c r="R22" s="356">
        <v>10.75</v>
      </c>
      <c r="S22" s="356">
        <v>0</v>
      </c>
      <c r="T22" s="356">
        <v>0</v>
      </c>
      <c r="U22" s="356">
        <v>0</v>
      </c>
      <c r="V22" s="356">
        <v>0</v>
      </c>
      <c r="W22" s="356">
        <v>0</v>
      </c>
      <c r="X22" s="356">
        <v>0</v>
      </c>
      <c r="Y22" s="356">
        <v>0</v>
      </c>
      <c r="Z22" s="356">
        <v>0</v>
      </c>
      <c r="AA22" s="356">
        <v>0</v>
      </c>
      <c r="AB22" s="356">
        <v>0</v>
      </c>
      <c r="AC22" s="356">
        <v>0</v>
      </c>
      <c r="AD22" s="356">
        <v>0</v>
      </c>
      <c r="AE22" s="356">
        <v>0</v>
      </c>
      <c r="AF22" s="356">
        <v>0</v>
      </c>
      <c r="AG22" s="356">
        <v>0</v>
      </c>
      <c r="AH22" s="356">
        <v>0</v>
      </c>
      <c r="AI22" s="356">
        <v>0</v>
      </c>
      <c r="AJ22" s="356">
        <v>0</v>
      </c>
      <c r="AK22" s="356">
        <v>0</v>
      </c>
      <c r="AL22" s="356">
        <v>0</v>
      </c>
      <c r="AM22" s="356">
        <v>0</v>
      </c>
      <c r="AN22" s="356">
        <v>0</v>
      </c>
      <c r="AO22" s="356">
        <v>2</v>
      </c>
      <c r="AP22" s="356">
        <v>0</v>
      </c>
      <c r="AQ22" s="356">
        <v>0</v>
      </c>
      <c r="AR22" s="356">
        <v>2</v>
      </c>
      <c r="AS22" s="356">
        <v>0</v>
      </c>
      <c r="AT22" s="356">
        <v>0</v>
      </c>
      <c r="AU22" s="356">
        <v>0</v>
      </c>
      <c r="AV22" s="356">
        <v>0</v>
      </c>
      <c r="AW22" s="356">
        <v>1</v>
      </c>
    </row>
    <row r="23" spans="3:49" x14ac:dyDescent="0.3">
      <c r="C23" s="356">
        <v>59</v>
      </c>
      <c r="D23" s="356">
        <v>3</v>
      </c>
      <c r="E23" s="356">
        <v>2</v>
      </c>
      <c r="F23" s="356">
        <v>8538.2000000000007</v>
      </c>
      <c r="G23" s="356">
        <v>0</v>
      </c>
      <c r="H23" s="356">
        <v>0</v>
      </c>
      <c r="I23" s="356">
        <v>0</v>
      </c>
      <c r="J23" s="356">
        <v>310.5</v>
      </c>
      <c r="K23" s="356">
        <v>1055.9000000000001</v>
      </c>
      <c r="L23" s="356">
        <v>0</v>
      </c>
      <c r="M23" s="356">
        <v>0</v>
      </c>
      <c r="N23" s="356">
        <v>0</v>
      </c>
      <c r="O23" s="356">
        <v>0</v>
      </c>
      <c r="P23" s="356">
        <v>1488</v>
      </c>
      <c r="Q23" s="356">
        <v>3260.65</v>
      </c>
      <c r="R23" s="356">
        <v>1562.15</v>
      </c>
      <c r="S23" s="356">
        <v>0</v>
      </c>
      <c r="T23" s="356">
        <v>0</v>
      </c>
      <c r="U23" s="356">
        <v>0</v>
      </c>
      <c r="V23" s="356">
        <v>0</v>
      </c>
      <c r="W23" s="356">
        <v>0</v>
      </c>
      <c r="X23" s="356">
        <v>0</v>
      </c>
      <c r="Y23" s="356">
        <v>0</v>
      </c>
      <c r="Z23" s="356">
        <v>0</v>
      </c>
      <c r="AA23" s="356">
        <v>0</v>
      </c>
      <c r="AB23" s="356">
        <v>0</v>
      </c>
      <c r="AC23" s="356">
        <v>0</v>
      </c>
      <c r="AD23" s="356">
        <v>0</v>
      </c>
      <c r="AE23" s="356">
        <v>0</v>
      </c>
      <c r="AF23" s="356">
        <v>0</v>
      </c>
      <c r="AG23" s="356">
        <v>0</v>
      </c>
      <c r="AH23" s="356">
        <v>0</v>
      </c>
      <c r="AI23" s="356">
        <v>0</v>
      </c>
      <c r="AJ23" s="356">
        <v>0</v>
      </c>
      <c r="AK23" s="356">
        <v>0</v>
      </c>
      <c r="AL23" s="356">
        <v>0</v>
      </c>
      <c r="AM23" s="356">
        <v>0</v>
      </c>
      <c r="AN23" s="356">
        <v>0</v>
      </c>
      <c r="AO23" s="356">
        <v>356.5</v>
      </c>
      <c r="AP23" s="356">
        <v>0</v>
      </c>
      <c r="AQ23" s="356">
        <v>0</v>
      </c>
      <c r="AR23" s="356">
        <v>320.5</v>
      </c>
      <c r="AS23" s="356">
        <v>0</v>
      </c>
      <c r="AT23" s="356">
        <v>0</v>
      </c>
      <c r="AU23" s="356">
        <v>0</v>
      </c>
      <c r="AV23" s="356">
        <v>0</v>
      </c>
      <c r="AW23" s="356">
        <v>184</v>
      </c>
    </row>
    <row r="24" spans="3:49" x14ac:dyDescent="0.3">
      <c r="C24" s="356">
        <v>59</v>
      </c>
      <c r="D24" s="356">
        <v>3</v>
      </c>
      <c r="E24" s="356">
        <v>3</v>
      </c>
      <c r="F24" s="356">
        <v>243.95</v>
      </c>
      <c r="G24" s="356">
        <v>0</v>
      </c>
      <c r="H24" s="356">
        <v>0</v>
      </c>
      <c r="I24" s="356">
        <v>0</v>
      </c>
      <c r="J24" s="356">
        <v>12</v>
      </c>
      <c r="K24" s="356">
        <v>20</v>
      </c>
      <c r="L24" s="356">
        <v>0</v>
      </c>
      <c r="M24" s="356">
        <v>0</v>
      </c>
      <c r="N24" s="356">
        <v>0</v>
      </c>
      <c r="O24" s="356">
        <v>0</v>
      </c>
      <c r="P24" s="356">
        <v>86</v>
      </c>
      <c r="Q24" s="356">
        <v>101.95</v>
      </c>
      <c r="R24" s="356">
        <v>24</v>
      </c>
      <c r="S24" s="356">
        <v>0</v>
      </c>
      <c r="T24" s="356">
        <v>0</v>
      </c>
      <c r="U24" s="356">
        <v>0</v>
      </c>
      <c r="V24" s="356">
        <v>0</v>
      </c>
      <c r="W24" s="356">
        <v>0</v>
      </c>
      <c r="X24" s="356">
        <v>0</v>
      </c>
      <c r="Y24" s="356">
        <v>0</v>
      </c>
      <c r="Z24" s="356">
        <v>0</v>
      </c>
      <c r="AA24" s="356">
        <v>0</v>
      </c>
      <c r="AB24" s="356">
        <v>0</v>
      </c>
      <c r="AC24" s="356">
        <v>0</v>
      </c>
      <c r="AD24" s="356">
        <v>0</v>
      </c>
      <c r="AE24" s="356">
        <v>0</v>
      </c>
      <c r="AF24" s="356">
        <v>0</v>
      </c>
      <c r="AG24" s="356">
        <v>0</v>
      </c>
      <c r="AH24" s="356">
        <v>0</v>
      </c>
      <c r="AI24" s="356">
        <v>0</v>
      </c>
      <c r="AJ24" s="356">
        <v>0</v>
      </c>
      <c r="AK24" s="356">
        <v>0</v>
      </c>
      <c r="AL24" s="356">
        <v>0</v>
      </c>
      <c r="AM24" s="356">
        <v>0</v>
      </c>
      <c r="AN24" s="356">
        <v>0</v>
      </c>
      <c r="AO24" s="356">
        <v>0</v>
      </c>
      <c r="AP24" s="356">
        <v>0</v>
      </c>
      <c r="AQ24" s="356">
        <v>0</v>
      </c>
      <c r="AR24" s="356">
        <v>0</v>
      </c>
      <c r="AS24" s="356">
        <v>0</v>
      </c>
      <c r="AT24" s="356">
        <v>0</v>
      </c>
      <c r="AU24" s="356">
        <v>0</v>
      </c>
      <c r="AV24" s="356">
        <v>0</v>
      </c>
      <c r="AW24" s="356">
        <v>0</v>
      </c>
    </row>
    <row r="25" spans="3:49" x14ac:dyDescent="0.3">
      <c r="C25" s="356">
        <v>59</v>
      </c>
      <c r="D25" s="356">
        <v>3</v>
      </c>
      <c r="E25" s="356">
        <v>4</v>
      </c>
      <c r="F25" s="356">
        <v>770</v>
      </c>
      <c r="G25" s="356">
        <v>0</v>
      </c>
      <c r="H25" s="356">
        <v>0</v>
      </c>
      <c r="I25" s="356">
        <v>0</v>
      </c>
      <c r="J25" s="356">
        <v>20</v>
      </c>
      <c r="K25" s="356">
        <v>148</v>
      </c>
      <c r="L25" s="356">
        <v>0</v>
      </c>
      <c r="M25" s="356">
        <v>0</v>
      </c>
      <c r="N25" s="356">
        <v>0</v>
      </c>
      <c r="O25" s="356">
        <v>0</v>
      </c>
      <c r="P25" s="356">
        <v>111</v>
      </c>
      <c r="Q25" s="356">
        <v>343</v>
      </c>
      <c r="R25" s="356">
        <v>123</v>
      </c>
      <c r="S25" s="356">
        <v>0</v>
      </c>
      <c r="T25" s="356">
        <v>0</v>
      </c>
      <c r="U25" s="356">
        <v>0</v>
      </c>
      <c r="V25" s="356">
        <v>0</v>
      </c>
      <c r="W25" s="356">
        <v>0</v>
      </c>
      <c r="X25" s="356">
        <v>0</v>
      </c>
      <c r="Y25" s="356">
        <v>0</v>
      </c>
      <c r="Z25" s="356">
        <v>0</v>
      </c>
      <c r="AA25" s="356">
        <v>0</v>
      </c>
      <c r="AB25" s="356">
        <v>0</v>
      </c>
      <c r="AC25" s="356">
        <v>0</v>
      </c>
      <c r="AD25" s="356">
        <v>0</v>
      </c>
      <c r="AE25" s="356">
        <v>0</v>
      </c>
      <c r="AF25" s="356">
        <v>0</v>
      </c>
      <c r="AG25" s="356">
        <v>0</v>
      </c>
      <c r="AH25" s="356">
        <v>0</v>
      </c>
      <c r="AI25" s="356">
        <v>0</v>
      </c>
      <c r="AJ25" s="356">
        <v>0</v>
      </c>
      <c r="AK25" s="356">
        <v>0</v>
      </c>
      <c r="AL25" s="356">
        <v>0</v>
      </c>
      <c r="AM25" s="356">
        <v>0</v>
      </c>
      <c r="AN25" s="356">
        <v>0</v>
      </c>
      <c r="AO25" s="356">
        <v>12</v>
      </c>
      <c r="AP25" s="356">
        <v>0</v>
      </c>
      <c r="AQ25" s="356">
        <v>0</v>
      </c>
      <c r="AR25" s="356">
        <v>13</v>
      </c>
      <c r="AS25" s="356">
        <v>0</v>
      </c>
      <c r="AT25" s="356">
        <v>0</v>
      </c>
      <c r="AU25" s="356">
        <v>0</v>
      </c>
      <c r="AV25" s="356">
        <v>0</v>
      </c>
      <c r="AW25" s="356">
        <v>0</v>
      </c>
    </row>
    <row r="26" spans="3:49" x14ac:dyDescent="0.3">
      <c r="C26" s="356">
        <v>59</v>
      </c>
      <c r="D26" s="356">
        <v>3</v>
      </c>
      <c r="E26" s="356">
        <v>5</v>
      </c>
      <c r="F26" s="356">
        <v>48</v>
      </c>
      <c r="G26" s="356">
        <v>48</v>
      </c>
      <c r="H26" s="356">
        <v>0</v>
      </c>
      <c r="I26" s="356">
        <v>0</v>
      </c>
      <c r="J26" s="356">
        <v>0</v>
      </c>
      <c r="K26" s="356">
        <v>0</v>
      </c>
      <c r="L26" s="356">
        <v>0</v>
      </c>
      <c r="M26" s="356">
        <v>0</v>
      </c>
      <c r="N26" s="356">
        <v>0</v>
      </c>
      <c r="O26" s="356">
        <v>0</v>
      </c>
      <c r="P26" s="356">
        <v>0</v>
      </c>
      <c r="Q26" s="356">
        <v>0</v>
      </c>
      <c r="R26" s="356">
        <v>0</v>
      </c>
      <c r="S26" s="356">
        <v>0</v>
      </c>
      <c r="T26" s="356">
        <v>0</v>
      </c>
      <c r="U26" s="356">
        <v>0</v>
      </c>
      <c r="V26" s="356">
        <v>0</v>
      </c>
      <c r="W26" s="356">
        <v>0</v>
      </c>
      <c r="X26" s="356">
        <v>0</v>
      </c>
      <c r="Y26" s="356">
        <v>0</v>
      </c>
      <c r="Z26" s="356">
        <v>0</v>
      </c>
      <c r="AA26" s="356">
        <v>0</v>
      </c>
      <c r="AB26" s="356">
        <v>0</v>
      </c>
      <c r="AC26" s="356">
        <v>0</v>
      </c>
      <c r="AD26" s="356">
        <v>0</v>
      </c>
      <c r="AE26" s="356">
        <v>0</v>
      </c>
      <c r="AF26" s="356">
        <v>0</v>
      </c>
      <c r="AG26" s="356">
        <v>0</v>
      </c>
      <c r="AH26" s="356">
        <v>0</v>
      </c>
      <c r="AI26" s="356">
        <v>0</v>
      </c>
      <c r="AJ26" s="356">
        <v>0</v>
      </c>
      <c r="AK26" s="356">
        <v>0</v>
      </c>
      <c r="AL26" s="356">
        <v>0</v>
      </c>
      <c r="AM26" s="356">
        <v>0</v>
      </c>
      <c r="AN26" s="356">
        <v>0</v>
      </c>
      <c r="AO26" s="356">
        <v>0</v>
      </c>
      <c r="AP26" s="356">
        <v>0</v>
      </c>
      <c r="AQ26" s="356">
        <v>0</v>
      </c>
      <c r="AR26" s="356">
        <v>0</v>
      </c>
      <c r="AS26" s="356">
        <v>0</v>
      </c>
      <c r="AT26" s="356">
        <v>0</v>
      </c>
      <c r="AU26" s="356">
        <v>0</v>
      </c>
      <c r="AV26" s="356">
        <v>0</v>
      </c>
      <c r="AW26" s="356">
        <v>0</v>
      </c>
    </row>
    <row r="27" spans="3:49" x14ac:dyDescent="0.3">
      <c r="C27" s="356">
        <v>59</v>
      </c>
      <c r="D27" s="356">
        <v>3</v>
      </c>
      <c r="E27" s="356">
        <v>6</v>
      </c>
      <c r="F27" s="356">
        <v>2490905</v>
      </c>
      <c r="G27" s="356">
        <v>9600</v>
      </c>
      <c r="H27" s="356">
        <v>0</v>
      </c>
      <c r="I27" s="356">
        <v>0</v>
      </c>
      <c r="J27" s="356">
        <v>81570</v>
      </c>
      <c r="K27" s="356">
        <v>618077</v>
      </c>
      <c r="L27" s="356">
        <v>0</v>
      </c>
      <c r="M27" s="356">
        <v>0</v>
      </c>
      <c r="N27" s="356">
        <v>0</v>
      </c>
      <c r="O27" s="356">
        <v>0</v>
      </c>
      <c r="P27" s="356">
        <v>344050</v>
      </c>
      <c r="Q27" s="356">
        <v>873783</v>
      </c>
      <c r="R27" s="356">
        <v>439257</v>
      </c>
      <c r="S27" s="356">
        <v>0</v>
      </c>
      <c r="T27" s="356">
        <v>0</v>
      </c>
      <c r="U27" s="356">
        <v>0</v>
      </c>
      <c r="V27" s="356">
        <v>0</v>
      </c>
      <c r="W27" s="356">
        <v>0</v>
      </c>
      <c r="X27" s="356">
        <v>0</v>
      </c>
      <c r="Y27" s="356">
        <v>0</v>
      </c>
      <c r="Z27" s="356">
        <v>0</v>
      </c>
      <c r="AA27" s="356">
        <v>0</v>
      </c>
      <c r="AB27" s="356">
        <v>0</v>
      </c>
      <c r="AC27" s="356">
        <v>0</v>
      </c>
      <c r="AD27" s="356">
        <v>0</v>
      </c>
      <c r="AE27" s="356">
        <v>0</v>
      </c>
      <c r="AF27" s="356">
        <v>0</v>
      </c>
      <c r="AG27" s="356">
        <v>0</v>
      </c>
      <c r="AH27" s="356">
        <v>0</v>
      </c>
      <c r="AI27" s="356">
        <v>0</v>
      </c>
      <c r="AJ27" s="356">
        <v>0</v>
      </c>
      <c r="AK27" s="356">
        <v>0</v>
      </c>
      <c r="AL27" s="356">
        <v>0</v>
      </c>
      <c r="AM27" s="356">
        <v>0</v>
      </c>
      <c r="AN27" s="356">
        <v>0</v>
      </c>
      <c r="AO27" s="356">
        <v>51714</v>
      </c>
      <c r="AP27" s="356">
        <v>0</v>
      </c>
      <c r="AQ27" s="356">
        <v>0</v>
      </c>
      <c r="AR27" s="356">
        <v>46664</v>
      </c>
      <c r="AS27" s="356">
        <v>0</v>
      </c>
      <c r="AT27" s="356">
        <v>0</v>
      </c>
      <c r="AU27" s="356">
        <v>0</v>
      </c>
      <c r="AV27" s="356">
        <v>0</v>
      </c>
      <c r="AW27" s="356">
        <v>26190</v>
      </c>
    </row>
    <row r="28" spans="3:49" x14ac:dyDescent="0.3">
      <c r="C28" s="356">
        <v>59</v>
      </c>
      <c r="D28" s="356">
        <v>3</v>
      </c>
      <c r="E28" s="356">
        <v>9</v>
      </c>
      <c r="F28" s="356">
        <v>31984</v>
      </c>
      <c r="G28" s="356">
        <v>0</v>
      </c>
      <c r="H28" s="356">
        <v>0</v>
      </c>
      <c r="I28" s="356">
        <v>0</v>
      </c>
      <c r="J28" s="356">
        <v>0</v>
      </c>
      <c r="K28" s="356">
        <v>0</v>
      </c>
      <c r="L28" s="356">
        <v>0</v>
      </c>
      <c r="M28" s="356">
        <v>0</v>
      </c>
      <c r="N28" s="356">
        <v>0</v>
      </c>
      <c r="O28" s="356">
        <v>0</v>
      </c>
      <c r="P28" s="356">
        <v>9575</v>
      </c>
      <c r="Q28" s="356">
        <v>12834</v>
      </c>
      <c r="R28" s="356">
        <v>9575</v>
      </c>
      <c r="S28" s="356">
        <v>0</v>
      </c>
      <c r="T28" s="356">
        <v>0</v>
      </c>
      <c r="U28" s="356">
        <v>0</v>
      </c>
      <c r="V28" s="356">
        <v>0</v>
      </c>
      <c r="W28" s="356">
        <v>0</v>
      </c>
      <c r="X28" s="356">
        <v>0</v>
      </c>
      <c r="Y28" s="356">
        <v>0</v>
      </c>
      <c r="Z28" s="356">
        <v>0</v>
      </c>
      <c r="AA28" s="356">
        <v>0</v>
      </c>
      <c r="AB28" s="356">
        <v>0</v>
      </c>
      <c r="AC28" s="356">
        <v>0</v>
      </c>
      <c r="AD28" s="356">
        <v>0</v>
      </c>
      <c r="AE28" s="356">
        <v>0</v>
      </c>
      <c r="AF28" s="356">
        <v>0</v>
      </c>
      <c r="AG28" s="356">
        <v>0</v>
      </c>
      <c r="AH28" s="356">
        <v>0</v>
      </c>
      <c r="AI28" s="356">
        <v>0</v>
      </c>
      <c r="AJ28" s="356">
        <v>0</v>
      </c>
      <c r="AK28" s="356">
        <v>0</v>
      </c>
      <c r="AL28" s="356">
        <v>0</v>
      </c>
      <c r="AM28" s="356">
        <v>0</v>
      </c>
      <c r="AN28" s="356">
        <v>0</v>
      </c>
      <c r="AO28" s="356">
        <v>0</v>
      </c>
      <c r="AP28" s="356">
        <v>0</v>
      </c>
      <c r="AQ28" s="356">
        <v>0</v>
      </c>
      <c r="AR28" s="356">
        <v>0</v>
      </c>
      <c r="AS28" s="356">
        <v>0</v>
      </c>
      <c r="AT28" s="356">
        <v>0</v>
      </c>
      <c r="AU28" s="356">
        <v>0</v>
      </c>
      <c r="AV28" s="356">
        <v>0</v>
      </c>
      <c r="AW28" s="356">
        <v>0</v>
      </c>
    </row>
    <row r="29" spans="3:49" x14ac:dyDescent="0.3">
      <c r="C29" s="356">
        <v>59</v>
      </c>
      <c r="D29" s="356">
        <v>3</v>
      </c>
      <c r="E29" s="356">
        <v>10</v>
      </c>
      <c r="F29" s="356">
        <v>62844</v>
      </c>
      <c r="G29" s="356">
        <v>0</v>
      </c>
      <c r="H29" s="356">
        <v>0</v>
      </c>
      <c r="I29" s="356">
        <v>0</v>
      </c>
      <c r="J29" s="356">
        <v>2500</v>
      </c>
      <c r="K29" s="356">
        <v>0</v>
      </c>
      <c r="L29" s="356">
        <v>0</v>
      </c>
      <c r="M29" s="356">
        <v>0</v>
      </c>
      <c r="N29" s="356">
        <v>0</v>
      </c>
      <c r="O29" s="356">
        <v>60344</v>
      </c>
      <c r="P29" s="356">
        <v>0</v>
      </c>
      <c r="Q29" s="356">
        <v>0</v>
      </c>
      <c r="R29" s="356">
        <v>0</v>
      </c>
      <c r="S29" s="356">
        <v>0</v>
      </c>
      <c r="T29" s="356">
        <v>0</v>
      </c>
      <c r="U29" s="356">
        <v>0</v>
      </c>
      <c r="V29" s="356">
        <v>0</v>
      </c>
      <c r="W29" s="356">
        <v>0</v>
      </c>
      <c r="X29" s="356">
        <v>0</v>
      </c>
      <c r="Y29" s="356">
        <v>0</v>
      </c>
      <c r="Z29" s="356">
        <v>0</v>
      </c>
      <c r="AA29" s="356">
        <v>0</v>
      </c>
      <c r="AB29" s="356">
        <v>0</v>
      </c>
      <c r="AC29" s="356">
        <v>0</v>
      </c>
      <c r="AD29" s="356">
        <v>0</v>
      </c>
      <c r="AE29" s="356">
        <v>0</v>
      </c>
      <c r="AF29" s="356">
        <v>0</v>
      </c>
      <c r="AG29" s="356">
        <v>0</v>
      </c>
      <c r="AH29" s="356">
        <v>0</v>
      </c>
      <c r="AI29" s="356">
        <v>0</v>
      </c>
      <c r="AJ29" s="356">
        <v>0</v>
      </c>
      <c r="AK29" s="356">
        <v>0</v>
      </c>
      <c r="AL29" s="356">
        <v>0</v>
      </c>
      <c r="AM29" s="356">
        <v>0</v>
      </c>
      <c r="AN29" s="356">
        <v>0</v>
      </c>
      <c r="AO29" s="356">
        <v>0</v>
      </c>
      <c r="AP29" s="356">
        <v>0</v>
      </c>
      <c r="AQ29" s="356">
        <v>0</v>
      </c>
      <c r="AR29" s="356">
        <v>0</v>
      </c>
      <c r="AS29" s="356">
        <v>0</v>
      </c>
      <c r="AT29" s="356">
        <v>0</v>
      </c>
      <c r="AU29" s="356">
        <v>0</v>
      </c>
      <c r="AV29" s="356">
        <v>0</v>
      </c>
      <c r="AW29" s="356">
        <v>0</v>
      </c>
    </row>
    <row r="30" spans="3:49" x14ac:dyDescent="0.3">
      <c r="C30" s="356">
        <v>59</v>
      </c>
      <c r="D30" s="356">
        <v>3</v>
      </c>
      <c r="E30" s="356">
        <v>11</v>
      </c>
      <c r="F30" s="356">
        <v>12717.557251908398</v>
      </c>
      <c r="G30" s="356">
        <v>0</v>
      </c>
      <c r="H30" s="356">
        <v>0</v>
      </c>
      <c r="I30" s="356">
        <v>0</v>
      </c>
      <c r="J30" s="356">
        <v>1717.5572519083971</v>
      </c>
      <c r="K30" s="356">
        <v>0</v>
      </c>
      <c r="L30" s="356">
        <v>0</v>
      </c>
      <c r="M30" s="356">
        <v>0</v>
      </c>
      <c r="N30" s="356">
        <v>0</v>
      </c>
      <c r="O30" s="356">
        <v>11000</v>
      </c>
      <c r="P30" s="356">
        <v>0</v>
      </c>
      <c r="Q30" s="356">
        <v>0</v>
      </c>
      <c r="R30" s="356">
        <v>0</v>
      </c>
      <c r="S30" s="356">
        <v>0</v>
      </c>
      <c r="T30" s="356">
        <v>0</v>
      </c>
      <c r="U30" s="356">
        <v>0</v>
      </c>
      <c r="V30" s="356">
        <v>0</v>
      </c>
      <c r="W30" s="356">
        <v>0</v>
      </c>
      <c r="X30" s="356">
        <v>0</v>
      </c>
      <c r="Y30" s="356">
        <v>0</v>
      </c>
      <c r="Z30" s="356">
        <v>0</v>
      </c>
      <c r="AA30" s="356">
        <v>0</v>
      </c>
      <c r="AB30" s="356">
        <v>0</v>
      </c>
      <c r="AC30" s="356">
        <v>0</v>
      </c>
      <c r="AD30" s="356">
        <v>0</v>
      </c>
      <c r="AE30" s="356">
        <v>0</v>
      </c>
      <c r="AF30" s="356">
        <v>0</v>
      </c>
      <c r="AG30" s="356">
        <v>0</v>
      </c>
      <c r="AH30" s="356">
        <v>0</v>
      </c>
      <c r="AI30" s="356">
        <v>0</v>
      </c>
      <c r="AJ30" s="356">
        <v>0</v>
      </c>
      <c r="AK30" s="356">
        <v>0</v>
      </c>
      <c r="AL30" s="356">
        <v>0</v>
      </c>
      <c r="AM30" s="356">
        <v>0</v>
      </c>
      <c r="AN30" s="356">
        <v>0</v>
      </c>
      <c r="AO30" s="356">
        <v>0</v>
      </c>
      <c r="AP30" s="356">
        <v>0</v>
      </c>
      <c r="AQ30" s="356">
        <v>0</v>
      </c>
      <c r="AR30" s="356">
        <v>0</v>
      </c>
      <c r="AS30" s="356">
        <v>0</v>
      </c>
      <c r="AT30" s="356">
        <v>0</v>
      </c>
      <c r="AU30" s="356">
        <v>0</v>
      </c>
      <c r="AV30" s="356">
        <v>0</v>
      </c>
      <c r="AW30" s="356">
        <v>0</v>
      </c>
    </row>
    <row r="31" spans="3:49" x14ac:dyDescent="0.3">
      <c r="C31" s="356">
        <v>59</v>
      </c>
      <c r="D31" s="356">
        <v>4</v>
      </c>
      <c r="E31" s="356">
        <v>1</v>
      </c>
      <c r="F31" s="356">
        <v>58.15</v>
      </c>
      <c r="G31" s="356">
        <v>0</v>
      </c>
      <c r="H31" s="356">
        <v>0</v>
      </c>
      <c r="I31" s="356">
        <v>0</v>
      </c>
      <c r="J31" s="356">
        <v>1.8</v>
      </c>
      <c r="K31" s="356">
        <v>6.55</v>
      </c>
      <c r="L31" s="356">
        <v>0</v>
      </c>
      <c r="M31" s="356">
        <v>0</v>
      </c>
      <c r="N31" s="356">
        <v>0</v>
      </c>
      <c r="O31" s="356">
        <v>0</v>
      </c>
      <c r="P31" s="356">
        <v>14.05</v>
      </c>
      <c r="Q31" s="356">
        <v>20</v>
      </c>
      <c r="R31" s="356">
        <v>10.75</v>
      </c>
      <c r="S31" s="356">
        <v>0</v>
      </c>
      <c r="T31" s="356">
        <v>0</v>
      </c>
      <c r="U31" s="356">
        <v>0</v>
      </c>
      <c r="V31" s="356">
        <v>0</v>
      </c>
      <c r="W31" s="356">
        <v>0</v>
      </c>
      <c r="X31" s="356">
        <v>0</v>
      </c>
      <c r="Y31" s="356">
        <v>0</v>
      </c>
      <c r="Z31" s="356">
        <v>0</v>
      </c>
      <c r="AA31" s="356">
        <v>0</v>
      </c>
      <c r="AB31" s="356">
        <v>0</v>
      </c>
      <c r="AC31" s="356">
        <v>0</v>
      </c>
      <c r="AD31" s="356">
        <v>0</v>
      </c>
      <c r="AE31" s="356">
        <v>0</v>
      </c>
      <c r="AF31" s="356">
        <v>0</v>
      </c>
      <c r="AG31" s="356">
        <v>0</v>
      </c>
      <c r="AH31" s="356">
        <v>0</v>
      </c>
      <c r="AI31" s="356">
        <v>0</v>
      </c>
      <c r="AJ31" s="356">
        <v>0</v>
      </c>
      <c r="AK31" s="356">
        <v>0</v>
      </c>
      <c r="AL31" s="356">
        <v>0</v>
      </c>
      <c r="AM31" s="356">
        <v>0</v>
      </c>
      <c r="AN31" s="356">
        <v>0</v>
      </c>
      <c r="AO31" s="356">
        <v>2</v>
      </c>
      <c r="AP31" s="356">
        <v>0</v>
      </c>
      <c r="AQ31" s="356">
        <v>0</v>
      </c>
      <c r="AR31" s="356">
        <v>2</v>
      </c>
      <c r="AS31" s="356">
        <v>0</v>
      </c>
      <c r="AT31" s="356">
        <v>0</v>
      </c>
      <c r="AU31" s="356">
        <v>0</v>
      </c>
      <c r="AV31" s="356">
        <v>0</v>
      </c>
      <c r="AW31" s="356">
        <v>1</v>
      </c>
    </row>
    <row r="32" spans="3:49" x14ac:dyDescent="0.3">
      <c r="C32" s="356">
        <v>59</v>
      </c>
      <c r="D32" s="356">
        <v>4</v>
      </c>
      <c r="E32" s="356">
        <v>2</v>
      </c>
      <c r="F32" s="356">
        <v>7863.45</v>
      </c>
      <c r="G32" s="356">
        <v>0</v>
      </c>
      <c r="H32" s="356">
        <v>0</v>
      </c>
      <c r="I32" s="356">
        <v>0</v>
      </c>
      <c r="J32" s="356">
        <v>283.5</v>
      </c>
      <c r="K32" s="356">
        <v>1012.15</v>
      </c>
      <c r="L32" s="356">
        <v>0</v>
      </c>
      <c r="M32" s="356">
        <v>0</v>
      </c>
      <c r="N32" s="356">
        <v>0</v>
      </c>
      <c r="O32" s="356">
        <v>0</v>
      </c>
      <c r="P32" s="356">
        <v>2020.5</v>
      </c>
      <c r="Q32" s="356">
        <v>2481.4</v>
      </c>
      <c r="R32" s="356">
        <v>1318.9</v>
      </c>
      <c r="S32" s="356">
        <v>0</v>
      </c>
      <c r="T32" s="356">
        <v>0</v>
      </c>
      <c r="U32" s="356">
        <v>0</v>
      </c>
      <c r="V32" s="356">
        <v>0</v>
      </c>
      <c r="W32" s="356">
        <v>0</v>
      </c>
      <c r="X32" s="356">
        <v>0</v>
      </c>
      <c r="Y32" s="356">
        <v>0</v>
      </c>
      <c r="Z32" s="356">
        <v>0</v>
      </c>
      <c r="AA32" s="356">
        <v>0</v>
      </c>
      <c r="AB32" s="356">
        <v>0</v>
      </c>
      <c r="AC32" s="356">
        <v>0</v>
      </c>
      <c r="AD32" s="356">
        <v>0</v>
      </c>
      <c r="AE32" s="356">
        <v>0</v>
      </c>
      <c r="AF32" s="356">
        <v>0</v>
      </c>
      <c r="AG32" s="356">
        <v>0</v>
      </c>
      <c r="AH32" s="356">
        <v>0</v>
      </c>
      <c r="AI32" s="356">
        <v>0</v>
      </c>
      <c r="AJ32" s="356">
        <v>0</v>
      </c>
      <c r="AK32" s="356">
        <v>0</v>
      </c>
      <c r="AL32" s="356">
        <v>0</v>
      </c>
      <c r="AM32" s="356">
        <v>0</v>
      </c>
      <c r="AN32" s="356">
        <v>0</v>
      </c>
      <c r="AO32" s="356">
        <v>325.5</v>
      </c>
      <c r="AP32" s="356">
        <v>0</v>
      </c>
      <c r="AQ32" s="356">
        <v>0</v>
      </c>
      <c r="AR32" s="356">
        <v>277.5</v>
      </c>
      <c r="AS32" s="356">
        <v>0</v>
      </c>
      <c r="AT32" s="356">
        <v>0</v>
      </c>
      <c r="AU32" s="356">
        <v>0</v>
      </c>
      <c r="AV32" s="356">
        <v>0</v>
      </c>
      <c r="AW32" s="356">
        <v>144</v>
      </c>
    </row>
    <row r="33" spans="3:49" x14ac:dyDescent="0.3">
      <c r="C33" s="356">
        <v>59</v>
      </c>
      <c r="D33" s="356">
        <v>4</v>
      </c>
      <c r="E33" s="356">
        <v>3</v>
      </c>
      <c r="F33" s="356">
        <v>293</v>
      </c>
      <c r="G33" s="356">
        <v>0</v>
      </c>
      <c r="H33" s="356">
        <v>0</v>
      </c>
      <c r="I33" s="356">
        <v>0</v>
      </c>
      <c r="J33" s="356">
        <v>14</v>
      </c>
      <c r="K33" s="356">
        <v>41</v>
      </c>
      <c r="L33" s="356">
        <v>0</v>
      </c>
      <c r="M33" s="356">
        <v>0</v>
      </c>
      <c r="N33" s="356">
        <v>0</v>
      </c>
      <c r="O33" s="356">
        <v>0</v>
      </c>
      <c r="P33" s="356">
        <v>85</v>
      </c>
      <c r="Q33" s="356">
        <v>125</v>
      </c>
      <c r="R33" s="356">
        <v>28</v>
      </c>
      <c r="S33" s="356">
        <v>0</v>
      </c>
      <c r="T33" s="356">
        <v>0</v>
      </c>
      <c r="U33" s="356">
        <v>0</v>
      </c>
      <c r="V33" s="356">
        <v>0</v>
      </c>
      <c r="W33" s="356">
        <v>0</v>
      </c>
      <c r="X33" s="356">
        <v>0</v>
      </c>
      <c r="Y33" s="356">
        <v>0</v>
      </c>
      <c r="Z33" s="356">
        <v>0</v>
      </c>
      <c r="AA33" s="356">
        <v>0</v>
      </c>
      <c r="AB33" s="356">
        <v>0</v>
      </c>
      <c r="AC33" s="356">
        <v>0</v>
      </c>
      <c r="AD33" s="356">
        <v>0</v>
      </c>
      <c r="AE33" s="356">
        <v>0</v>
      </c>
      <c r="AF33" s="356">
        <v>0</v>
      </c>
      <c r="AG33" s="356">
        <v>0</v>
      </c>
      <c r="AH33" s="356">
        <v>0</v>
      </c>
      <c r="AI33" s="356">
        <v>0</v>
      </c>
      <c r="AJ33" s="356">
        <v>0</v>
      </c>
      <c r="AK33" s="356">
        <v>0</v>
      </c>
      <c r="AL33" s="356">
        <v>0</v>
      </c>
      <c r="AM33" s="356">
        <v>0</v>
      </c>
      <c r="AN33" s="356">
        <v>0</v>
      </c>
      <c r="AO33" s="356">
        <v>0</v>
      </c>
      <c r="AP33" s="356">
        <v>0</v>
      </c>
      <c r="AQ33" s="356">
        <v>0</v>
      </c>
      <c r="AR33" s="356">
        <v>0</v>
      </c>
      <c r="AS33" s="356">
        <v>0</v>
      </c>
      <c r="AT33" s="356">
        <v>0</v>
      </c>
      <c r="AU33" s="356">
        <v>0</v>
      </c>
      <c r="AV33" s="356">
        <v>0</v>
      </c>
      <c r="AW33" s="356">
        <v>0</v>
      </c>
    </row>
    <row r="34" spans="3:49" x14ac:dyDescent="0.3">
      <c r="C34" s="356">
        <v>59</v>
      </c>
      <c r="D34" s="356">
        <v>4</v>
      </c>
      <c r="E34" s="356">
        <v>4</v>
      </c>
      <c r="F34" s="356">
        <v>1040</v>
      </c>
      <c r="G34" s="356">
        <v>0</v>
      </c>
      <c r="H34" s="356">
        <v>0</v>
      </c>
      <c r="I34" s="356">
        <v>0</v>
      </c>
      <c r="J34" s="356">
        <v>26</v>
      </c>
      <c r="K34" s="356">
        <v>117</v>
      </c>
      <c r="L34" s="356">
        <v>0</v>
      </c>
      <c r="M34" s="356">
        <v>0</v>
      </c>
      <c r="N34" s="356">
        <v>0</v>
      </c>
      <c r="O34" s="356">
        <v>0</v>
      </c>
      <c r="P34" s="356">
        <v>264</v>
      </c>
      <c r="Q34" s="356">
        <v>393</v>
      </c>
      <c r="R34" s="356">
        <v>202</v>
      </c>
      <c r="S34" s="356">
        <v>0</v>
      </c>
      <c r="T34" s="356">
        <v>0</v>
      </c>
      <c r="U34" s="356">
        <v>0</v>
      </c>
      <c r="V34" s="356">
        <v>0</v>
      </c>
      <c r="W34" s="356">
        <v>0</v>
      </c>
      <c r="X34" s="356">
        <v>0</v>
      </c>
      <c r="Y34" s="356">
        <v>0</v>
      </c>
      <c r="Z34" s="356">
        <v>0</v>
      </c>
      <c r="AA34" s="356">
        <v>0</v>
      </c>
      <c r="AB34" s="356">
        <v>0</v>
      </c>
      <c r="AC34" s="356">
        <v>0</v>
      </c>
      <c r="AD34" s="356">
        <v>0</v>
      </c>
      <c r="AE34" s="356">
        <v>0</v>
      </c>
      <c r="AF34" s="356">
        <v>0</v>
      </c>
      <c r="AG34" s="356">
        <v>0</v>
      </c>
      <c r="AH34" s="356">
        <v>0</v>
      </c>
      <c r="AI34" s="356">
        <v>0</v>
      </c>
      <c r="AJ34" s="356">
        <v>0</v>
      </c>
      <c r="AK34" s="356">
        <v>0</v>
      </c>
      <c r="AL34" s="356">
        <v>0</v>
      </c>
      <c r="AM34" s="356">
        <v>0</v>
      </c>
      <c r="AN34" s="356">
        <v>0</v>
      </c>
      <c r="AO34" s="356">
        <v>23</v>
      </c>
      <c r="AP34" s="356">
        <v>0</v>
      </c>
      <c r="AQ34" s="356">
        <v>0</v>
      </c>
      <c r="AR34" s="356">
        <v>15</v>
      </c>
      <c r="AS34" s="356">
        <v>0</v>
      </c>
      <c r="AT34" s="356">
        <v>0</v>
      </c>
      <c r="AU34" s="356">
        <v>0</v>
      </c>
      <c r="AV34" s="356">
        <v>0</v>
      </c>
      <c r="AW34" s="356">
        <v>0</v>
      </c>
    </row>
    <row r="35" spans="3:49" x14ac:dyDescent="0.3">
      <c r="C35" s="356">
        <v>59</v>
      </c>
      <c r="D35" s="356">
        <v>4</v>
      </c>
      <c r="E35" s="356">
        <v>5</v>
      </c>
      <c r="F35" s="356">
        <v>48</v>
      </c>
      <c r="G35" s="356">
        <v>48</v>
      </c>
      <c r="H35" s="356">
        <v>0</v>
      </c>
      <c r="I35" s="356">
        <v>0</v>
      </c>
      <c r="J35" s="356">
        <v>0</v>
      </c>
      <c r="K35" s="356">
        <v>0</v>
      </c>
      <c r="L35" s="356">
        <v>0</v>
      </c>
      <c r="M35" s="356">
        <v>0</v>
      </c>
      <c r="N35" s="356">
        <v>0</v>
      </c>
      <c r="O35" s="356">
        <v>0</v>
      </c>
      <c r="P35" s="356">
        <v>0</v>
      </c>
      <c r="Q35" s="356">
        <v>0</v>
      </c>
      <c r="R35" s="356">
        <v>0</v>
      </c>
      <c r="S35" s="356">
        <v>0</v>
      </c>
      <c r="T35" s="356">
        <v>0</v>
      </c>
      <c r="U35" s="356">
        <v>0</v>
      </c>
      <c r="V35" s="356">
        <v>0</v>
      </c>
      <c r="W35" s="356">
        <v>0</v>
      </c>
      <c r="X35" s="356">
        <v>0</v>
      </c>
      <c r="Y35" s="356">
        <v>0</v>
      </c>
      <c r="Z35" s="356">
        <v>0</v>
      </c>
      <c r="AA35" s="356">
        <v>0</v>
      </c>
      <c r="AB35" s="356">
        <v>0</v>
      </c>
      <c r="AC35" s="356">
        <v>0</v>
      </c>
      <c r="AD35" s="356">
        <v>0</v>
      </c>
      <c r="AE35" s="356">
        <v>0</v>
      </c>
      <c r="AF35" s="356">
        <v>0</v>
      </c>
      <c r="AG35" s="356">
        <v>0</v>
      </c>
      <c r="AH35" s="356">
        <v>0</v>
      </c>
      <c r="AI35" s="356">
        <v>0</v>
      </c>
      <c r="AJ35" s="356">
        <v>0</v>
      </c>
      <c r="AK35" s="356">
        <v>0</v>
      </c>
      <c r="AL35" s="356">
        <v>0</v>
      </c>
      <c r="AM35" s="356">
        <v>0</v>
      </c>
      <c r="AN35" s="356">
        <v>0</v>
      </c>
      <c r="AO35" s="356">
        <v>0</v>
      </c>
      <c r="AP35" s="356">
        <v>0</v>
      </c>
      <c r="AQ35" s="356">
        <v>0</v>
      </c>
      <c r="AR35" s="356">
        <v>0</v>
      </c>
      <c r="AS35" s="356">
        <v>0</v>
      </c>
      <c r="AT35" s="356">
        <v>0</v>
      </c>
      <c r="AU35" s="356">
        <v>0</v>
      </c>
      <c r="AV35" s="356">
        <v>0</v>
      </c>
      <c r="AW35" s="356">
        <v>0</v>
      </c>
    </row>
    <row r="36" spans="3:49" x14ac:dyDescent="0.3">
      <c r="C36" s="356">
        <v>59</v>
      </c>
      <c r="D36" s="356">
        <v>4</v>
      </c>
      <c r="E36" s="356">
        <v>6</v>
      </c>
      <c r="F36" s="356">
        <v>2468510</v>
      </c>
      <c r="G36" s="356">
        <v>9600</v>
      </c>
      <c r="H36" s="356">
        <v>0</v>
      </c>
      <c r="I36" s="356">
        <v>0</v>
      </c>
      <c r="J36" s="356">
        <v>83066</v>
      </c>
      <c r="K36" s="356">
        <v>562496</v>
      </c>
      <c r="L36" s="356">
        <v>0</v>
      </c>
      <c r="M36" s="356">
        <v>0</v>
      </c>
      <c r="N36" s="356">
        <v>0</v>
      </c>
      <c r="O36" s="356">
        <v>0</v>
      </c>
      <c r="P36" s="356">
        <v>486497</v>
      </c>
      <c r="Q36" s="356">
        <v>780683</v>
      </c>
      <c r="R36" s="356">
        <v>425212</v>
      </c>
      <c r="S36" s="356">
        <v>0</v>
      </c>
      <c r="T36" s="356">
        <v>0</v>
      </c>
      <c r="U36" s="356">
        <v>0</v>
      </c>
      <c r="V36" s="356">
        <v>0</v>
      </c>
      <c r="W36" s="356">
        <v>0</v>
      </c>
      <c r="X36" s="356">
        <v>0</v>
      </c>
      <c r="Y36" s="356">
        <v>0</v>
      </c>
      <c r="Z36" s="356">
        <v>0</v>
      </c>
      <c r="AA36" s="356">
        <v>0</v>
      </c>
      <c r="AB36" s="356">
        <v>0</v>
      </c>
      <c r="AC36" s="356">
        <v>0</v>
      </c>
      <c r="AD36" s="356">
        <v>0</v>
      </c>
      <c r="AE36" s="356">
        <v>0</v>
      </c>
      <c r="AF36" s="356">
        <v>0</v>
      </c>
      <c r="AG36" s="356">
        <v>0</v>
      </c>
      <c r="AH36" s="356">
        <v>0</v>
      </c>
      <c r="AI36" s="356">
        <v>0</v>
      </c>
      <c r="AJ36" s="356">
        <v>0</v>
      </c>
      <c r="AK36" s="356">
        <v>0</v>
      </c>
      <c r="AL36" s="356">
        <v>0</v>
      </c>
      <c r="AM36" s="356">
        <v>0</v>
      </c>
      <c r="AN36" s="356">
        <v>0</v>
      </c>
      <c r="AO36" s="356">
        <v>49911</v>
      </c>
      <c r="AP36" s="356">
        <v>0</v>
      </c>
      <c r="AQ36" s="356">
        <v>0</v>
      </c>
      <c r="AR36" s="356">
        <v>44768</v>
      </c>
      <c r="AS36" s="356">
        <v>0</v>
      </c>
      <c r="AT36" s="356">
        <v>0</v>
      </c>
      <c r="AU36" s="356">
        <v>0</v>
      </c>
      <c r="AV36" s="356">
        <v>0</v>
      </c>
      <c r="AW36" s="356">
        <v>26277</v>
      </c>
    </row>
    <row r="37" spans="3:49" x14ac:dyDescent="0.3">
      <c r="C37" s="356">
        <v>59</v>
      </c>
      <c r="D37" s="356">
        <v>4</v>
      </c>
      <c r="E37" s="356">
        <v>9</v>
      </c>
      <c r="F37" s="356">
        <v>31984</v>
      </c>
      <c r="G37" s="356">
        <v>0</v>
      </c>
      <c r="H37" s="356">
        <v>0</v>
      </c>
      <c r="I37" s="356">
        <v>0</v>
      </c>
      <c r="J37" s="356">
        <v>0</v>
      </c>
      <c r="K37" s="356">
        <v>0</v>
      </c>
      <c r="L37" s="356">
        <v>0</v>
      </c>
      <c r="M37" s="356">
        <v>0</v>
      </c>
      <c r="N37" s="356">
        <v>0</v>
      </c>
      <c r="O37" s="356">
        <v>0</v>
      </c>
      <c r="P37" s="356">
        <v>16113</v>
      </c>
      <c r="Q37" s="356">
        <v>5893</v>
      </c>
      <c r="R37" s="356">
        <v>9978</v>
      </c>
      <c r="S37" s="356">
        <v>0</v>
      </c>
      <c r="T37" s="356">
        <v>0</v>
      </c>
      <c r="U37" s="356">
        <v>0</v>
      </c>
      <c r="V37" s="356">
        <v>0</v>
      </c>
      <c r="W37" s="356">
        <v>0</v>
      </c>
      <c r="X37" s="356">
        <v>0</v>
      </c>
      <c r="Y37" s="356">
        <v>0</v>
      </c>
      <c r="Z37" s="356">
        <v>0</v>
      </c>
      <c r="AA37" s="356">
        <v>0</v>
      </c>
      <c r="AB37" s="356">
        <v>0</v>
      </c>
      <c r="AC37" s="356">
        <v>0</v>
      </c>
      <c r="AD37" s="356">
        <v>0</v>
      </c>
      <c r="AE37" s="356">
        <v>0</v>
      </c>
      <c r="AF37" s="356">
        <v>0</v>
      </c>
      <c r="AG37" s="356">
        <v>0</v>
      </c>
      <c r="AH37" s="356">
        <v>0</v>
      </c>
      <c r="AI37" s="356">
        <v>0</v>
      </c>
      <c r="AJ37" s="356">
        <v>0</v>
      </c>
      <c r="AK37" s="356">
        <v>0</v>
      </c>
      <c r="AL37" s="356">
        <v>0</v>
      </c>
      <c r="AM37" s="356">
        <v>0</v>
      </c>
      <c r="AN37" s="356">
        <v>0</v>
      </c>
      <c r="AO37" s="356">
        <v>0</v>
      </c>
      <c r="AP37" s="356">
        <v>0</v>
      </c>
      <c r="AQ37" s="356">
        <v>0</v>
      </c>
      <c r="AR37" s="356">
        <v>0</v>
      </c>
      <c r="AS37" s="356">
        <v>0</v>
      </c>
      <c r="AT37" s="356">
        <v>0</v>
      </c>
      <c r="AU37" s="356">
        <v>0</v>
      </c>
      <c r="AV37" s="356">
        <v>0</v>
      </c>
      <c r="AW37" s="356">
        <v>0</v>
      </c>
    </row>
    <row r="38" spans="3:49" x14ac:dyDescent="0.3">
      <c r="C38" s="356">
        <v>59</v>
      </c>
      <c r="D38" s="356">
        <v>4</v>
      </c>
      <c r="E38" s="356">
        <v>10</v>
      </c>
      <c r="F38" s="356">
        <v>26304</v>
      </c>
      <c r="G38" s="356">
        <v>0</v>
      </c>
      <c r="H38" s="356">
        <v>0</v>
      </c>
      <c r="I38" s="356">
        <v>0</v>
      </c>
      <c r="J38" s="356">
        <v>11200</v>
      </c>
      <c r="K38" s="356">
        <v>0</v>
      </c>
      <c r="L38" s="356">
        <v>0</v>
      </c>
      <c r="M38" s="356">
        <v>0</v>
      </c>
      <c r="N38" s="356">
        <v>0</v>
      </c>
      <c r="O38" s="356">
        <v>15104</v>
      </c>
      <c r="P38" s="356">
        <v>0</v>
      </c>
      <c r="Q38" s="356">
        <v>0</v>
      </c>
      <c r="R38" s="356">
        <v>0</v>
      </c>
      <c r="S38" s="356">
        <v>0</v>
      </c>
      <c r="T38" s="356">
        <v>0</v>
      </c>
      <c r="U38" s="356">
        <v>0</v>
      </c>
      <c r="V38" s="356">
        <v>0</v>
      </c>
      <c r="W38" s="356">
        <v>0</v>
      </c>
      <c r="X38" s="356">
        <v>0</v>
      </c>
      <c r="Y38" s="356">
        <v>0</v>
      </c>
      <c r="Z38" s="356">
        <v>0</v>
      </c>
      <c r="AA38" s="356">
        <v>0</v>
      </c>
      <c r="AB38" s="356">
        <v>0</v>
      </c>
      <c r="AC38" s="356">
        <v>0</v>
      </c>
      <c r="AD38" s="356">
        <v>0</v>
      </c>
      <c r="AE38" s="356">
        <v>0</v>
      </c>
      <c r="AF38" s="356">
        <v>0</v>
      </c>
      <c r="AG38" s="356">
        <v>0</v>
      </c>
      <c r="AH38" s="356">
        <v>0</v>
      </c>
      <c r="AI38" s="356">
        <v>0</v>
      </c>
      <c r="AJ38" s="356">
        <v>0</v>
      </c>
      <c r="AK38" s="356">
        <v>0</v>
      </c>
      <c r="AL38" s="356">
        <v>0</v>
      </c>
      <c r="AM38" s="356">
        <v>0</v>
      </c>
      <c r="AN38" s="356">
        <v>0</v>
      </c>
      <c r="AO38" s="356">
        <v>0</v>
      </c>
      <c r="AP38" s="356">
        <v>0</v>
      </c>
      <c r="AQ38" s="356">
        <v>0</v>
      </c>
      <c r="AR38" s="356">
        <v>0</v>
      </c>
      <c r="AS38" s="356">
        <v>0</v>
      </c>
      <c r="AT38" s="356">
        <v>0</v>
      </c>
      <c r="AU38" s="356">
        <v>0</v>
      </c>
      <c r="AV38" s="356">
        <v>0</v>
      </c>
      <c r="AW38" s="356">
        <v>0</v>
      </c>
    </row>
    <row r="39" spans="3:49" x14ac:dyDescent="0.3">
      <c r="C39" s="356">
        <v>59</v>
      </c>
      <c r="D39" s="356">
        <v>4</v>
      </c>
      <c r="E39" s="356">
        <v>11</v>
      </c>
      <c r="F39" s="356">
        <v>12717.557251908398</v>
      </c>
      <c r="G39" s="356">
        <v>0</v>
      </c>
      <c r="H39" s="356">
        <v>0</v>
      </c>
      <c r="I39" s="356">
        <v>0</v>
      </c>
      <c r="J39" s="356">
        <v>1717.5572519083971</v>
      </c>
      <c r="K39" s="356">
        <v>0</v>
      </c>
      <c r="L39" s="356">
        <v>0</v>
      </c>
      <c r="M39" s="356">
        <v>0</v>
      </c>
      <c r="N39" s="356">
        <v>0</v>
      </c>
      <c r="O39" s="356">
        <v>11000</v>
      </c>
      <c r="P39" s="356">
        <v>0</v>
      </c>
      <c r="Q39" s="356">
        <v>0</v>
      </c>
      <c r="R39" s="356">
        <v>0</v>
      </c>
      <c r="S39" s="356">
        <v>0</v>
      </c>
      <c r="T39" s="356">
        <v>0</v>
      </c>
      <c r="U39" s="356">
        <v>0</v>
      </c>
      <c r="V39" s="356">
        <v>0</v>
      </c>
      <c r="W39" s="356">
        <v>0</v>
      </c>
      <c r="X39" s="356">
        <v>0</v>
      </c>
      <c r="Y39" s="356">
        <v>0</v>
      </c>
      <c r="Z39" s="356">
        <v>0</v>
      </c>
      <c r="AA39" s="356">
        <v>0</v>
      </c>
      <c r="AB39" s="356">
        <v>0</v>
      </c>
      <c r="AC39" s="356">
        <v>0</v>
      </c>
      <c r="AD39" s="356">
        <v>0</v>
      </c>
      <c r="AE39" s="356">
        <v>0</v>
      </c>
      <c r="AF39" s="356">
        <v>0</v>
      </c>
      <c r="AG39" s="356">
        <v>0</v>
      </c>
      <c r="AH39" s="356">
        <v>0</v>
      </c>
      <c r="AI39" s="356">
        <v>0</v>
      </c>
      <c r="AJ39" s="356">
        <v>0</v>
      </c>
      <c r="AK39" s="356">
        <v>0</v>
      </c>
      <c r="AL39" s="356">
        <v>0</v>
      </c>
      <c r="AM39" s="356">
        <v>0</v>
      </c>
      <c r="AN39" s="356">
        <v>0</v>
      </c>
      <c r="AO39" s="356">
        <v>0</v>
      </c>
      <c r="AP39" s="356">
        <v>0</v>
      </c>
      <c r="AQ39" s="356">
        <v>0</v>
      </c>
      <c r="AR39" s="356">
        <v>0</v>
      </c>
      <c r="AS39" s="356">
        <v>0</v>
      </c>
      <c r="AT39" s="356">
        <v>0</v>
      </c>
      <c r="AU39" s="356">
        <v>0</v>
      </c>
      <c r="AV39" s="356">
        <v>0</v>
      </c>
      <c r="AW39" s="356">
        <v>0</v>
      </c>
    </row>
    <row r="40" spans="3:49" x14ac:dyDescent="0.3">
      <c r="C40" s="356">
        <v>59</v>
      </c>
      <c r="D40" s="356">
        <v>5</v>
      </c>
      <c r="E40" s="356">
        <v>1</v>
      </c>
      <c r="F40" s="356">
        <v>58.15</v>
      </c>
      <c r="G40" s="356">
        <v>0</v>
      </c>
      <c r="H40" s="356">
        <v>0</v>
      </c>
      <c r="I40" s="356">
        <v>0</v>
      </c>
      <c r="J40" s="356">
        <v>1.8</v>
      </c>
      <c r="K40" s="356">
        <v>6.55</v>
      </c>
      <c r="L40" s="356">
        <v>0</v>
      </c>
      <c r="M40" s="356">
        <v>0</v>
      </c>
      <c r="N40" s="356">
        <v>0</v>
      </c>
      <c r="O40" s="356">
        <v>0</v>
      </c>
      <c r="P40" s="356">
        <v>13.05</v>
      </c>
      <c r="Q40" s="356">
        <v>21</v>
      </c>
      <c r="R40" s="356">
        <v>10.75</v>
      </c>
      <c r="S40" s="356">
        <v>0</v>
      </c>
      <c r="T40" s="356">
        <v>0</v>
      </c>
      <c r="U40" s="356">
        <v>0</v>
      </c>
      <c r="V40" s="356">
        <v>0</v>
      </c>
      <c r="W40" s="356">
        <v>0</v>
      </c>
      <c r="X40" s="356">
        <v>0</v>
      </c>
      <c r="Y40" s="356">
        <v>0</v>
      </c>
      <c r="Z40" s="356">
        <v>0</v>
      </c>
      <c r="AA40" s="356">
        <v>0</v>
      </c>
      <c r="AB40" s="356">
        <v>0</v>
      </c>
      <c r="AC40" s="356">
        <v>0</v>
      </c>
      <c r="AD40" s="356">
        <v>0</v>
      </c>
      <c r="AE40" s="356">
        <v>0</v>
      </c>
      <c r="AF40" s="356">
        <v>0</v>
      </c>
      <c r="AG40" s="356">
        <v>0</v>
      </c>
      <c r="AH40" s="356">
        <v>0</v>
      </c>
      <c r="AI40" s="356">
        <v>0</v>
      </c>
      <c r="AJ40" s="356">
        <v>0</v>
      </c>
      <c r="AK40" s="356">
        <v>0</v>
      </c>
      <c r="AL40" s="356">
        <v>0</v>
      </c>
      <c r="AM40" s="356">
        <v>0</v>
      </c>
      <c r="AN40" s="356">
        <v>0</v>
      </c>
      <c r="AO40" s="356">
        <v>2</v>
      </c>
      <c r="AP40" s="356">
        <v>0</v>
      </c>
      <c r="AQ40" s="356">
        <v>0</v>
      </c>
      <c r="AR40" s="356">
        <v>2</v>
      </c>
      <c r="AS40" s="356">
        <v>0</v>
      </c>
      <c r="AT40" s="356">
        <v>0</v>
      </c>
      <c r="AU40" s="356">
        <v>0</v>
      </c>
      <c r="AV40" s="356">
        <v>0</v>
      </c>
      <c r="AW40" s="356">
        <v>1</v>
      </c>
    </row>
    <row r="41" spans="3:49" x14ac:dyDescent="0.3">
      <c r="C41" s="356">
        <v>59</v>
      </c>
      <c r="D41" s="356">
        <v>5</v>
      </c>
      <c r="E41" s="356">
        <v>2</v>
      </c>
      <c r="F41" s="356">
        <v>8924</v>
      </c>
      <c r="G41" s="356">
        <v>0</v>
      </c>
      <c r="H41" s="356">
        <v>0</v>
      </c>
      <c r="I41" s="356">
        <v>0</v>
      </c>
      <c r="J41" s="356">
        <v>297</v>
      </c>
      <c r="K41" s="356">
        <v>1080.77</v>
      </c>
      <c r="L41" s="356">
        <v>0</v>
      </c>
      <c r="M41" s="356">
        <v>0</v>
      </c>
      <c r="N41" s="356">
        <v>0</v>
      </c>
      <c r="O41" s="356">
        <v>0</v>
      </c>
      <c r="P41" s="356">
        <v>2067</v>
      </c>
      <c r="Q41" s="356">
        <v>3224.46</v>
      </c>
      <c r="R41" s="356">
        <v>1449.77</v>
      </c>
      <c r="S41" s="356">
        <v>0</v>
      </c>
      <c r="T41" s="356">
        <v>0</v>
      </c>
      <c r="U41" s="356">
        <v>0</v>
      </c>
      <c r="V41" s="356">
        <v>0</v>
      </c>
      <c r="W41" s="356">
        <v>0</v>
      </c>
      <c r="X41" s="356">
        <v>0</v>
      </c>
      <c r="Y41" s="356">
        <v>0</v>
      </c>
      <c r="Z41" s="356">
        <v>0</v>
      </c>
      <c r="AA41" s="356">
        <v>0</v>
      </c>
      <c r="AB41" s="356">
        <v>0</v>
      </c>
      <c r="AC41" s="356">
        <v>0</v>
      </c>
      <c r="AD41" s="356">
        <v>0</v>
      </c>
      <c r="AE41" s="356">
        <v>0</v>
      </c>
      <c r="AF41" s="356">
        <v>0</v>
      </c>
      <c r="AG41" s="356">
        <v>0</v>
      </c>
      <c r="AH41" s="356">
        <v>0</v>
      </c>
      <c r="AI41" s="356">
        <v>0</v>
      </c>
      <c r="AJ41" s="356">
        <v>0</v>
      </c>
      <c r="AK41" s="356">
        <v>0</v>
      </c>
      <c r="AL41" s="356">
        <v>0</v>
      </c>
      <c r="AM41" s="356">
        <v>0</v>
      </c>
      <c r="AN41" s="356">
        <v>0</v>
      </c>
      <c r="AO41" s="356">
        <v>302.5</v>
      </c>
      <c r="AP41" s="356">
        <v>0</v>
      </c>
      <c r="AQ41" s="356">
        <v>0</v>
      </c>
      <c r="AR41" s="356">
        <v>326.5</v>
      </c>
      <c r="AS41" s="356">
        <v>0</v>
      </c>
      <c r="AT41" s="356">
        <v>0</v>
      </c>
      <c r="AU41" s="356">
        <v>0</v>
      </c>
      <c r="AV41" s="356">
        <v>0</v>
      </c>
      <c r="AW41" s="356">
        <v>176</v>
      </c>
    </row>
    <row r="42" spans="3:49" x14ac:dyDescent="0.3">
      <c r="C42" s="356">
        <v>59</v>
      </c>
      <c r="D42" s="356">
        <v>5</v>
      </c>
      <c r="E42" s="356">
        <v>3</v>
      </c>
      <c r="F42" s="356">
        <v>310</v>
      </c>
      <c r="G42" s="356">
        <v>0</v>
      </c>
      <c r="H42" s="356">
        <v>0</v>
      </c>
      <c r="I42" s="356">
        <v>0</v>
      </c>
      <c r="J42" s="356">
        <v>25</v>
      </c>
      <c r="K42" s="356">
        <v>35</v>
      </c>
      <c r="L42" s="356">
        <v>0</v>
      </c>
      <c r="M42" s="356">
        <v>0</v>
      </c>
      <c r="N42" s="356">
        <v>0</v>
      </c>
      <c r="O42" s="356">
        <v>0</v>
      </c>
      <c r="P42" s="356">
        <v>75</v>
      </c>
      <c r="Q42" s="356">
        <v>125</v>
      </c>
      <c r="R42" s="356">
        <v>50</v>
      </c>
      <c r="S42" s="356">
        <v>0</v>
      </c>
      <c r="T42" s="356">
        <v>0</v>
      </c>
      <c r="U42" s="356">
        <v>0</v>
      </c>
      <c r="V42" s="356">
        <v>0</v>
      </c>
      <c r="W42" s="356">
        <v>0</v>
      </c>
      <c r="X42" s="356">
        <v>0</v>
      </c>
      <c r="Y42" s="356">
        <v>0</v>
      </c>
      <c r="Z42" s="356">
        <v>0</v>
      </c>
      <c r="AA42" s="356">
        <v>0</v>
      </c>
      <c r="AB42" s="356">
        <v>0</v>
      </c>
      <c r="AC42" s="356">
        <v>0</v>
      </c>
      <c r="AD42" s="356">
        <v>0</v>
      </c>
      <c r="AE42" s="356">
        <v>0</v>
      </c>
      <c r="AF42" s="356">
        <v>0</v>
      </c>
      <c r="AG42" s="356">
        <v>0</v>
      </c>
      <c r="AH42" s="356">
        <v>0</v>
      </c>
      <c r="AI42" s="356">
        <v>0</v>
      </c>
      <c r="AJ42" s="356">
        <v>0</v>
      </c>
      <c r="AK42" s="356">
        <v>0</v>
      </c>
      <c r="AL42" s="356">
        <v>0</v>
      </c>
      <c r="AM42" s="356">
        <v>0</v>
      </c>
      <c r="AN42" s="356">
        <v>0</v>
      </c>
      <c r="AO42" s="356">
        <v>0</v>
      </c>
      <c r="AP42" s="356">
        <v>0</v>
      </c>
      <c r="AQ42" s="356">
        <v>0</v>
      </c>
      <c r="AR42" s="356">
        <v>0</v>
      </c>
      <c r="AS42" s="356">
        <v>0</v>
      </c>
      <c r="AT42" s="356">
        <v>0</v>
      </c>
      <c r="AU42" s="356">
        <v>0</v>
      </c>
      <c r="AV42" s="356">
        <v>0</v>
      </c>
      <c r="AW42" s="356">
        <v>0</v>
      </c>
    </row>
    <row r="43" spans="3:49" x14ac:dyDescent="0.3">
      <c r="C43" s="356">
        <v>59</v>
      </c>
      <c r="D43" s="356">
        <v>5</v>
      </c>
      <c r="E43" s="356">
        <v>4</v>
      </c>
      <c r="F43" s="356">
        <v>696.25</v>
      </c>
      <c r="G43" s="356">
        <v>0</v>
      </c>
      <c r="H43" s="356">
        <v>0</v>
      </c>
      <c r="I43" s="356">
        <v>0</v>
      </c>
      <c r="J43" s="356">
        <v>32</v>
      </c>
      <c r="K43" s="356">
        <v>144</v>
      </c>
      <c r="L43" s="356">
        <v>0</v>
      </c>
      <c r="M43" s="356">
        <v>0</v>
      </c>
      <c r="N43" s="356">
        <v>0</v>
      </c>
      <c r="O43" s="356">
        <v>0</v>
      </c>
      <c r="P43" s="356">
        <v>150</v>
      </c>
      <c r="Q43" s="356">
        <v>182</v>
      </c>
      <c r="R43" s="356">
        <v>128.25</v>
      </c>
      <c r="S43" s="356">
        <v>0</v>
      </c>
      <c r="T43" s="356">
        <v>0</v>
      </c>
      <c r="U43" s="356">
        <v>0</v>
      </c>
      <c r="V43" s="356">
        <v>0</v>
      </c>
      <c r="W43" s="356">
        <v>0</v>
      </c>
      <c r="X43" s="356">
        <v>0</v>
      </c>
      <c r="Y43" s="356">
        <v>0</v>
      </c>
      <c r="Z43" s="356">
        <v>0</v>
      </c>
      <c r="AA43" s="356">
        <v>0</v>
      </c>
      <c r="AB43" s="356">
        <v>0</v>
      </c>
      <c r="AC43" s="356">
        <v>0</v>
      </c>
      <c r="AD43" s="356">
        <v>0</v>
      </c>
      <c r="AE43" s="356">
        <v>0</v>
      </c>
      <c r="AF43" s="356">
        <v>0</v>
      </c>
      <c r="AG43" s="356">
        <v>0</v>
      </c>
      <c r="AH43" s="356">
        <v>0</v>
      </c>
      <c r="AI43" s="356">
        <v>0</v>
      </c>
      <c r="AJ43" s="356">
        <v>0</v>
      </c>
      <c r="AK43" s="356">
        <v>0</v>
      </c>
      <c r="AL43" s="356">
        <v>0</v>
      </c>
      <c r="AM43" s="356">
        <v>0</v>
      </c>
      <c r="AN43" s="356">
        <v>0</v>
      </c>
      <c r="AO43" s="356">
        <v>35</v>
      </c>
      <c r="AP43" s="356">
        <v>0</v>
      </c>
      <c r="AQ43" s="356">
        <v>0</v>
      </c>
      <c r="AR43" s="356">
        <v>25</v>
      </c>
      <c r="AS43" s="356">
        <v>0</v>
      </c>
      <c r="AT43" s="356">
        <v>0</v>
      </c>
      <c r="AU43" s="356">
        <v>0</v>
      </c>
      <c r="AV43" s="356">
        <v>0</v>
      </c>
      <c r="AW43" s="356">
        <v>0</v>
      </c>
    </row>
    <row r="44" spans="3:49" x14ac:dyDescent="0.3">
      <c r="C44" s="356">
        <v>59</v>
      </c>
      <c r="D44" s="356">
        <v>5</v>
      </c>
      <c r="E44" s="356">
        <v>5</v>
      </c>
      <c r="F44" s="356">
        <v>48</v>
      </c>
      <c r="G44" s="356">
        <v>48</v>
      </c>
      <c r="H44" s="356">
        <v>0</v>
      </c>
      <c r="I44" s="356">
        <v>0</v>
      </c>
      <c r="J44" s="356">
        <v>0</v>
      </c>
      <c r="K44" s="356">
        <v>0</v>
      </c>
      <c r="L44" s="356">
        <v>0</v>
      </c>
      <c r="M44" s="356">
        <v>0</v>
      </c>
      <c r="N44" s="356">
        <v>0</v>
      </c>
      <c r="O44" s="356">
        <v>0</v>
      </c>
      <c r="P44" s="356">
        <v>0</v>
      </c>
      <c r="Q44" s="356">
        <v>0</v>
      </c>
      <c r="R44" s="356">
        <v>0</v>
      </c>
      <c r="S44" s="356">
        <v>0</v>
      </c>
      <c r="T44" s="356">
        <v>0</v>
      </c>
      <c r="U44" s="356">
        <v>0</v>
      </c>
      <c r="V44" s="356">
        <v>0</v>
      </c>
      <c r="W44" s="356">
        <v>0</v>
      </c>
      <c r="X44" s="356">
        <v>0</v>
      </c>
      <c r="Y44" s="356">
        <v>0</v>
      </c>
      <c r="Z44" s="356">
        <v>0</v>
      </c>
      <c r="AA44" s="356">
        <v>0</v>
      </c>
      <c r="AB44" s="356">
        <v>0</v>
      </c>
      <c r="AC44" s="356">
        <v>0</v>
      </c>
      <c r="AD44" s="356">
        <v>0</v>
      </c>
      <c r="AE44" s="356">
        <v>0</v>
      </c>
      <c r="AF44" s="356">
        <v>0</v>
      </c>
      <c r="AG44" s="356">
        <v>0</v>
      </c>
      <c r="AH44" s="356">
        <v>0</v>
      </c>
      <c r="AI44" s="356">
        <v>0</v>
      </c>
      <c r="AJ44" s="356">
        <v>0</v>
      </c>
      <c r="AK44" s="356">
        <v>0</v>
      </c>
      <c r="AL44" s="356">
        <v>0</v>
      </c>
      <c r="AM44" s="356">
        <v>0</v>
      </c>
      <c r="AN44" s="356">
        <v>0</v>
      </c>
      <c r="AO44" s="356">
        <v>0</v>
      </c>
      <c r="AP44" s="356">
        <v>0</v>
      </c>
      <c r="AQ44" s="356">
        <v>0</v>
      </c>
      <c r="AR44" s="356">
        <v>0</v>
      </c>
      <c r="AS44" s="356">
        <v>0</v>
      </c>
      <c r="AT44" s="356">
        <v>0</v>
      </c>
      <c r="AU44" s="356">
        <v>0</v>
      </c>
      <c r="AV44" s="356">
        <v>0</v>
      </c>
      <c r="AW44" s="356">
        <v>0</v>
      </c>
    </row>
    <row r="45" spans="3:49" x14ac:dyDescent="0.3">
      <c r="C45" s="356">
        <v>59</v>
      </c>
      <c r="D45" s="356">
        <v>5</v>
      </c>
      <c r="E45" s="356">
        <v>6</v>
      </c>
      <c r="F45" s="356">
        <v>2630782</v>
      </c>
      <c r="G45" s="356">
        <v>9600</v>
      </c>
      <c r="H45" s="356">
        <v>0</v>
      </c>
      <c r="I45" s="356">
        <v>0</v>
      </c>
      <c r="J45" s="356">
        <v>90493</v>
      </c>
      <c r="K45" s="356">
        <v>610822</v>
      </c>
      <c r="L45" s="356">
        <v>0</v>
      </c>
      <c r="M45" s="356">
        <v>0</v>
      </c>
      <c r="N45" s="356">
        <v>0</v>
      </c>
      <c r="O45" s="356">
        <v>0</v>
      </c>
      <c r="P45" s="356">
        <v>467204</v>
      </c>
      <c r="Q45" s="356">
        <v>872116</v>
      </c>
      <c r="R45" s="356">
        <v>449933</v>
      </c>
      <c r="S45" s="356">
        <v>0</v>
      </c>
      <c r="T45" s="356">
        <v>0</v>
      </c>
      <c r="U45" s="356">
        <v>0</v>
      </c>
      <c r="V45" s="356">
        <v>0</v>
      </c>
      <c r="W45" s="356">
        <v>0</v>
      </c>
      <c r="X45" s="356">
        <v>0</v>
      </c>
      <c r="Y45" s="356">
        <v>0</v>
      </c>
      <c r="Z45" s="356">
        <v>0</v>
      </c>
      <c r="AA45" s="356">
        <v>0</v>
      </c>
      <c r="AB45" s="356">
        <v>0</v>
      </c>
      <c r="AC45" s="356">
        <v>0</v>
      </c>
      <c r="AD45" s="356">
        <v>0</v>
      </c>
      <c r="AE45" s="356">
        <v>0</v>
      </c>
      <c r="AF45" s="356">
        <v>0</v>
      </c>
      <c r="AG45" s="356">
        <v>0</v>
      </c>
      <c r="AH45" s="356">
        <v>0</v>
      </c>
      <c r="AI45" s="356">
        <v>0</v>
      </c>
      <c r="AJ45" s="356">
        <v>0</v>
      </c>
      <c r="AK45" s="356">
        <v>0</v>
      </c>
      <c r="AL45" s="356">
        <v>0</v>
      </c>
      <c r="AM45" s="356">
        <v>0</v>
      </c>
      <c r="AN45" s="356">
        <v>0</v>
      </c>
      <c r="AO45" s="356">
        <v>55297</v>
      </c>
      <c r="AP45" s="356">
        <v>0</v>
      </c>
      <c r="AQ45" s="356">
        <v>0</v>
      </c>
      <c r="AR45" s="356">
        <v>49127</v>
      </c>
      <c r="AS45" s="356">
        <v>0</v>
      </c>
      <c r="AT45" s="356">
        <v>0</v>
      </c>
      <c r="AU45" s="356">
        <v>0</v>
      </c>
      <c r="AV45" s="356">
        <v>0</v>
      </c>
      <c r="AW45" s="356">
        <v>26190</v>
      </c>
    </row>
    <row r="46" spans="3:49" x14ac:dyDescent="0.3">
      <c r="C46" s="356">
        <v>59</v>
      </c>
      <c r="D46" s="356">
        <v>5</v>
      </c>
      <c r="E46" s="356">
        <v>9</v>
      </c>
      <c r="F46" s="356">
        <v>20412</v>
      </c>
      <c r="G46" s="356">
        <v>0</v>
      </c>
      <c r="H46" s="356">
        <v>0</v>
      </c>
      <c r="I46" s="356">
        <v>0</v>
      </c>
      <c r="J46" s="356">
        <v>0</v>
      </c>
      <c r="K46" s="356">
        <v>0</v>
      </c>
      <c r="L46" s="356">
        <v>0</v>
      </c>
      <c r="M46" s="356">
        <v>0</v>
      </c>
      <c r="N46" s="356">
        <v>0</v>
      </c>
      <c r="O46" s="356">
        <v>0</v>
      </c>
      <c r="P46" s="356">
        <v>6718</v>
      </c>
      <c r="Q46" s="356">
        <v>10434</v>
      </c>
      <c r="R46" s="356">
        <v>3260</v>
      </c>
      <c r="S46" s="356">
        <v>0</v>
      </c>
      <c r="T46" s="356">
        <v>0</v>
      </c>
      <c r="U46" s="356">
        <v>0</v>
      </c>
      <c r="V46" s="356">
        <v>0</v>
      </c>
      <c r="W46" s="356">
        <v>0</v>
      </c>
      <c r="X46" s="356">
        <v>0</v>
      </c>
      <c r="Y46" s="356">
        <v>0</v>
      </c>
      <c r="Z46" s="356">
        <v>0</v>
      </c>
      <c r="AA46" s="356">
        <v>0</v>
      </c>
      <c r="AB46" s="356">
        <v>0</v>
      </c>
      <c r="AC46" s="356">
        <v>0</v>
      </c>
      <c r="AD46" s="356">
        <v>0</v>
      </c>
      <c r="AE46" s="356">
        <v>0</v>
      </c>
      <c r="AF46" s="356">
        <v>0</v>
      </c>
      <c r="AG46" s="356">
        <v>0</v>
      </c>
      <c r="AH46" s="356">
        <v>0</v>
      </c>
      <c r="AI46" s="356">
        <v>0</v>
      </c>
      <c r="AJ46" s="356">
        <v>0</v>
      </c>
      <c r="AK46" s="356">
        <v>0</v>
      </c>
      <c r="AL46" s="356">
        <v>0</v>
      </c>
      <c r="AM46" s="356">
        <v>0</v>
      </c>
      <c r="AN46" s="356">
        <v>0</v>
      </c>
      <c r="AO46" s="356">
        <v>0</v>
      </c>
      <c r="AP46" s="356">
        <v>0</v>
      </c>
      <c r="AQ46" s="356">
        <v>0</v>
      </c>
      <c r="AR46" s="356">
        <v>0</v>
      </c>
      <c r="AS46" s="356">
        <v>0</v>
      </c>
      <c r="AT46" s="356">
        <v>0</v>
      </c>
      <c r="AU46" s="356">
        <v>0</v>
      </c>
      <c r="AV46" s="356">
        <v>0</v>
      </c>
      <c r="AW46" s="356">
        <v>0</v>
      </c>
    </row>
    <row r="47" spans="3:49" x14ac:dyDescent="0.3">
      <c r="C47" s="356">
        <v>59</v>
      </c>
      <c r="D47" s="356">
        <v>5</v>
      </c>
      <c r="E47" s="356">
        <v>10</v>
      </c>
      <c r="F47" s="356">
        <v>7552</v>
      </c>
      <c r="G47" s="356">
        <v>0</v>
      </c>
      <c r="H47" s="356">
        <v>0</v>
      </c>
      <c r="I47" s="356">
        <v>0</v>
      </c>
      <c r="J47" s="356">
        <v>0</v>
      </c>
      <c r="K47" s="356">
        <v>0</v>
      </c>
      <c r="L47" s="356">
        <v>0</v>
      </c>
      <c r="M47" s="356">
        <v>0</v>
      </c>
      <c r="N47" s="356">
        <v>0</v>
      </c>
      <c r="O47" s="356">
        <v>7552</v>
      </c>
      <c r="P47" s="356">
        <v>0</v>
      </c>
      <c r="Q47" s="356">
        <v>0</v>
      </c>
      <c r="R47" s="356">
        <v>0</v>
      </c>
      <c r="S47" s="356">
        <v>0</v>
      </c>
      <c r="T47" s="356">
        <v>0</v>
      </c>
      <c r="U47" s="356">
        <v>0</v>
      </c>
      <c r="V47" s="356">
        <v>0</v>
      </c>
      <c r="W47" s="356">
        <v>0</v>
      </c>
      <c r="X47" s="356">
        <v>0</v>
      </c>
      <c r="Y47" s="356">
        <v>0</v>
      </c>
      <c r="Z47" s="356">
        <v>0</v>
      </c>
      <c r="AA47" s="356">
        <v>0</v>
      </c>
      <c r="AB47" s="356">
        <v>0</v>
      </c>
      <c r="AC47" s="356">
        <v>0</v>
      </c>
      <c r="AD47" s="356">
        <v>0</v>
      </c>
      <c r="AE47" s="356">
        <v>0</v>
      </c>
      <c r="AF47" s="356">
        <v>0</v>
      </c>
      <c r="AG47" s="356">
        <v>0</v>
      </c>
      <c r="AH47" s="356">
        <v>0</v>
      </c>
      <c r="AI47" s="356">
        <v>0</v>
      </c>
      <c r="AJ47" s="356">
        <v>0</v>
      </c>
      <c r="AK47" s="356">
        <v>0</v>
      </c>
      <c r="AL47" s="356">
        <v>0</v>
      </c>
      <c r="AM47" s="356">
        <v>0</v>
      </c>
      <c r="AN47" s="356">
        <v>0</v>
      </c>
      <c r="AO47" s="356">
        <v>0</v>
      </c>
      <c r="AP47" s="356">
        <v>0</v>
      </c>
      <c r="AQ47" s="356">
        <v>0</v>
      </c>
      <c r="AR47" s="356">
        <v>0</v>
      </c>
      <c r="AS47" s="356">
        <v>0</v>
      </c>
      <c r="AT47" s="356">
        <v>0</v>
      </c>
      <c r="AU47" s="356">
        <v>0</v>
      </c>
      <c r="AV47" s="356">
        <v>0</v>
      </c>
      <c r="AW47" s="356">
        <v>0</v>
      </c>
    </row>
    <row r="48" spans="3:49" x14ac:dyDescent="0.3">
      <c r="C48" s="356">
        <v>59</v>
      </c>
      <c r="D48" s="356">
        <v>5</v>
      </c>
      <c r="E48" s="356">
        <v>11</v>
      </c>
      <c r="F48" s="356">
        <v>12717.557251908398</v>
      </c>
      <c r="G48" s="356">
        <v>0</v>
      </c>
      <c r="H48" s="356">
        <v>0</v>
      </c>
      <c r="I48" s="356">
        <v>0</v>
      </c>
      <c r="J48" s="356">
        <v>1717.5572519083971</v>
      </c>
      <c r="K48" s="356">
        <v>0</v>
      </c>
      <c r="L48" s="356">
        <v>0</v>
      </c>
      <c r="M48" s="356">
        <v>0</v>
      </c>
      <c r="N48" s="356">
        <v>0</v>
      </c>
      <c r="O48" s="356">
        <v>11000</v>
      </c>
      <c r="P48" s="356">
        <v>0</v>
      </c>
      <c r="Q48" s="356">
        <v>0</v>
      </c>
      <c r="R48" s="356">
        <v>0</v>
      </c>
      <c r="S48" s="356">
        <v>0</v>
      </c>
      <c r="T48" s="356">
        <v>0</v>
      </c>
      <c r="U48" s="356">
        <v>0</v>
      </c>
      <c r="V48" s="356">
        <v>0</v>
      </c>
      <c r="W48" s="356">
        <v>0</v>
      </c>
      <c r="X48" s="356">
        <v>0</v>
      </c>
      <c r="Y48" s="356">
        <v>0</v>
      </c>
      <c r="Z48" s="356">
        <v>0</v>
      </c>
      <c r="AA48" s="356">
        <v>0</v>
      </c>
      <c r="AB48" s="356">
        <v>0</v>
      </c>
      <c r="AC48" s="356">
        <v>0</v>
      </c>
      <c r="AD48" s="356">
        <v>0</v>
      </c>
      <c r="AE48" s="356">
        <v>0</v>
      </c>
      <c r="AF48" s="356">
        <v>0</v>
      </c>
      <c r="AG48" s="356">
        <v>0</v>
      </c>
      <c r="AH48" s="356">
        <v>0</v>
      </c>
      <c r="AI48" s="356">
        <v>0</v>
      </c>
      <c r="AJ48" s="356">
        <v>0</v>
      </c>
      <c r="AK48" s="356">
        <v>0</v>
      </c>
      <c r="AL48" s="356">
        <v>0</v>
      </c>
      <c r="AM48" s="356">
        <v>0</v>
      </c>
      <c r="AN48" s="356">
        <v>0</v>
      </c>
      <c r="AO48" s="356">
        <v>0</v>
      </c>
      <c r="AP48" s="356">
        <v>0</v>
      </c>
      <c r="AQ48" s="356">
        <v>0</v>
      </c>
      <c r="AR48" s="356">
        <v>0</v>
      </c>
      <c r="AS48" s="356">
        <v>0</v>
      </c>
      <c r="AT48" s="356">
        <v>0</v>
      </c>
      <c r="AU48" s="356">
        <v>0</v>
      </c>
      <c r="AV48" s="356">
        <v>0</v>
      </c>
      <c r="AW48" s="356">
        <v>0</v>
      </c>
    </row>
    <row r="49" spans="3:49" x14ac:dyDescent="0.3">
      <c r="C49" s="356">
        <v>59</v>
      </c>
      <c r="D49" s="356">
        <v>6</v>
      </c>
      <c r="E49" s="356">
        <v>1</v>
      </c>
      <c r="F49" s="356">
        <v>55.15</v>
      </c>
      <c r="G49" s="356">
        <v>0</v>
      </c>
      <c r="H49" s="356">
        <v>0</v>
      </c>
      <c r="I49" s="356">
        <v>0</v>
      </c>
      <c r="J49" s="356">
        <v>1.8</v>
      </c>
      <c r="K49" s="356">
        <v>6.55</v>
      </c>
      <c r="L49" s="356">
        <v>0</v>
      </c>
      <c r="M49" s="356">
        <v>0</v>
      </c>
      <c r="N49" s="356">
        <v>0</v>
      </c>
      <c r="O49" s="356">
        <v>0</v>
      </c>
      <c r="P49" s="356">
        <v>13.05</v>
      </c>
      <c r="Q49" s="356">
        <v>19</v>
      </c>
      <c r="R49" s="356">
        <v>9.75</v>
      </c>
      <c r="S49" s="356">
        <v>0</v>
      </c>
      <c r="T49" s="356">
        <v>0</v>
      </c>
      <c r="U49" s="356">
        <v>0</v>
      </c>
      <c r="V49" s="356">
        <v>0</v>
      </c>
      <c r="W49" s="356">
        <v>0</v>
      </c>
      <c r="X49" s="356">
        <v>0</v>
      </c>
      <c r="Y49" s="356">
        <v>0</v>
      </c>
      <c r="Z49" s="356">
        <v>0</v>
      </c>
      <c r="AA49" s="356">
        <v>0</v>
      </c>
      <c r="AB49" s="356">
        <v>0</v>
      </c>
      <c r="AC49" s="356">
        <v>0</v>
      </c>
      <c r="AD49" s="356">
        <v>0</v>
      </c>
      <c r="AE49" s="356">
        <v>0</v>
      </c>
      <c r="AF49" s="356">
        <v>0</v>
      </c>
      <c r="AG49" s="356">
        <v>0</v>
      </c>
      <c r="AH49" s="356">
        <v>0</v>
      </c>
      <c r="AI49" s="356">
        <v>0</v>
      </c>
      <c r="AJ49" s="356">
        <v>0</v>
      </c>
      <c r="AK49" s="356">
        <v>0</v>
      </c>
      <c r="AL49" s="356">
        <v>0</v>
      </c>
      <c r="AM49" s="356">
        <v>0</v>
      </c>
      <c r="AN49" s="356">
        <v>0</v>
      </c>
      <c r="AO49" s="356">
        <v>2</v>
      </c>
      <c r="AP49" s="356">
        <v>0</v>
      </c>
      <c r="AQ49" s="356">
        <v>0</v>
      </c>
      <c r="AR49" s="356">
        <v>2</v>
      </c>
      <c r="AS49" s="356">
        <v>0</v>
      </c>
      <c r="AT49" s="356">
        <v>0</v>
      </c>
      <c r="AU49" s="356">
        <v>0</v>
      </c>
      <c r="AV49" s="356">
        <v>0</v>
      </c>
      <c r="AW49" s="356">
        <v>1</v>
      </c>
    </row>
    <row r="50" spans="3:49" x14ac:dyDescent="0.3">
      <c r="C50" s="356">
        <v>59</v>
      </c>
      <c r="D50" s="356">
        <v>6</v>
      </c>
      <c r="E50" s="356">
        <v>2</v>
      </c>
      <c r="F50" s="356">
        <v>8196.31</v>
      </c>
      <c r="G50" s="356">
        <v>0</v>
      </c>
      <c r="H50" s="356">
        <v>0</v>
      </c>
      <c r="I50" s="356">
        <v>0</v>
      </c>
      <c r="J50" s="356">
        <v>273.5</v>
      </c>
      <c r="K50" s="356">
        <v>953.27</v>
      </c>
      <c r="L50" s="356">
        <v>0</v>
      </c>
      <c r="M50" s="356">
        <v>0</v>
      </c>
      <c r="N50" s="356">
        <v>0</v>
      </c>
      <c r="O50" s="356">
        <v>0</v>
      </c>
      <c r="P50" s="356">
        <v>2019</v>
      </c>
      <c r="Q50" s="356">
        <v>2948.27</v>
      </c>
      <c r="R50" s="356">
        <v>1296.77</v>
      </c>
      <c r="S50" s="356">
        <v>0</v>
      </c>
      <c r="T50" s="356">
        <v>0</v>
      </c>
      <c r="U50" s="356">
        <v>0</v>
      </c>
      <c r="V50" s="356">
        <v>0</v>
      </c>
      <c r="W50" s="356">
        <v>0</v>
      </c>
      <c r="X50" s="356">
        <v>0</v>
      </c>
      <c r="Y50" s="356">
        <v>0</v>
      </c>
      <c r="Z50" s="356">
        <v>0</v>
      </c>
      <c r="AA50" s="356">
        <v>0</v>
      </c>
      <c r="AB50" s="356">
        <v>0</v>
      </c>
      <c r="AC50" s="356">
        <v>0</v>
      </c>
      <c r="AD50" s="356">
        <v>0</v>
      </c>
      <c r="AE50" s="356">
        <v>0</v>
      </c>
      <c r="AF50" s="356">
        <v>0</v>
      </c>
      <c r="AG50" s="356">
        <v>0</v>
      </c>
      <c r="AH50" s="356">
        <v>0</v>
      </c>
      <c r="AI50" s="356">
        <v>0</v>
      </c>
      <c r="AJ50" s="356">
        <v>0</v>
      </c>
      <c r="AK50" s="356">
        <v>0</v>
      </c>
      <c r="AL50" s="356">
        <v>0</v>
      </c>
      <c r="AM50" s="356">
        <v>0</v>
      </c>
      <c r="AN50" s="356">
        <v>0</v>
      </c>
      <c r="AO50" s="356">
        <v>276</v>
      </c>
      <c r="AP50" s="356">
        <v>0</v>
      </c>
      <c r="AQ50" s="356">
        <v>0</v>
      </c>
      <c r="AR50" s="356">
        <v>293.5</v>
      </c>
      <c r="AS50" s="356">
        <v>0</v>
      </c>
      <c r="AT50" s="356">
        <v>0</v>
      </c>
      <c r="AU50" s="356">
        <v>0</v>
      </c>
      <c r="AV50" s="356">
        <v>0</v>
      </c>
      <c r="AW50" s="356">
        <v>136</v>
      </c>
    </row>
    <row r="51" spans="3:49" x14ac:dyDescent="0.3">
      <c r="C51" s="356">
        <v>59</v>
      </c>
      <c r="D51" s="356">
        <v>6</v>
      </c>
      <c r="E51" s="356">
        <v>3</v>
      </c>
      <c r="F51" s="356">
        <v>202</v>
      </c>
      <c r="G51" s="356">
        <v>0</v>
      </c>
      <c r="H51" s="356">
        <v>0</v>
      </c>
      <c r="I51" s="356">
        <v>0</v>
      </c>
      <c r="J51" s="356">
        <v>8</v>
      </c>
      <c r="K51" s="356">
        <v>19</v>
      </c>
      <c r="L51" s="356">
        <v>0</v>
      </c>
      <c r="M51" s="356">
        <v>0</v>
      </c>
      <c r="N51" s="356">
        <v>0</v>
      </c>
      <c r="O51" s="356">
        <v>0</v>
      </c>
      <c r="P51" s="356">
        <v>50</v>
      </c>
      <c r="Q51" s="356">
        <v>90</v>
      </c>
      <c r="R51" s="356">
        <v>35</v>
      </c>
      <c r="S51" s="356">
        <v>0</v>
      </c>
      <c r="T51" s="356">
        <v>0</v>
      </c>
      <c r="U51" s="356">
        <v>0</v>
      </c>
      <c r="V51" s="356">
        <v>0</v>
      </c>
      <c r="W51" s="356">
        <v>0</v>
      </c>
      <c r="X51" s="356">
        <v>0</v>
      </c>
      <c r="Y51" s="356">
        <v>0</v>
      </c>
      <c r="Z51" s="356">
        <v>0</v>
      </c>
      <c r="AA51" s="356">
        <v>0</v>
      </c>
      <c r="AB51" s="356">
        <v>0</v>
      </c>
      <c r="AC51" s="356">
        <v>0</v>
      </c>
      <c r="AD51" s="356">
        <v>0</v>
      </c>
      <c r="AE51" s="356">
        <v>0</v>
      </c>
      <c r="AF51" s="356">
        <v>0</v>
      </c>
      <c r="AG51" s="356">
        <v>0</v>
      </c>
      <c r="AH51" s="356">
        <v>0</v>
      </c>
      <c r="AI51" s="356">
        <v>0</v>
      </c>
      <c r="AJ51" s="356">
        <v>0</v>
      </c>
      <c r="AK51" s="356">
        <v>0</v>
      </c>
      <c r="AL51" s="356">
        <v>0</v>
      </c>
      <c r="AM51" s="356">
        <v>0</v>
      </c>
      <c r="AN51" s="356">
        <v>0</v>
      </c>
      <c r="AO51" s="356">
        <v>0</v>
      </c>
      <c r="AP51" s="356">
        <v>0</v>
      </c>
      <c r="AQ51" s="356">
        <v>0</v>
      </c>
      <c r="AR51" s="356">
        <v>0</v>
      </c>
      <c r="AS51" s="356">
        <v>0</v>
      </c>
      <c r="AT51" s="356">
        <v>0</v>
      </c>
      <c r="AU51" s="356">
        <v>0</v>
      </c>
      <c r="AV51" s="356">
        <v>0</v>
      </c>
      <c r="AW51" s="356">
        <v>0</v>
      </c>
    </row>
    <row r="52" spans="3:49" x14ac:dyDescent="0.3">
      <c r="C52" s="356">
        <v>59</v>
      </c>
      <c r="D52" s="356">
        <v>6</v>
      </c>
      <c r="E52" s="356">
        <v>4</v>
      </c>
      <c r="F52" s="356">
        <v>383</v>
      </c>
      <c r="G52" s="356">
        <v>0</v>
      </c>
      <c r="H52" s="356">
        <v>0</v>
      </c>
      <c r="I52" s="356">
        <v>0</v>
      </c>
      <c r="J52" s="356">
        <v>14</v>
      </c>
      <c r="K52" s="356">
        <v>95</v>
      </c>
      <c r="L52" s="356">
        <v>0</v>
      </c>
      <c r="M52" s="356">
        <v>0</v>
      </c>
      <c r="N52" s="356">
        <v>0</v>
      </c>
      <c r="O52" s="356">
        <v>0</v>
      </c>
      <c r="P52" s="356">
        <v>100</v>
      </c>
      <c r="Q52" s="356">
        <v>80</v>
      </c>
      <c r="R52" s="356">
        <v>47</v>
      </c>
      <c r="S52" s="356">
        <v>0</v>
      </c>
      <c r="T52" s="356">
        <v>0</v>
      </c>
      <c r="U52" s="356">
        <v>0</v>
      </c>
      <c r="V52" s="356">
        <v>0</v>
      </c>
      <c r="W52" s="356">
        <v>0</v>
      </c>
      <c r="X52" s="356">
        <v>0</v>
      </c>
      <c r="Y52" s="356">
        <v>0</v>
      </c>
      <c r="Z52" s="356">
        <v>0</v>
      </c>
      <c r="AA52" s="356">
        <v>0</v>
      </c>
      <c r="AB52" s="356">
        <v>0</v>
      </c>
      <c r="AC52" s="356">
        <v>0</v>
      </c>
      <c r="AD52" s="356">
        <v>0</v>
      </c>
      <c r="AE52" s="356">
        <v>0</v>
      </c>
      <c r="AF52" s="356">
        <v>0</v>
      </c>
      <c r="AG52" s="356">
        <v>0</v>
      </c>
      <c r="AH52" s="356">
        <v>0</v>
      </c>
      <c r="AI52" s="356">
        <v>0</v>
      </c>
      <c r="AJ52" s="356">
        <v>0</v>
      </c>
      <c r="AK52" s="356">
        <v>0</v>
      </c>
      <c r="AL52" s="356">
        <v>0</v>
      </c>
      <c r="AM52" s="356">
        <v>0</v>
      </c>
      <c r="AN52" s="356">
        <v>0</v>
      </c>
      <c r="AO52" s="356">
        <v>22</v>
      </c>
      <c r="AP52" s="356">
        <v>0</v>
      </c>
      <c r="AQ52" s="356">
        <v>0</v>
      </c>
      <c r="AR52" s="356">
        <v>25</v>
      </c>
      <c r="AS52" s="356">
        <v>0</v>
      </c>
      <c r="AT52" s="356">
        <v>0</v>
      </c>
      <c r="AU52" s="356">
        <v>0</v>
      </c>
      <c r="AV52" s="356">
        <v>0</v>
      </c>
      <c r="AW52" s="356">
        <v>0</v>
      </c>
    </row>
    <row r="53" spans="3:49" x14ac:dyDescent="0.3">
      <c r="C53" s="356">
        <v>59</v>
      </c>
      <c r="D53" s="356">
        <v>6</v>
      </c>
      <c r="E53" s="356">
        <v>5</v>
      </c>
      <c r="F53" s="356">
        <v>48</v>
      </c>
      <c r="G53" s="356">
        <v>48</v>
      </c>
      <c r="H53" s="356">
        <v>0</v>
      </c>
      <c r="I53" s="356">
        <v>0</v>
      </c>
      <c r="J53" s="356">
        <v>0</v>
      </c>
      <c r="K53" s="356">
        <v>0</v>
      </c>
      <c r="L53" s="356">
        <v>0</v>
      </c>
      <c r="M53" s="356">
        <v>0</v>
      </c>
      <c r="N53" s="356">
        <v>0</v>
      </c>
      <c r="O53" s="356">
        <v>0</v>
      </c>
      <c r="P53" s="356">
        <v>0</v>
      </c>
      <c r="Q53" s="356">
        <v>0</v>
      </c>
      <c r="R53" s="356">
        <v>0</v>
      </c>
      <c r="S53" s="356">
        <v>0</v>
      </c>
      <c r="T53" s="356">
        <v>0</v>
      </c>
      <c r="U53" s="356">
        <v>0</v>
      </c>
      <c r="V53" s="356">
        <v>0</v>
      </c>
      <c r="W53" s="356">
        <v>0</v>
      </c>
      <c r="X53" s="356">
        <v>0</v>
      </c>
      <c r="Y53" s="356">
        <v>0</v>
      </c>
      <c r="Z53" s="356">
        <v>0</v>
      </c>
      <c r="AA53" s="356">
        <v>0</v>
      </c>
      <c r="AB53" s="356">
        <v>0</v>
      </c>
      <c r="AC53" s="356">
        <v>0</v>
      </c>
      <c r="AD53" s="356">
        <v>0</v>
      </c>
      <c r="AE53" s="356">
        <v>0</v>
      </c>
      <c r="AF53" s="356">
        <v>0</v>
      </c>
      <c r="AG53" s="356">
        <v>0</v>
      </c>
      <c r="AH53" s="356">
        <v>0</v>
      </c>
      <c r="AI53" s="356">
        <v>0</v>
      </c>
      <c r="AJ53" s="356">
        <v>0</v>
      </c>
      <c r="AK53" s="356">
        <v>0</v>
      </c>
      <c r="AL53" s="356">
        <v>0</v>
      </c>
      <c r="AM53" s="356">
        <v>0</v>
      </c>
      <c r="AN53" s="356">
        <v>0</v>
      </c>
      <c r="AO53" s="356">
        <v>0</v>
      </c>
      <c r="AP53" s="356">
        <v>0</v>
      </c>
      <c r="AQ53" s="356">
        <v>0</v>
      </c>
      <c r="AR53" s="356">
        <v>0</v>
      </c>
      <c r="AS53" s="356">
        <v>0</v>
      </c>
      <c r="AT53" s="356">
        <v>0</v>
      </c>
      <c r="AU53" s="356">
        <v>0</v>
      </c>
      <c r="AV53" s="356">
        <v>0</v>
      </c>
      <c r="AW53" s="356">
        <v>0</v>
      </c>
    </row>
    <row r="54" spans="3:49" x14ac:dyDescent="0.3">
      <c r="C54" s="356">
        <v>59</v>
      </c>
      <c r="D54" s="356">
        <v>6</v>
      </c>
      <c r="E54" s="356">
        <v>6</v>
      </c>
      <c r="F54" s="356">
        <v>2278054</v>
      </c>
      <c r="G54" s="356">
        <v>9600</v>
      </c>
      <c r="H54" s="356">
        <v>0</v>
      </c>
      <c r="I54" s="356">
        <v>0</v>
      </c>
      <c r="J54" s="356">
        <v>79306</v>
      </c>
      <c r="K54" s="356">
        <v>555798</v>
      </c>
      <c r="L54" s="356">
        <v>0</v>
      </c>
      <c r="M54" s="356">
        <v>0</v>
      </c>
      <c r="N54" s="356">
        <v>0</v>
      </c>
      <c r="O54" s="356">
        <v>0</v>
      </c>
      <c r="P54" s="356">
        <v>403948</v>
      </c>
      <c r="Q54" s="356">
        <v>721758</v>
      </c>
      <c r="R54" s="356">
        <v>383649</v>
      </c>
      <c r="S54" s="356">
        <v>0</v>
      </c>
      <c r="T54" s="356">
        <v>0</v>
      </c>
      <c r="U54" s="356">
        <v>0</v>
      </c>
      <c r="V54" s="356">
        <v>0</v>
      </c>
      <c r="W54" s="356">
        <v>0</v>
      </c>
      <c r="X54" s="356">
        <v>0</v>
      </c>
      <c r="Y54" s="356">
        <v>0</v>
      </c>
      <c r="Z54" s="356">
        <v>0</v>
      </c>
      <c r="AA54" s="356">
        <v>0</v>
      </c>
      <c r="AB54" s="356">
        <v>0</v>
      </c>
      <c r="AC54" s="356">
        <v>0</v>
      </c>
      <c r="AD54" s="356">
        <v>0</v>
      </c>
      <c r="AE54" s="356">
        <v>0</v>
      </c>
      <c r="AF54" s="356">
        <v>0</v>
      </c>
      <c r="AG54" s="356">
        <v>0</v>
      </c>
      <c r="AH54" s="356">
        <v>0</v>
      </c>
      <c r="AI54" s="356">
        <v>0</v>
      </c>
      <c r="AJ54" s="356">
        <v>0</v>
      </c>
      <c r="AK54" s="356">
        <v>0</v>
      </c>
      <c r="AL54" s="356">
        <v>0</v>
      </c>
      <c r="AM54" s="356">
        <v>0</v>
      </c>
      <c r="AN54" s="356">
        <v>0</v>
      </c>
      <c r="AO54" s="356">
        <v>51303</v>
      </c>
      <c r="AP54" s="356">
        <v>0</v>
      </c>
      <c r="AQ54" s="356">
        <v>0</v>
      </c>
      <c r="AR54" s="356">
        <v>46073</v>
      </c>
      <c r="AS54" s="356">
        <v>0</v>
      </c>
      <c r="AT54" s="356">
        <v>0</v>
      </c>
      <c r="AU54" s="356">
        <v>0</v>
      </c>
      <c r="AV54" s="356">
        <v>0</v>
      </c>
      <c r="AW54" s="356">
        <v>26619</v>
      </c>
    </row>
    <row r="55" spans="3:49" x14ac:dyDescent="0.3">
      <c r="C55" s="356">
        <v>59</v>
      </c>
      <c r="D55" s="356">
        <v>6</v>
      </c>
      <c r="E55" s="356">
        <v>10</v>
      </c>
      <c r="F55" s="356">
        <v>30148</v>
      </c>
      <c r="G55" s="356">
        <v>0</v>
      </c>
      <c r="H55" s="356">
        <v>0</v>
      </c>
      <c r="I55" s="356">
        <v>0</v>
      </c>
      <c r="J55" s="356">
        <v>0</v>
      </c>
      <c r="K55" s="356">
        <v>0</v>
      </c>
      <c r="L55" s="356">
        <v>0</v>
      </c>
      <c r="M55" s="356">
        <v>0</v>
      </c>
      <c r="N55" s="356">
        <v>0</v>
      </c>
      <c r="O55" s="356">
        <v>30148</v>
      </c>
      <c r="P55" s="356">
        <v>0</v>
      </c>
      <c r="Q55" s="356">
        <v>0</v>
      </c>
      <c r="R55" s="356">
        <v>0</v>
      </c>
      <c r="S55" s="356">
        <v>0</v>
      </c>
      <c r="T55" s="356">
        <v>0</v>
      </c>
      <c r="U55" s="356">
        <v>0</v>
      </c>
      <c r="V55" s="356">
        <v>0</v>
      </c>
      <c r="W55" s="356">
        <v>0</v>
      </c>
      <c r="X55" s="356">
        <v>0</v>
      </c>
      <c r="Y55" s="356">
        <v>0</v>
      </c>
      <c r="Z55" s="356">
        <v>0</v>
      </c>
      <c r="AA55" s="356">
        <v>0</v>
      </c>
      <c r="AB55" s="356">
        <v>0</v>
      </c>
      <c r="AC55" s="356">
        <v>0</v>
      </c>
      <c r="AD55" s="356">
        <v>0</v>
      </c>
      <c r="AE55" s="356">
        <v>0</v>
      </c>
      <c r="AF55" s="356">
        <v>0</v>
      </c>
      <c r="AG55" s="356">
        <v>0</v>
      </c>
      <c r="AH55" s="356">
        <v>0</v>
      </c>
      <c r="AI55" s="356">
        <v>0</v>
      </c>
      <c r="AJ55" s="356">
        <v>0</v>
      </c>
      <c r="AK55" s="356">
        <v>0</v>
      </c>
      <c r="AL55" s="356">
        <v>0</v>
      </c>
      <c r="AM55" s="356">
        <v>0</v>
      </c>
      <c r="AN55" s="356">
        <v>0</v>
      </c>
      <c r="AO55" s="356">
        <v>0</v>
      </c>
      <c r="AP55" s="356">
        <v>0</v>
      </c>
      <c r="AQ55" s="356">
        <v>0</v>
      </c>
      <c r="AR55" s="356">
        <v>0</v>
      </c>
      <c r="AS55" s="356">
        <v>0</v>
      </c>
      <c r="AT55" s="356">
        <v>0</v>
      </c>
      <c r="AU55" s="356">
        <v>0</v>
      </c>
      <c r="AV55" s="356">
        <v>0</v>
      </c>
      <c r="AW55" s="356">
        <v>0</v>
      </c>
    </row>
    <row r="56" spans="3:49" x14ac:dyDescent="0.3">
      <c r="C56" s="356">
        <v>59</v>
      </c>
      <c r="D56" s="356">
        <v>6</v>
      </c>
      <c r="E56" s="356">
        <v>11</v>
      </c>
      <c r="F56" s="356">
        <v>12717.557251908398</v>
      </c>
      <c r="G56" s="356">
        <v>0</v>
      </c>
      <c r="H56" s="356">
        <v>0</v>
      </c>
      <c r="I56" s="356">
        <v>0</v>
      </c>
      <c r="J56" s="356">
        <v>1717.5572519083971</v>
      </c>
      <c r="K56" s="356">
        <v>0</v>
      </c>
      <c r="L56" s="356">
        <v>0</v>
      </c>
      <c r="M56" s="356">
        <v>0</v>
      </c>
      <c r="N56" s="356">
        <v>0</v>
      </c>
      <c r="O56" s="356">
        <v>11000</v>
      </c>
      <c r="P56" s="356">
        <v>0</v>
      </c>
      <c r="Q56" s="356">
        <v>0</v>
      </c>
      <c r="R56" s="356">
        <v>0</v>
      </c>
      <c r="S56" s="356">
        <v>0</v>
      </c>
      <c r="T56" s="356">
        <v>0</v>
      </c>
      <c r="U56" s="356">
        <v>0</v>
      </c>
      <c r="V56" s="356">
        <v>0</v>
      </c>
      <c r="W56" s="356">
        <v>0</v>
      </c>
      <c r="X56" s="356">
        <v>0</v>
      </c>
      <c r="Y56" s="356">
        <v>0</v>
      </c>
      <c r="Z56" s="356">
        <v>0</v>
      </c>
      <c r="AA56" s="356">
        <v>0</v>
      </c>
      <c r="AB56" s="356">
        <v>0</v>
      </c>
      <c r="AC56" s="356">
        <v>0</v>
      </c>
      <c r="AD56" s="356">
        <v>0</v>
      </c>
      <c r="AE56" s="356">
        <v>0</v>
      </c>
      <c r="AF56" s="356">
        <v>0</v>
      </c>
      <c r="AG56" s="356">
        <v>0</v>
      </c>
      <c r="AH56" s="356">
        <v>0</v>
      </c>
      <c r="AI56" s="356">
        <v>0</v>
      </c>
      <c r="AJ56" s="356">
        <v>0</v>
      </c>
      <c r="AK56" s="356">
        <v>0</v>
      </c>
      <c r="AL56" s="356">
        <v>0</v>
      </c>
      <c r="AM56" s="356">
        <v>0</v>
      </c>
      <c r="AN56" s="356">
        <v>0</v>
      </c>
      <c r="AO56" s="356">
        <v>0</v>
      </c>
      <c r="AP56" s="356">
        <v>0</v>
      </c>
      <c r="AQ56" s="356">
        <v>0</v>
      </c>
      <c r="AR56" s="356">
        <v>0</v>
      </c>
      <c r="AS56" s="356">
        <v>0</v>
      </c>
      <c r="AT56" s="356">
        <v>0</v>
      </c>
      <c r="AU56" s="356">
        <v>0</v>
      </c>
      <c r="AV56" s="356">
        <v>0</v>
      </c>
      <c r="AW56" s="356">
        <v>0</v>
      </c>
    </row>
    <row r="57" spans="3:49" x14ac:dyDescent="0.3">
      <c r="C57" s="356">
        <v>59</v>
      </c>
      <c r="D57" s="356">
        <v>7</v>
      </c>
      <c r="E57" s="356">
        <v>1</v>
      </c>
      <c r="F57" s="356">
        <v>58.15</v>
      </c>
      <c r="G57" s="356">
        <v>0</v>
      </c>
      <c r="H57" s="356">
        <v>0</v>
      </c>
      <c r="I57" s="356">
        <v>0</v>
      </c>
      <c r="J57" s="356">
        <v>1.8</v>
      </c>
      <c r="K57" s="356">
        <v>6.55</v>
      </c>
      <c r="L57" s="356">
        <v>0</v>
      </c>
      <c r="M57" s="356">
        <v>0</v>
      </c>
      <c r="N57" s="356">
        <v>0</v>
      </c>
      <c r="O57" s="356">
        <v>2</v>
      </c>
      <c r="P57" s="356">
        <v>13.3</v>
      </c>
      <c r="Q57" s="356">
        <v>19</v>
      </c>
      <c r="R57" s="356">
        <v>9.5</v>
      </c>
      <c r="S57" s="356">
        <v>0</v>
      </c>
      <c r="T57" s="356">
        <v>0</v>
      </c>
      <c r="U57" s="356">
        <v>0</v>
      </c>
      <c r="V57" s="356">
        <v>0</v>
      </c>
      <c r="W57" s="356">
        <v>0</v>
      </c>
      <c r="X57" s="356">
        <v>0</v>
      </c>
      <c r="Y57" s="356">
        <v>0</v>
      </c>
      <c r="Z57" s="356">
        <v>0</v>
      </c>
      <c r="AA57" s="356">
        <v>0</v>
      </c>
      <c r="AB57" s="356">
        <v>0</v>
      </c>
      <c r="AC57" s="356">
        <v>0</v>
      </c>
      <c r="AD57" s="356">
        <v>0</v>
      </c>
      <c r="AE57" s="356">
        <v>0</v>
      </c>
      <c r="AF57" s="356">
        <v>0</v>
      </c>
      <c r="AG57" s="356">
        <v>0</v>
      </c>
      <c r="AH57" s="356">
        <v>0</v>
      </c>
      <c r="AI57" s="356">
        <v>0</v>
      </c>
      <c r="AJ57" s="356">
        <v>0</v>
      </c>
      <c r="AK57" s="356">
        <v>0</v>
      </c>
      <c r="AL57" s="356">
        <v>0</v>
      </c>
      <c r="AM57" s="356">
        <v>0</v>
      </c>
      <c r="AN57" s="356">
        <v>0</v>
      </c>
      <c r="AO57" s="356">
        <v>3</v>
      </c>
      <c r="AP57" s="356">
        <v>0</v>
      </c>
      <c r="AQ57" s="356">
        <v>0</v>
      </c>
      <c r="AR57" s="356">
        <v>2</v>
      </c>
      <c r="AS57" s="356">
        <v>0</v>
      </c>
      <c r="AT57" s="356">
        <v>0</v>
      </c>
      <c r="AU57" s="356">
        <v>0</v>
      </c>
      <c r="AV57" s="356">
        <v>0</v>
      </c>
      <c r="AW57" s="356">
        <v>1</v>
      </c>
    </row>
    <row r="58" spans="3:49" x14ac:dyDescent="0.3">
      <c r="C58" s="356">
        <v>59</v>
      </c>
      <c r="D58" s="356">
        <v>7</v>
      </c>
      <c r="E58" s="356">
        <v>2</v>
      </c>
      <c r="F58" s="356">
        <v>7228.48</v>
      </c>
      <c r="G58" s="356">
        <v>0</v>
      </c>
      <c r="H58" s="356">
        <v>0</v>
      </c>
      <c r="I58" s="356">
        <v>0</v>
      </c>
      <c r="J58" s="356">
        <v>192.5</v>
      </c>
      <c r="K58" s="356">
        <v>844.65</v>
      </c>
      <c r="L58" s="356">
        <v>0</v>
      </c>
      <c r="M58" s="356">
        <v>0</v>
      </c>
      <c r="N58" s="356">
        <v>0</v>
      </c>
      <c r="O58" s="356">
        <v>315</v>
      </c>
      <c r="P58" s="356">
        <v>1601.39</v>
      </c>
      <c r="Q58" s="356">
        <v>2179.64</v>
      </c>
      <c r="R58" s="356">
        <v>1216.05</v>
      </c>
      <c r="S58" s="356">
        <v>0</v>
      </c>
      <c r="T58" s="356">
        <v>0</v>
      </c>
      <c r="U58" s="356">
        <v>0</v>
      </c>
      <c r="V58" s="356">
        <v>0</v>
      </c>
      <c r="W58" s="356">
        <v>0</v>
      </c>
      <c r="X58" s="356">
        <v>0</v>
      </c>
      <c r="Y58" s="356">
        <v>0</v>
      </c>
      <c r="Z58" s="356">
        <v>0</v>
      </c>
      <c r="AA58" s="356">
        <v>0</v>
      </c>
      <c r="AB58" s="356">
        <v>0</v>
      </c>
      <c r="AC58" s="356">
        <v>0</v>
      </c>
      <c r="AD58" s="356">
        <v>0</v>
      </c>
      <c r="AE58" s="356">
        <v>0</v>
      </c>
      <c r="AF58" s="356">
        <v>0</v>
      </c>
      <c r="AG58" s="356">
        <v>0</v>
      </c>
      <c r="AH58" s="356">
        <v>0</v>
      </c>
      <c r="AI58" s="356">
        <v>0</v>
      </c>
      <c r="AJ58" s="356">
        <v>0</v>
      </c>
      <c r="AK58" s="356">
        <v>0</v>
      </c>
      <c r="AL58" s="356">
        <v>0</v>
      </c>
      <c r="AM58" s="356">
        <v>0</v>
      </c>
      <c r="AN58" s="356">
        <v>0</v>
      </c>
      <c r="AO58" s="356">
        <v>484.5</v>
      </c>
      <c r="AP58" s="356">
        <v>0</v>
      </c>
      <c r="AQ58" s="356">
        <v>0</v>
      </c>
      <c r="AR58" s="356">
        <v>258.75</v>
      </c>
      <c r="AS58" s="356">
        <v>0</v>
      </c>
      <c r="AT58" s="356">
        <v>0</v>
      </c>
      <c r="AU58" s="356">
        <v>0</v>
      </c>
      <c r="AV58" s="356">
        <v>0</v>
      </c>
      <c r="AW58" s="356">
        <v>136</v>
      </c>
    </row>
    <row r="59" spans="3:49" x14ac:dyDescent="0.3">
      <c r="C59" s="356">
        <v>59</v>
      </c>
      <c r="D59" s="356">
        <v>7</v>
      </c>
      <c r="E59" s="356">
        <v>3</v>
      </c>
      <c r="F59" s="356">
        <v>273.26</v>
      </c>
      <c r="G59" s="356">
        <v>0</v>
      </c>
      <c r="H59" s="356">
        <v>0</v>
      </c>
      <c r="I59" s="356">
        <v>0</v>
      </c>
      <c r="J59" s="356">
        <v>20</v>
      </c>
      <c r="K59" s="356">
        <v>61</v>
      </c>
      <c r="L59" s="356">
        <v>0</v>
      </c>
      <c r="M59" s="356">
        <v>0</v>
      </c>
      <c r="N59" s="356">
        <v>0</v>
      </c>
      <c r="O59" s="356">
        <v>0</v>
      </c>
      <c r="P59" s="356">
        <v>27.26</v>
      </c>
      <c r="Q59" s="356">
        <v>110</v>
      </c>
      <c r="R59" s="356">
        <v>55</v>
      </c>
      <c r="S59" s="356">
        <v>0</v>
      </c>
      <c r="T59" s="356">
        <v>0</v>
      </c>
      <c r="U59" s="356">
        <v>0</v>
      </c>
      <c r="V59" s="356">
        <v>0</v>
      </c>
      <c r="W59" s="356">
        <v>0</v>
      </c>
      <c r="X59" s="356">
        <v>0</v>
      </c>
      <c r="Y59" s="356">
        <v>0</v>
      </c>
      <c r="Z59" s="356">
        <v>0</v>
      </c>
      <c r="AA59" s="356">
        <v>0</v>
      </c>
      <c r="AB59" s="356">
        <v>0</v>
      </c>
      <c r="AC59" s="356">
        <v>0</v>
      </c>
      <c r="AD59" s="356">
        <v>0</v>
      </c>
      <c r="AE59" s="356">
        <v>0</v>
      </c>
      <c r="AF59" s="356">
        <v>0</v>
      </c>
      <c r="AG59" s="356">
        <v>0</v>
      </c>
      <c r="AH59" s="356">
        <v>0</v>
      </c>
      <c r="AI59" s="356">
        <v>0</v>
      </c>
      <c r="AJ59" s="356">
        <v>0</v>
      </c>
      <c r="AK59" s="356">
        <v>0</v>
      </c>
      <c r="AL59" s="356">
        <v>0</v>
      </c>
      <c r="AM59" s="356">
        <v>0</v>
      </c>
      <c r="AN59" s="356">
        <v>0</v>
      </c>
      <c r="AO59" s="356">
        <v>0</v>
      </c>
      <c r="AP59" s="356">
        <v>0</v>
      </c>
      <c r="AQ59" s="356">
        <v>0</v>
      </c>
      <c r="AR59" s="356">
        <v>0</v>
      </c>
      <c r="AS59" s="356">
        <v>0</v>
      </c>
      <c r="AT59" s="356">
        <v>0</v>
      </c>
      <c r="AU59" s="356">
        <v>0</v>
      </c>
      <c r="AV59" s="356">
        <v>0</v>
      </c>
      <c r="AW59" s="356">
        <v>0</v>
      </c>
    </row>
    <row r="60" spans="3:49" x14ac:dyDescent="0.3">
      <c r="C60" s="356">
        <v>59</v>
      </c>
      <c r="D60" s="356">
        <v>7</v>
      </c>
      <c r="E60" s="356">
        <v>4</v>
      </c>
      <c r="F60" s="356">
        <v>701.33</v>
      </c>
      <c r="G60" s="356">
        <v>0</v>
      </c>
      <c r="H60" s="356">
        <v>0</v>
      </c>
      <c r="I60" s="356">
        <v>0</v>
      </c>
      <c r="J60" s="356">
        <v>19</v>
      </c>
      <c r="K60" s="356">
        <v>137</v>
      </c>
      <c r="L60" s="356">
        <v>0</v>
      </c>
      <c r="M60" s="356">
        <v>0</v>
      </c>
      <c r="N60" s="356">
        <v>0</v>
      </c>
      <c r="O60" s="356">
        <v>30</v>
      </c>
      <c r="P60" s="356">
        <v>123.33</v>
      </c>
      <c r="Q60" s="356">
        <v>230</v>
      </c>
      <c r="R60" s="356">
        <v>102</v>
      </c>
      <c r="S60" s="356">
        <v>0</v>
      </c>
      <c r="T60" s="356">
        <v>0</v>
      </c>
      <c r="U60" s="356">
        <v>0</v>
      </c>
      <c r="V60" s="356">
        <v>0</v>
      </c>
      <c r="W60" s="356">
        <v>0</v>
      </c>
      <c r="X60" s="356">
        <v>0</v>
      </c>
      <c r="Y60" s="356">
        <v>0</v>
      </c>
      <c r="Z60" s="356">
        <v>0</v>
      </c>
      <c r="AA60" s="356">
        <v>0</v>
      </c>
      <c r="AB60" s="356">
        <v>0</v>
      </c>
      <c r="AC60" s="356">
        <v>0</v>
      </c>
      <c r="AD60" s="356">
        <v>0</v>
      </c>
      <c r="AE60" s="356">
        <v>0</v>
      </c>
      <c r="AF60" s="356">
        <v>0</v>
      </c>
      <c r="AG60" s="356">
        <v>0</v>
      </c>
      <c r="AH60" s="356">
        <v>0</v>
      </c>
      <c r="AI60" s="356">
        <v>0</v>
      </c>
      <c r="AJ60" s="356">
        <v>0</v>
      </c>
      <c r="AK60" s="356">
        <v>0</v>
      </c>
      <c r="AL60" s="356">
        <v>0</v>
      </c>
      <c r="AM60" s="356">
        <v>0</v>
      </c>
      <c r="AN60" s="356">
        <v>0</v>
      </c>
      <c r="AO60" s="356">
        <v>35</v>
      </c>
      <c r="AP60" s="356">
        <v>0</v>
      </c>
      <c r="AQ60" s="356">
        <v>0</v>
      </c>
      <c r="AR60" s="356">
        <v>25</v>
      </c>
      <c r="AS60" s="356">
        <v>0</v>
      </c>
      <c r="AT60" s="356">
        <v>0</v>
      </c>
      <c r="AU60" s="356">
        <v>0</v>
      </c>
      <c r="AV60" s="356">
        <v>0</v>
      </c>
      <c r="AW60" s="356">
        <v>0</v>
      </c>
    </row>
    <row r="61" spans="3:49" x14ac:dyDescent="0.3">
      <c r="C61" s="356">
        <v>59</v>
      </c>
      <c r="D61" s="356">
        <v>7</v>
      </c>
      <c r="E61" s="356">
        <v>5</v>
      </c>
      <c r="F61" s="356">
        <v>48</v>
      </c>
      <c r="G61" s="356">
        <v>48</v>
      </c>
      <c r="H61" s="356">
        <v>0</v>
      </c>
      <c r="I61" s="356">
        <v>0</v>
      </c>
      <c r="J61" s="356">
        <v>0</v>
      </c>
      <c r="K61" s="356">
        <v>0</v>
      </c>
      <c r="L61" s="356">
        <v>0</v>
      </c>
      <c r="M61" s="356">
        <v>0</v>
      </c>
      <c r="N61" s="356">
        <v>0</v>
      </c>
      <c r="O61" s="356">
        <v>0</v>
      </c>
      <c r="P61" s="356">
        <v>0</v>
      </c>
      <c r="Q61" s="356">
        <v>0</v>
      </c>
      <c r="R61" s="356">
        <v>0</v>
      </c>
      <c r="S61" s="356">
        <v>0</v>
      </c>
      <c r="T61" s="356">
        <v>0</v>
      </c>
      <c r="U61" s="356">
        <v>0</v>
      </c>
      <c r="V61" s="356">
        <v>0</v>
      </c>
      <c r="W61" s="356">
        <v>0</v>
      </c>
      <c r="X61" s="356">
        <v>0</v>
      </c>
      <c r="Y61" s="356">
        <v>0</v>
      </c>
      <c r="Z61" s="356">
        <v>0</v>
      </c>
      <c r="AA61" s="356">
        <v>0</v>
      </c>
      <c r="AB61" s="356">
        <v>0</v>
      </c>
      <c r="AC61" s="356">
        <v>0</v>
      </c>
      <c r="AD61" s="356">
        <v>0</v>
      </c>
      <c r="AE61" s="356">
        <v>0</v>
      </c>
      <c r="AF61" s="356">
        <v>0</v>
      </c>
      <c r="AG61" s="356">
        <v>0</v>
      </c>
      <c r="AH61" s="356">
        <v>0</v>
      </c>
      <c r="AI61" s="356">
        <v>0</v>
      </c>
      <c r="AJ61" s="356">
        <v>0</v>
      </c>
      <c r="AK61" s="356">
        <v>0</v>
      </c>
      <c r="AL61" s="356">
        <v>0</v>
      </c>
      <c r="AM61" s="356">
        <v>0</v>
      </c>
      <c r="AN61" s="356">
        <v>0</v>
      </c>
      <c r="AO61" s="356">
        <v>0</v>
      </c>
      <c r="AP61" s="356">
        <v>0</v>
      </c>
      <c r="AQ61" s="356">
        <v>0</v>
      </c>
      <c r="AR61" s="356">
        <v>0</v>
      </c>
      <c r="AS61" s="356">
        <v>0</v>
      </c>
      <c r="AT61" s="356">
        <v>0</v>
      </c>
      <c r="AU61" s="356">
        <v>0</v>
      </c>
      <c r="AV61" s="356">
        <v>0</v>
      </c>
      <c r="AW61" s="356">
        <v>0</v>
      </c>
    </row>
    <row r="62" spans="3:49" x14ac:dyDescent="0.3">
      <c r="C62" s="356">
        <v>59</v>
      </c>
      <c r="D62" s="356">
        <v>7</v>
      </c>
      <c r="E62" s="356">
        <v>6</v>
      </c>
      <c r="F62" s="356">
        <v>3259178</v>
      </c>
      <c r="G62" s="356">
        <v>9600</v>
      </c>
      <c r="H62" s="356">
        <v>0</v>
      </c>
      <c r="I62" s="356">
        <v>0</v>
      </c>
      <c r="J62" s="356">
        <v>108558</v>
      </c>
      <c r="K62" s="356">
        <v>865571</v>
      </c>
      <c r="L62" s="356">
        <v>0</v>
      </c>
      <c r="M62" s="356">
        <v>0</v>
      </c>
      <c r="N62" s="356">
        <v>0</v>
      </c>
      <c r="O62" s="356">
        <v>45195</v>
      </c>
      <c r="P62" s="356">
        <v>532870</v>
      </c>
      <c r="Q62" s="356">
        <v>999405</v>
      </c>
      <c r="R62" s="356">
        <v>511390</v>
      </c>
      <c r="S62" s="356">
        <v>0</v>
      </c>
      <c r="T62" s="356">
        <v>0</v>
      </c>
      <c r="U62" s="356">
        <v>0</v>
      </c>
      <c r="V62" s="356">
        <v>0</v>
      </c>
      <c r="W62" s="356">
        <v>0</v>
      </c>
      <c r="X62" s="356">
        <v>0</v>
      </c>
      <c r="Y62" s="356">
        <v>0</v>
      </c>
      <c r="Z62" s="356">
        <v>0</v>
      </c>
      <c r="AA62" s="356">
        <v>0</v>
      </c>
      <c r="AB62" s="356">
        <v>0</v>
      </c>
      <c r="AC62" s="356">
        <v>0</v>
      </c>
      <c r="AD62" s="356">
        <v>0</v>
      </c>
      <c r="AE62" s="356">
        <v>0</v>
      </c>
      <c r="AF62" s="356">
        <v>0</v>
      </c>
      <c r="AG62" s="356">
        <v>0</v>
      </c>
      <c r="AH62" s="356">
        <v>0</v>
      </c>
      <c r="AI62" s="356">
        <v>0</v>
      </c>
      <c r="AJ62" s="356">
        <v>0</v>
      </c>
      <c r="AK62" s="356">
        <v>0</v>
      </c>
      <c r="AL62" s="356">
        <v>0</v>
      </c>
      <c r="AM62" s="356">
        <v>0</v>
      </c>
      <c r="AN62" s="356">
        <v>0</v>
      </c>
      <c r="AO62" s="356">
        <v>94832</v>
      </c>
      <c r="AP62" s="356">
        <v>0</v>
      </c>
      <c r="AQ62" s="356">
        <v>0</v>
      </c>
      <c r="AR62" s="356">
        <v>58813</v>
      </c>
      <c r="AS62" s="356">
        <v>0</v>
      </c>
      <c r="AT62" s="356">
        <v>0</v>
      </c>
      <c r="AU62" s="356">
        <v>0</v>
      </c>
      <c r="AV62" s="356">
        <v>0</v>
      </c>
      <c r="AW62" s="356">
        <v>32944</v>
      </c>
    </row>
    <row r="63" spans="3:49" x14ac:dyDescent="0.3">
      <c r="C63" s="356">
        <v>59</v>
      </c>
      <c r="D63" s="356">
        <v>7</v>
      </c>
      <c r="E63" s="356">
        <v>9</v>
      </c>
      <c r="F63" s="356">
        <v>673090</v>
      </c>
      <c r="G63" s="356">
        <v>0</v>
      </c>
      <c r="H63" s="356">
        <v>0</v>
      </c>
      <c r="I63" s="356">
        <v>0</v>
      </c>
      <c r="J63" s="356">
        <v>20463</v>
      </c>
      <c r="K63" s="356">
        <v>229468</v>
      </c>
      <c r="L63" s="356">
        <v>0</v>
      </c>
      <c r="M63" s="356">
        <v>0</v>
      </c>
      <c r="N63" s="356">
        <v>0</v>
      </c>
      <c r="O63" s="356">
        <v>0</v>
      </c>
      <c r="P63" s="356">
        <v>92186</v>
      </c>
      <c r="Q63" s="356">
        <v>177332</v>
      </c>
      <c r="R63" s="356">
        <v>116820</v>
      </c>
      <c r="S63" s="356">
        <v>0</v>
      </c>
      <c r="T63" s="356">
        <v>0</v>
      </c>
      <c r="U63" s="356">
        <v>0</v>
      </c>
      <c r="V63" s="356">
        <v>0</v>
      </c>
      <c r="W63" s="356">
        <v>0</v>
      </c>
      <c r="X63" s="356">
        <v>0</v>
      </c>
      <c r="Y63" s="356">
        <v>0</v>
      </c>
      <c r="Z63" s="356">
        <v>0</v>
      </c>
      <c r="AA63" s="356">
        <v>0</v>
      </c>
      <c r="AB63" s="356">
        <v>0</v>
      </c>
      <c r="AC63" s="356">
        <v>0</v>
      </c>
      <c r="AD63" s="356">
        <v>0</v>
      </c>
      <c r="AE63" s="356">
        <v>0</v>
      </c>
      <c r="AF63" s="356">
        <v>0</v>
      </c>
      <c r="AG63" s="356">
        <v>0</v>
      </c>
      <c r="AH63" s="356">
        <v>0</v>
      </c>
      <c r="AI63" s="356">
        <v>0</v>
      </c>
      <c r="AJ63" s="356">
        <v>0</v>
      </c>
      <c r="AK63" s="356">
        <v>0</v>
      </c>
      <c r="AL63" s="356">
        <v>0</v>
      </c>
      <c r="AM63" s="356">
        <v>0</v>
      </c>
      <c r="AN63" s="356">
        <v>0</v>
      </c>
      <c r="AO63" s="356">
        <v>18881</v>
      </c>
      <c r="AP63" s="356">
        <v>0</v>
      </c>
      <c r="AQ63" s="356">
        <v>0</v>
      </c>
      <c r="AR63" s="356">
        <v>11031</v>
      </c>
      <c r="AS63" s="356">
        <v>0</v>
      </c>
      <c r="AT63" s="356">
        <v>0</v>
      </c>
      <c r="AU63" s="356">
        <v>0</v>
      </c>
      <c r="AV63" s="356">
        <v>0</v>
      </c>
      <c r="AW63" s="356">
        <v>6909</v>
      </c>
    </row>
    <row r="64" spans="3:49" x14ac:dyDescent="0.3">
      <c r="C64" s="356">
        <v>59</v>
      </c>
      <c r="D64" s="356">
        <v>7</v>
      </c>
      <c r="E64" s="356">
        <v>10</v>
      </c>
      <c r="F64" s="356">
        <v>11892</v>
      </c>
      <c r="G64" s="356">
        <v>0</v>
      </c>
      <c r="H64" s="356">
        <v>0</v>
      </c>
      <c r="I64" s="356">
        <v>0</v>
      </c>
      <c r="J64" s="356">
        <v>4400</v>
      </c>
      <c r="K64" s="356">
        <v>0</v>
      </c>
      <c r="L64" s="356">
        <v>0</v>
      </c>
      <c r="M64" s="356">
        <v>0</v>
      </c>
      <c r="N64" s="356">
        <v>0</v>
      </c>
      <c r="O64" s="356">
        <v>7492</v>
      </c>
      <c r="P64" s="356">
        <v>0</v>
      </c>
      <c r="Q64" s="356">
        <v>0</v>
      </c>
      <c r="R64" s="356">
        <v>0</v>
      </c>
      <c r="S64" s="356">
        <v>0</v>
      </c>
      <c r="T64" s="356">
        <v>0</v>
      </c>
      <c r="U64" s="356">
        <v>0</v>
      </c>
      <c r="V64" s="356">
        <v>0</v>
      </c>
      <c r="W64" s="356">
        <v>0</v>
      </c>
      <c r="X64" s="356">
        <v>0</v>
      </c>
      <c r="Y64" s="356">
        <v>0</v>
      </c>
      <c r="Z64" s="356">
        <v>0</v>
      </c>
      <c r="AA64" s="356">
        <v>0</v>
      </c>
      <c r="AB64" s="356">
        <v>0</v>
      </c>
      <c r="AC64" s="356">
        <v>0</v>
      </c>
      <c r="AD64" s="356">
        <v>0</v>
      </c>
      <c r="AE64" s="356">
        <v>0</v>
      </c>
      <c r="AF64" s="356">
        <v>0</v>
      </c>
      <c r="AG64" s="356">
        <v>0</v>
      </c>
      <c r="AH64" s="356">
        <v>0</v>
      </c>
      <c r="AI64" s="356">
        <v>0</v>
      </c>
      <c r="AJ64" s="356">
        <v>0</v>
      </c>
      <c r="AK64" s="356">
        <v>0</v>
      </c>
      <c r="AL64" s="356">
        <v>0</v>
      </c>
      <c r="AM64" s="356">
        <v>0</v>
      </c>
      <c r="AN64" s="356">
        <v>0</v>
      </c>
      <c r="AO64" s="356">
        <v>0</v>
      </c>
      <c r="AP64" s="356">
        <v>0</v>
      </c>
      <c r="AQ64" s="356">
        <v>0</v>
      </c>
      <c r="AR64" s="356">
        <v>0</v>
      </c>
      <c r="AS64" s="356">
        <v>0</v>
      </c>
      <c r="AT64" s="356">
        <v>0</v>
      </c>
      <c r="AU64" s="356">
        <v>0</v>
      </c>
      <c r="AV64" s="356">
        <v>0</v>
      </c>
      <c r="AW64" s="356">
        <v>0</v>
      </c>
    </row>
    <row r="65" spans="3:49" x14ac:dyDescent="0.3">
      <c r="C65" s="356">
        <v>59</v>
      </c>
      <c r="D65" s="356">
        <v>7</v>
      </c>
      <c r="E65" s="356">
        <v>11</v>
      </c>
      <c r="F65" s="356">
        <v>12717.557251908398</v>
      </c>
      <c r="G65" s="356">
        <v>0</v>
      </c>
      <c r="H65" s="356">
        <v>0</v>
      </c>
      <c r="I65" s="356">
        <v>0</v>
      </c>
      <c r="J65" s="356">
        <v>1717.5572519083971</v>
      </c>
      <c r="K65" s="356">
        <v>0</v>
      </c>
      <c r="L65" s="356">
        <v>0</v>
      </c>
      <c r="M65" s="356">
        <v>0</v>
      </c>
      <c r="N65" s="356">
        <v>0</v>
      </c>
      <c r="O65" s="356">
        <v>11000</v>
      </c>
      <c r="P65" s="356">
        <v>0</v>
      </c>
      <c r="Q65" s="356">
        <v>0</v>
      </c>
      <c r="R65" s="356">
        <v>0</v>
      </c>
      <c r="S65" s="356">
        <v>0</v>
      </c>
      <c r="T65" s="356">
        <v>0</v>
      </c>
      <c r="U65" s="356">
        <v>0</v>
      </c>
      <c r="V65" s="356">
        <v>0</v>
      </c>
      <c r="W65" s="356">
        <v>0</v>
      </c>
      <c r="X65" s="356">
        <v>0</v>
      </c>
      <c r="Y65" s="356">
        <v>0</v>
      </c>
      <c r="Z65" s="356">
        <v>0</v>
      </c>
      <c r="AA65" s="356">
        <v>0</v>
      </c>
      <c r="AB65" s="356">
        <v>0</v>
      </c>
      <c r="AC65" s="356">
        <v>0</v>
      </c>
      <c r="AD65" s="356">
        <v>0</v>
      </c>
      <c r="AE65" s="356">
        <v>0</v>
      </c>
      <c r="AF65" s="356">
        <v>0</v>
      </c>
      <c r="AG65" s="356">
        <v>0</v>
      </c>
      <c r="AH65" s="356">
        <v>0</v>
      </c>
      <c r="AI65" s="356">
        <v>0</v>
      </c>
      <c r="AJ65" s="356">
        <v>0</v>
      </c>
      <c r="AK65" s="356">
        <v>0</v>
      </c>
      <c r="AL65" s="356">
        <v>0</v>
      </c>
      <c r="AM65" s="356">
        <v>0</v>
      </c>
      <c r="AN65" s="356">
        <v>0</v>
      </c>
      <c r="AO65" s="356">
        <v>0</v>
      </c>
      <c r="AP65" s="356">
        <v>0</v>
      </c>
      <c r="AQ65" s="356">
        <v>0</v>
      </c>
      <c r="AR65" s="356">
        <v>0</v>
      </c>
      <c r="AS65" s="356">
        <v>0</v>
      </c>
      <c r="AT65" s="356">
        <v>0</v>
      </c>
      <c r="AU65" s="356">
        <v>0</v>
      </c>
      <c r="AV65" s="356">
        <v>0</v>
      </c>
      <c r="AW65" s="356">
        <v>0</v>
      </c>
    </row>
    <row r="66" spans="3:49" x14ac:dyDescent="0.3">
      <c r="C66" s="356">
        <v>59</v>
      </c>
      <c r="D66" s="356">
        <v>8</v>
      </c>
      <c r="E66" s="356">
        <v>1</v>
      </c>
      <c r="F66" s="356">
        <v>58.15</v>
      </c>
      <c r="G66" s="356">
        <v>0</v>
      </c>
      <c r="H66" s="356">
        <v>0</v>
      </c>
      <c r="I66" s="356">
        <v>0</v>
      </c>
      <c r="J66" s="356">
        <v>1.8</v>
      </c>
      <c r="K66" s="356">
        <v>6.55</v>
      </c>
      <c r="L66" s="356">
        <v>0</v>
      </c>
      <c r="M66" s="356">
        <v>0</v>
      </c>
      <c r="N66" s="356">
        <v>0</v>
      </c>
      <c r="O66" s="356">
        <v>2</v>
      </c>
      <c r="P66" s="356">
        <v>13.3</v>
      </c>
      <c r="Q66" s="356">
        <v>19</v>
      </c>
      <c r="R66" s="356">
        <v>9.5</v>
      </c>
      <c r="S66" s="356">
        <v>0</v>
      </c>
      <c r="T66" s="356">
        <v>0</v>
      </c>
      <c r="U66" s="356">
        <v>0</v>
      </c>
      <c r="V66" s="356">
        <v>0</v>
      </c>
      <c r="W66" s="356">
        <v>0</v>
      </c>
      <c r="X66" s="356">
        <v>0</v>
      </c>
      <c r="Y66" s="356">
        <v>0</v>
      </c>
      <c r="Z66" s="356">
        <v>0</v>
      </c>
      <c r="AA66" s="356">
        <v>0</v>
      </c>
      <c r="AB66" s="356">
        <v>0</v>
      </c>
      <c r="AC66" s="356">
        <v>0</v>
      </c>
      <c r="AD66" s="356">
        <v>0</v>
      </c>
      <c r="AE66" s="356">
        <v>0</v>
      </c>
      <c r="AF66" s="356">
        <v>0</v>
      </c>
      <c r="AG66" s="356">
        <v>0</v>
      </c>
      <c r="AH66" s="356">
        <v>0</v>
      </c>
      <c r="AI66" s="356">
        <v>0</v>
      </c>
      <c r="AJ66" s="356">
        <v>0</v>
      </c>
      <c r="AK66" s="356">
        <v>0</v>
      </c>
      <c r="AL66" s="356">
        <v>0</v>
      </c>
      <c r="AM66" s="356">
        <v>0</v>
      </c>
      <c r="AN66" s="356">
        <v>0</v>
      </c>
      <c r="AO66" s="356">
        <v>3</v>
      </c>
      <c r="AP66" s="356">
        <v>0</v>
      </c>
      <c r="AQ66" s="356">
        <v>0</v>
      </c>
      <c r="AR66" s="356">
        <v>2</v>
      </c>
      <c r="AS66" s="356">
        <v>0</v>
      </c>
      <c r="AT66" s="356">
        <v>0</v>
      </c>
      <c r="AU66" s="356">
        <v>0</v>
      </c>
      <c r="AV66" s="356">
        <v>0</v>
      </c>
      <c r="AW66" s="356">
        <v>1</v>
      </c>
    </row>
    <row r="67" spans="3:49" x14ac:dyDescent="0.3">
      <c r="C67" s="356">
        <v>59</v>
      </c>
      <c r="D67" s="356">
        <v>8</v>
      </c>
      <c r="E67" s="356">
        <v>2</v>
      </c>
      <c r="F67" s="356">
        <v>7221.25</v>
      </c>
      <c r="G67" s="356">
        <v>0</v>
      </c>
      <c r="H67" s="356">
        <v>0</v>
      </c>
      <c r="I67" s="356">
        <v>0</v>
      </c>
      <c r="J67" s="356">
        <v>248.5</v>
      </c>
      <c r="K67" s="356">
        <v>780.65</v>
      </c>
      <c r="L67" s="356">
        <v>0</v>
      </c>
      <c r="M67" s="356">
        <v>0</v>
      </c>
      <c r="N67" s="356">
        <v>0</v>
      </c>
      <c r="O67" s="356">
        <v>345</v>
      </c>
      <c r="P67" s="356">
        <v>1813.9</v>
      </c>
      <c r="Q67" s="356">
        <v>2280.0500000000002</v>
      </c>
      <c r="R67" s="356">
        <v>968.65</v>
      </c>
      <c r="S67" s="356">
        <v>0</v>
      </c>
      <c r="T67" s="356">
        <v>0</v>
      </c>
      <c r="U67" s="356">
        <v>0</v>
      </c>
      <c r="V67" s="356">
        <v>0</v>
      </c>
      <c r="W67" s="356">
        <v>0</v>
      </c>
      <c r="X67" s="356">
        <v>0</v>
      </c>
      <c r="Y67" s="356">
        <v>0</v>
      </c>
      <c r="Z67" s="356">
        <v>0</v>
      </c>
      <c r="AA67" s="356">
        <v>0</v>
      </c>
      <c r="AB67" s="356">
        <v>0</v>
      </c>
      <c r="AC67" s="356">
        <v>0</v>
      </c>
      <c r="AD67" s="356">
        <v>0</v>
      </c>
      <c r="AE67" s="356">
        <v>0</v>
      </c>
      <c r="AF67" s="356">
        <v>0</v>
      </c>
      <c r="AG67" s="356">
        <v>0</v>
      </c>
      <c r="AH67" s="356">
        <v>0</v>
      </c>
      <c r="AI67" s="356">
        <v>0</v>
      </c>
      <c r="AJ67" s="356">
        <v>0</v>
      </c>
      <c r="AK67" s="356">
        <v>0</v>
      </c>
      <c r="AL67" s="356">
        <v>0</v>
      </c>
      <c r="AM67" s="356">
        <v>0</v>
      </c>
      <c r="AN67" s="356">
        <v>0</v>
      </c>
      <c r="AO67" s="356">
        <v>277.5</v>
      </c>
      <c r="AP67" s="356">
        <v>0</v>
      </c>
      <c r="AQ67" s="356">
        <v>0</v>
      </c>
      <c r="AR67" s="356">
        <v>355</v>
      </c>
      <c r="AS67" s="356">
        <v>0</v>
      </c>
      <c r="AT67" s="356">
        <v>0</v>
      </c>
      <c r="AU67" s="356">
        <v>0</v>
      </c>
      <c r="AV67" s="356">
        <v>0</v>
      </c>
      <c r="AW67" s="356">
        <v>152</v>
      </c>
    </row>
    <row r="68" spans="3:49" x14ac:dyDescent="0.3">
      <c r="C68" s="356">
        <v>59</v>
      </c>
      <c r="D68" s="356">
        <v>8</v>
      </c>
      <c r="E68" s="356">
        <v>3</v>
      </c>
      <c r="F68" s="356">
        <v>331.76</v>
      </c>
      <c r="G68" s="356">
        <v>0</v>
      </c>
      <c r="H68" s="356">
        <v>0</v>
      </c>
      <c r="I68" s="356">
        <v>0</v>
      </c>
      <c r="J68" s="356">
        <v>21</v>
      </c>
      <c r="K68" s="356">
        <v>39</v>
      </c>
      <c r="L68" s="356">
        <v>0</v>
      </c>
      <c r="M68" s="356">
        <v>0</v>
      </c>
      <c r="N68" s="356">
        <v>0</v>
      </c>
      <c r="O68" s="356">
        <v>0</v>
      </c>
      <c r="P68" s="356">
        <v>69.2</v>
      </c>
      <c r="Q68" s="356">
        <v>134.1</v>
      </c>
      <c r="R68" s="356">
        <v>68.459999999999994</v>
      </c>
      <c r="S68" s="356">
        <v>0</v>
      </c>
      <c r="T68" s="356">
        <v>0</v>
      </c>
      <c r="U68" s="356">
        <v>0</v>
      </c>
      <c r="V68" s="356">
        <v>0</v>
      </c>
      <c r="W68" s="356">
        <v>0</v>
      </c>
      <c r="X68" s="356">
        <v>0</v>
      </c>
      <c r="Y68" s="356">
        <v>0</v>
      </c>
      <c r="Z68" s="356">
        <v>0</v>
      </c>
      <c r="AA68" s="356">
        <v>0</v>
      </c>
      <c r="AB68" s="356">
        <v>0</v>
      </c>
      <c r="AC68" s="356">
        <v>0</v>
      </c>
      <c r="AD68" s="356">
        <v>0</v>
      </c>
      <c r="AE68" s="356">
        <v>0</v>
      </c>
      <c r="AF68" s="356">
        <v>0</v>
      </c>
      <c r="AG68" s="356">
        <v>0</v>
      </c>
      <c r="AH68" s="356">
        <v>0</v>
      </c>
      <c r="AI68" s="356">
        <v>0</v>
      </c>
      <c r="AJ68" s="356">
        <v>0</v>
      </c>
      <c r="AK68" s="356">
        <v>0</v>
      </c>
      <c r="AL68" s="356">
        <v>0</v>
      </c>
      <c r="AM68" s="356">
        <v>0</v>
      </c>
      <c r="AN68" s="356">
        <v>0</v>
      </c>
      <c r="AO68" s="356">
        <v>0</v>
      </c>
      <c r="AP68" s="356">
        <v>0</v>
      </c>
      <c r="AQ68" s="356">
        <v>0</v>
      </c>
      <c r="AR68" s="356">
        <v>0</v>
      </c>
      <c r="AS68" s="356">
        <v>0</v>
      </c>
      <c r="AT68" s="356">
        <v>0</v>
      </c>
      <c r="AU68" s="356">
        <v>0</v>
      </c>
      <c r="AV68" s="356">
        <v>0</v>
      </c>
      <c r="AW68" s="356">
        <v>0</v>
      </c>
    </row>
    <row r="69" spans="3:49" x14ac:dyDescent="0.3">
      <c r="C69" s="356">
        <v>59</v>
      </c>
      <c r="D69" s="356">
        <v>8</v>
      </c>
      <c r="E69" s="356">
        <v>4</v>
      </c>
      <c r="F69" s="356">
        <v>602.4</v>
      </c>
      <c r="G69" s="356">
        <v>0</v>
      </c>
      <c r="H69" s="356">
        <v>0</v>
      </c>
      <c r="I69" s="356">
        <v>0</v>
      </c>
      <c r="J69" s="356">
        <v>27</v>
      </c>
      <c r="K69" s="356">
        <v>112</v>
      </c>
      <c r="L69" s="356">
        <v>0</v>
      </c>
      <c r="M69" s="356">
        <v>0</v>
      </c>
      <c r="N69" s="356">
        <v>0</v>
      </c>
      <c r="O69" s="356">
        <v>40</v>
      </c>
      <c r="P69" s="356">
        <v>130</v>
      </c>
      <c r="Q69" s="356">
        <v>166.9</v>
      </c>
      <c r="R69" s="356">
        <v>101.5</v>
      </c>
      <c r="S69" s="356">
        <v>0</v>
      </c>
      <c r="T69" s="356">
        <v>0</v>
      </c>
      <c r="U69" s="356">
        <v>0</v>
      </c>
      <c r="V69" s="356">
        <v>0</v>
      </c>
      <c r="W69" s="356">
        <v>0</v>
      </c>
      <c r="X69" s="356">
        <v>0</v>
      </c>
      <c r="Y69" s="356">
        <v>0</v>
      </c>
      <c r="Z69" s="356">
        <v>0</v>
      </c>
      <c r="AA69" s="356">
        <v>0</v>
      </c>
      <c r="AB69" s="356">
        <v>0</v>
      </c>
      <c r="AC69" s="356">
        <v>0</v>
      </c>
      <c r="AD69" s="356">
        <v>0</v>
      </c>
      <c r="AE69" s="356">
        <v>0</v>
      </c>
      <c r="AF69" s="356">
        <v>0</v>
      </c>
      <c r="AG69" s="356">
        <v>0</v>
      </c>
      <c r="AH69" s="356">
        <v>0</v>
      </c>
      <c r="AI69" s="356">
        <v>0</v>
      </c>
      <c r="AJ69" s="356">
        <v>0</v>
      </c>
      <c r="AK69" s="356">
        <v>0</v>
      </c>
      <c r="AL69" s="356">
        <v>0</v>
      </c>
      <c r="AM69" s="356">
        <v>0</v>
      </c>
      <c r="AN69" s="356">
        <v>0</v>
      </c>
      <c r="AO69" s="356">
        <v>15</v>
      </c>
      <c r="AP69" s="356">
        <v>0</v>
      </c>
      <c r="AQ69" s="356">
        <v>0</v>
      </c>
      <c r="AR69" s="356">
        <v>10</v>
      </c>
      <c r="AS69" s="356">
        <v>0</v>
      </c>
      <c r="AT69" s="356">
        <v>0</v>
      </c>
      <c r="AU69" s="356">
        <v>0</v>
      </c>
      <c r="AV69" s="356">
        <v>0</v>
      </c>
      <c r="AW69" s="356">
        <v>0</v>
      </c>
    </row>
    <row r="70" spans="3:49" x14ac:dyDescent="0.3">
      <c r="C70" s="356">
        <v>59</v>
      </c>
      <c r="D70" s="356">
        <v>8</v>
      </c>
      <c r="E70" s="356">
        <v>5</v>
      </c>
      <c r="F70" s="356">
        <v>-36</v>
      </c>
      <c r="G70" s="356">
        <v>-36</v>
      </c>
      <c r="H70" s="356">
        <v>0</v>
      </c>
      <c r="I70" s="356">
        <v>0</v>
      </c>
      <c r="J70" s="356">
        <v>0</v>
      </c>
      <c r="K70" s="356">
        <v>0</v>
      </c>
      <c r="L70" s="356">
        <v>0</v>
      </c>
      <c r="M70" s="356">
        <v>0</v>
      </c>
      <c r="N70" s="356">
        <v>0</v>
      </c>
      <c r="O70" s="356">
        <v>0</v>
      </c>
      <c r="P70" s="356">
        <v>0</v>
      </c>
      <c r="Q70" s="356">
        <v>0</v>
      </c>
      <c r="R70" s="356">
        <v>0</v>
      </c>
      <c r="S70" s="356">
        <v>0</v>
      </c>
      <c r="T70" s="356">
        <v>0</v>
      </c>
      <c r="U70" s="356">
        <v>0</v>
      </c>
      <c r="V70" s="356">
        <v>0</v>
      </c>
      <c r="W70" s="356">
        <v>0</v>
      </c>
      <c r="X70" s="356">
        <v>0</v>
      </c>
      <c r="Y70" s="356">
        <v>0</v>
      </c>
      <c r="Z70" s="356">
        <v>0</v>
      </c>
      <c r="AA70" s="356">
        <v>0</v>
      </c>
      <c r="AB70" s="356">
        <v>0</v>
      </c>
      <c r="AC70" s="356">
        <v>0</v>
      </c>
      <c r="AD70" s="356">
        <v>0</v>
      </c>
      <c r="AE70" s="356">
        <v>0</v>
      </c>
      <c r="AF70" s="356">
        <v>0</v>
      </c>
      <c r="AG70" s="356">
        <v>0</v>
      </c>
      <c r="AH70" s="356">
        <v>0</v>
      </c>
      <c r="AI70" s="356">
        <v>0</v>
      </c>
      <c r="AJ70" s="356">
        <v>0</v>
      </c>
      <c r="AK70" s="356">
        <v>0</v>
      </c>
      <c r="AL70" s="356">
        <v>0</v>
      </c>
      <c r="AM70" s="356">
        <v>0</v>
      </c>
      <c r="AN70" s="356">
        <v>0</v>
      </c>
      <c r="AO70" s="356">
        <v>0</v>
      </c>
      <c r="AP70" s="356">
        <v>0</v>
      </c>
      <c r="AQ70" s="356">
        <v>0</v>
      </c>
      <c r="AR70" s="356">
        <v>0</v>
      </c>
      <c r="AS70" s="356">
        <v>0</v>
      </c>
      <c r="AT70" s="356">
        <v>0</v>
      </c>
      <c r="AU70" s="356">
        <v>0</v>
      </c>
      <c r="AV70" s="356">
        <v>0</v>
      </c>
      <c r="AW70" s="356">
        <v>0</v>
      </c>
    </row>
    <row r="71" spans="3:49" x14ac:dyDescent="0.3">
      <c r="C71" s="356">
        <v>59</v>
      </c>
      <c r="D71" s="356">
        <v>8</v>
      </c>
      <c r="E71" s="356">
        <v>6</v>
      </c>
      <c r="F71" s="356">
        <v>2488482</v>
      </c>
      <c r="G71" s="356">
        <v>0</v>
      </c>
      <c r="H71" s="356">
        <v>0</v>
      </c>
      <c r="I71" s="356">
        <v>0</v>
      </c>
      <c r="J71" s="356">
        <v>89655</v>
      </c>
      <c r="K71" s="356">
        <v>594830</v>
      </c>
      <c r="L71" s="356">
        <v>0</v>
      </c>
      <c r="M71" s="356">
        <v>0</v>
      </c>
      <c r="N71" s="356">
        <v>0</v>
      </c>
      <c r="O71" s="356">
        <v>47096</v>
      </c>
      <c r="P71" s="356">
        <v>435925</v>
      </c>
      <c r="Q71" s="356">
        <v>783040</v>
      </c>
      <c r="R71" s="356">
        <v>396951</v>
      </c>
      <c r="S71" s="356">
        <v>0</v>
      </c>
      <c r="T71" s="356">
        <v>0</v>
      </c>
      <c r="U71" s="356">
        <v>0</v>
      </c>
      <c r="V71" s="356">
        <v>0</v>
      </c>
      <c r="W71" s="356">
        <v>0</v>
      </c>
      <c r="X71" s="356">
        <v>0</v>
      </c>
      <c r="Y71" s="356">
        <v>0</v>
      </c>
      <c r="Z71" s="356">
        <v>0</v>
      </c>
      <c r="AA71" s="356">
        <v>0</v>
      </c>
      <c r="AB71" s="356">
        <v>0</v>
      </c>
      <c r="AC71" s="356">
        <v>0</v>
      </c>
      <c r="AD71" s="356">
        <v>0</v>
      </c>
      <c r="AE71" s="356">
        <v>0</v>
      </c>
      <c r="AF71" s="356">
        <v>0</v>
      </c>
      <c r="AG71" s="356">
        <v>0</v>
      </c>
      <c r="AH71" s="356">
        <v>0</v>
      </c>
      <c r="AI71" s="356">
        <v>0</v>
      </c>
      <c r="AJ71" s="356">
        <v>0</v>
      </c>
      <c r="AK71" s="356">
        <v>0</v>
      </c>
      <c r="AL71" s="356">
        <v>0</v>
      </c>
      <c r="AM71" s="356">
        <v>0</v>
      </c>
      <c r="AN71" s="356">
        <v>0</v>
      </c>
      <c r="AO71" s="356">
        <v>71911</v>
      </c>
      <c r="AP71" s="356">
        <v>0</v>
      </c>
      <c r="AQ71" s="356">
        <v>0</v>
      </c>
      <c r="AR71" s="356">
        <v>42605</v>
      </c>
      <c r="AS71" s="356">
        <v>0</v>
      </c>
      <c r="AT71" s="356">
        <v>0</v>
      </c>
      <c r="AU71" s="356">
        <v>0</v>
      </c>
      <c r="AV71" s="356">
        <v>0</v>
      </c>
      <c r="AW71" s="356">
        <v>26469</v>
      </c>
    </row>
    <row r="72" spans="3:49" x14ac:dyDescent="0.3">
      <c r="C72" s="356">
        <v>59</v>
      </c>
      <c r="D72" s="356">
        <v>8</v>
      </c>
      <c r="E72" s="356">
        <v>9</v>
      </c>
      <c r="F72" s="356">
        <v>9976</v>
      </c>
      <c r="G72" s="356">
        <v>0</v>
      </c>
      <c r="H72" s="356">
        <v>0</v>
      </c>
      <c r="I72" s="356">
        <v>0</v>
      </c>
      <c r="J72" s="356">
        <v>0</v>
      </c>
      <c r="K72" s="356">
        <v>0</v>
      </c>
      <c r="L72" s="356">
        <v>0</v>
      </c>
      <c r="M72" s="356">
        <v>0</v>
      </c>
      <c r="N72" s="356">
        <v>0</v>
      </c>
      <c r="O72" s="356">
        <v>0</v>
      </c>
      <c r="P72" s="356">
        <v>0</v>
      </c>
      <c r="Q72" s="356">
        <v>9976</v>
      </c>
      <c r="R72" s="356">
        <v>0</v>
      </c>
      <c r="S72" s="356">
        <v>0</v>
      </c>
      <c r="T72" s="356">
        <v>0</v>
      </c>
      <c r="U72" s="356">
        <v>0</v>
      </c>
      <c r="V72" s="356">
        <v>0</v>
      </c>
      <c r="W72" s="356">
        <v>0</v>
      </c>
      <c r="X72" s="356">
        <v>0</v>
      </c>
      <c r="Y72" s="356">
        <v>0</v>
      </c>
      <c r="Z72" s="356">
        <v>0</v>
      </c>
      <c r="AA72" s="356">
        <v>0</v>
      </c>
      <c r="AB72" s="356">
        <v>0</v>
      </c>
      <c r="AC72" s="356">
        <v>0</v>
      </c>
      <c r="AD72" s="356">
        <v>0</v>
      </c>
      <c r="AE72" s="356">
        <v>0</v>
      </c>
      <c r="AF72" s="356">
        <v>0</v>
      </c>
      <c r="AG72" s="356">
        <v>0</v>
      </c>
      <c r="AH72" s="356">
        <v>0</v>
      </c>
      <c r="AI72" s="356">
        <v>0</v>
      </c>
      <c r="AJ72" s="356">
        <v>0</v>
      </c>
      <c r="AK72" s="356">
        <v>0</v>
      </c>
      <c r="AL72" s="356">
        <v>0</v>
      </c>
      <c r="AM72" s="356">
        <v>0</v>
      </c>
      <c r="AN72" s="356">
        <v>0</v>
      </c>
      <c r="AO72" s="356">
        <v>0</v>
      </c>
      <c r="AP72" s="356">
        <v>0</v>
      </c>
      <c r="AQ72" s="356">
        <v>0</v>
      </c>
      <c r="AR72" s="356">
        <v>0</v>
      </c>
      <c r="AS72" s="356">
        <v>0</v>
      </c>
      <c r="AT72" s="356">
        <v>0</v>
      </c>
      <c r="AU72" s="356">
        <v>0</v>
      </c>
      <c r="AV72" s="356">
        <v>0</v>
      </c>
      <c r="AW72" s="356">
        <v>0</v>
      </c>
    </row>
    <row r="73" spans="3:49" x14ac:dyDescent="0.3">
      <c r="C73" s="356">
        <v>59</v>
      </c>
      <c r="D73" s="356">
        <v>8</v>
      </c>
      <c r="E73" s="356">
        <v>10</v>
      </c>
      <c r="F73" s="356">
        <v>7492</v>
      </c>
      <c r="G73" s="356">
        <v>0</v>
      </c>
      <c r="H73" s="356">
        <v>0</v>
      </c>
      <c r="I73" s="356">
        <v>0</v>
      </c>
      <c r="J73" s="356">
        <v>0</v>
      </c>
      <c r="K73" s="356">
        <v>0</v>
      </c>
      <c r="L73" s="356">
        <v>0</v>
      </c>
      <c r="M73" s="356">
        <v>0</v>
      </c>
      <c r="N73" s="356">
        <v>0</v>
      </c>
      <c r="O73" s="356">
        <v>7492</v>
      </c>
      <c r="P73" s="356">
        <v>0</v>
      </c>
      <c r="Q73" s="356">
        <v>0</v>
      </c>
      <c r="R73" s="356">
        <v>0</v>
      </c>
      <c r="S73" s="356">
        <v>0</v>
      </c>
      <c r="T73" s="356">
        <v>0</v>
      </c>
      <c r="U73" s="356">
        <v>0</v>
      </c>
      <c r="V73" s="356">
        <v>0</v>
      </c>
      <c r="W73" s="356">
        <v>0</v>
      </c>
      <c r="X73" s="356">
        <v>0</v>
      </c>
      <c r="Y73" s="356">
        <v>0</v>
      </c>
      <c r="Z73" s="356">
        <v>0</v>
      </c>
      <c r="AA73" s="356">
        <v>0</v>
      </c>
      <c r="AB73" s="356">
        <v>0</v>
      </c>
      <c r="AC73" s="356">
        <v>0</v>
      </c>
      <c r="AD73" s="356">
        <v>0</v>
      </c>
      <c r="AE73" s="356">
        <v>0</v>
      </c>
      <c r="AF73" s="356">
        <v>0</v>
      </c>
      <c r="AG73" s="356">
        <v>0</v>
      </c>
      <c r="AH73" s="356">
        <v>0</v>
      </c>
      <c r="AI73" s="356">
        <v>0</v>
      </c>
      <c r="AJ73" s="356">
        <v>0</v>
      </c>
      <c r="AK73" s="356">
        <v>0</v>
      </c>
      <c r="AL73" s="356">
        <v>0</v>
      </c>
      <c r="AM73" s="356">
        <v>0</v>
      </c>
      <c r="AN73" s="356">
        <v>0</v>
      </c>
      <c r="AO73" s="356">
        <v>0</v>
      </c>
      <c r="AP73" s="356">
        <v>0</v>
      </c>
      <c r="AQ73" s="356">
        <v>0</v>
      </c>
      <c r="AR73" s="356">
        <v>0</v>
      </c>
      <c r="AS73" s="356">
        <v>0</v>
      </c>
      <c r="AT73" s="356">
        <v>0</v>
      </c>
      <c r="AU73" s="356">
        <v>0</v>
      </c>
      <c r="AV73" s="356">
        <v>0</v>
      </c>
      <c r="AW73" s="356">
        <v>0</v>
      </c>
    </row>
    <row r="74" spans="3:49" x14ac:dyDescent="0.3">
      <c r="C74" s="356">
        <v>59</v>
      </c>
      <c r="D74" s="356">
        <v>8</v>
      </c>
      <c r="E74" s="356">
        <v>11</v>
      </c>
      <c r="F74" s="356">
        <v>12717.557251908398</v>
      </c>
      <c r="G74" s="356">
        <v>0</v>
      </c>
      <c r="H74" s="356">
        <v>0</v>
      </c>
      <c r="I74" s="356">
        <v>0</v>
      </c>
      <c r="J74" s="356">
        <v>1717.5572519083971</v>
      </c>
      <c r="K74" s="356">
        <v>0</v>
      </c>
      <c r="L74" s="356">
        <v>0</v>
      </c>
      <c r="M74" s="356">
        <v>0</v>
      </c>
      <c r="N74" s="356">
        <v>0</v>
      </c>
      <c r="O74" s="356">
        <v>11000</v>
      </c>
      <c r="P74" s="356">
        <v>0</v>
      </c>
      <c r="Q74" s="356">
        <v>0</v>
      </c>
      <c r="R74" s="356">
        <v>0</v>
      </c>
      <c r="S74" s="356">
        <v>0</v>
      </c>
      <c r="T74" s="356">
        <v>0</v>
      </c>
      <c r="U74" s="356">
        <v>0</v>
      </c>
      <c r="V74" s="356">
        <v>0</v>
      </c>
      <c r="W74" s="356">
        <v>0</v>
      </c>
      <c r="X74" s="356">
        <v>0</v>
      </c>
      <c r="Y74" s="356">
        <v>0</v>
      </c>
      <c r="Z74" s="356">
        <v>0</v>
      </c>
      <c r="AA74" s="356">
        <v>0</v>
      </c>
      <c r="AB74" s="356">
        <v>0</v>
      </c>
      <c r="AC74" s="356">
        <v>0</v>
      </c>
      <c r="AD74" s="356">
        <v>0</v>
      </c>
      <c r="AE74" s="356">
        <v>0</v>
      </c>
      <c r="AF74" s="356">
        <v>0</v>
      </c>
      <c r="AG74" s="356">
        <v>0</v>
      </c>
      <c r="AH74" s="356">
        <v>0</v>
      </c>
      <c r="AI74" s="356">
        <v>0</v>
      </c>
      <c r="AJ74" s="356">
        <v>0</v>
      </c>
      <c r="AK74" s="356">
        <v>0</v>
      </c>
      <c r="AL74" s="356">
        <v>0</v>
      </c>
      <c r="AM74" s="356">
        <v>0</v>
      </c>
      <c r="AN74" s="356">
        <v>0</v>
      </c>
      <c r="AO74" s="356">
        <v>0</v>
      </c>
      <c r="AP74" s="356">
        <v>0</v>
      </c>
      <c r="AQ74" s="356">
        <v>0</v>
      </c>
      <c r="AR74" s="356">
        <v>0</v>
      </c>
      <c r="AS74" s="356">
        <v>0</v>
      </c>
      <c r="AT74" s="356">
        <v>0</v>
      </c>
      <c r="AU74" s="356">
        <v>0</v>
      </c>
      <c r="AV74" s="356">
        <v>0</v>
      </c>
      <c r="AW74" s="356">
        <v>0</v>
      </c>
    </row>
    <row r="75" spans="3:49" x14ac:dyDescent="0.3">
      <c r="C75" s="356">
        <v>59</v>
      </c>
      <c r="D75" s="356">
        <v>9</v>
      </c>
      <c r="E75" s="356">
        <v>1</v>
      </c>
      <c r="F75" s="356">
        <v>61.35</v>
      </c>
      <c r="G75" s="356">
        <v>0</v>
      </c>
      <c r="H75" s="356">
        <v>0</v>
      </c>
      <c r="I75" s="356">
        <v>0</v>
      </c>
      <c r="J75" s="356">
        <v>1.8</v>
      </c>
      <c r="K75" s="356">
        <v>6.55</v>
      </c>
      <c r="L75" s="356">
        <v>0</v>
      </c>
      <c r="M75" s="356">
        <v>0</v>
      </c>
      <c r="N75" s="356">
        <v>0</v>
      </c>
      <c r="O75" s="356">
        <v>0</v>
      </c>
      <c r="P75" s="356">
        <v>17.5</v>
      </c>
      <c r="Q75" s="356">
        <v>19</v>
      </c>
      <c r="R75" s="356">
        <v>9.5</v>
      </c>
      <c r="S75" s="356">
        <v>0</v>
      </c>
      <c r="T75" s="356">
        <v>0</v>
      </c>
      <c r="U75" s="356">
        <v>0</v>
      </c>
      <c r="V75" s="356">
        <v>0</v>
      </c>
      <c r="W75" s="356">
        <v>0</v>
      </c>
      <c r="X75" s="356">
        <v>0</v>
      </c>
      <c r="Y75" s="356">
        <v>0</v>
      </c>
      <c r="Z75" s="356">
        <v>0</v>
      </c>
      <c r="AA75" s="356">
        <v>0</v>
      </c>
      <c r="AB75" s="356">
        <v>0</v>
      </c>
      <c r="AC75" s="356">
        <v>0</v>
      </c>
      <c r="AD75" s="356">
        <v>0</v>
      </c>
      <c r="AE75" s="356">
        <v>0</v>
      </c>
      <c r="AF75" s="356">
        <v>0</v>
      </c>
      <c r="AG75" s="356">
        <v>0</v>
      </c>
      <c r="AH75" s="356">
        <v>0</v>
      </c>
      <c r="AI75" s="356">
        <v>0</v>
      </c>
      <c r="AJ75" s="356">
        <v>0</v>
      </c>
      <c r="AK75" s="356">
        <v>0</v>
      </c>
      <c r="AL75" s="356">
        <v>0</v>
      </c>
      <c r="AM75" s="356">
        <v>0</v>
      </c>
      <c r="AN75" s="356">
        <v>0</v>
      </c>
      <c r="AO75" s="356">
        <v>3</v>
      </c>
      <c r="AP75" s="356">
        <v>0</v>
      </c>
      <c r="AQ75" s="356">
        <v>0</v>
      </c>
      <c r="AR75" s="356">
        <v>3</v>
      </c>
      <c r="AS75" s="356">
        <v>0</v>
      </c>
      <c r="AT75" s="356">
        <v>0</v>
      </c>
      <c r="AU75" s="356">
        <v>0</v>
      </c>
      <c r="AV75" s="356">
        <v>0</v>
      </c>
      <c r="AW75" s="356">
        <v>1</v>
      </c>
    </row>
    <row r="76" spans="3:49" x14ac:dyDescent="0.3">
      <c r="C76" s="356">
        <v>59</v>
      </c>
      <c r="D76" s="356">
        <v>9</v>
      </c>
      <c r="E76" s="356">
        <v>2</v>
      </c>
      <c r="F76" s="356">
        <v>9129.06</v>
      </c>
      <c r="G76" s="356">
        <v>0</v>
      </c>
      <c r="H76" s="356">
        <v>0</v>
      </c>
      <c r="I76" s="356">
        <v>0</v>
      </c>
      <c r="J76" s="356">
        <v>277.5</v>
      </c>
      <c r="K76" s="356">
        <v>990.27</v>
      </c>
      <c r="L76" s="356">
        <v>0</v>
      </c>
      <c r="M76" s="356">
        <v>0</v>
      </c>
      <c r="N76" s="356">
        <v>0</v>
      </c>
      <c r="O76" s="356">
        <v>0</v>
      </c>
      <c r="P76" s="356">
        <v>2680.5</v>
      </c>
      <c r="Q76" s="356">
        <v>2804.27</v>
      </c>
      <c r="R76" s="356">
        <v>1337.77</v>
      </c>
      <c r="S76" s="356">
        <v>0</v>
      </c>
      <c r="T76" s="356">
        <v>0</v>
      </c>
      <c r="U76" s="356">
        <v>0</v>
      </c>
      <c r="V76" s="356">
        <v>0</v>
      </c>
      <c r="W76" s="356">
        <v>0</v>
      </c>
      <c r="X76" s="356">
        <v>0</v>
      </c>
      <c r="Y76" s="356">
        <v>0</v>
      </c>
      <c r="Z76" s="356">
        <v>0</v>
      </c>
      <c r="AA76" s="356">
        <v>0</v>
      </c>
      <c r="AB76" s="356">
        <v>0</v>
      </c>
      <c r="AC76" s="356">
        <v>0</v>
      </c>
      <c r="AD76" s="356">
        <v>0</v>
      </c>
      <c r="AE76" s="356">
        <v>0</v>
      </c>
      <c r="AF76" s="356">
        <v>0</v>
      </c>
      <c r="AG76" s="356">
        <v>0</v>
      </c>
      <c r="AH76" s="356">
        <v>0</v>
      </c>
      <c r="AI76" s="356">
        <v>0</v>
      </c>
      <c r="AJ76" s="356">
        <v>0</v>
      </c>
      <c r="AK76" s="356">
        <v>0</v>
      </c>
      <c r="AL76" s="356">
        <v>0</v>
      </c>
      <c r="AM76" s="356">
        <v>0</v>
      </c>
      <c r="AN76" s="356">
        <v>0</v>
      </c>
      <c r="AO76" s="356">
        <v>470</v>
      </c>
      <c r="AP76" s="356">
        <v>0</v>
      </c>
      <c r="AQ76" s="356">
        <v>0</v>
      </c>
      <c r="AR76" s="356">
        <v>392.75</v>
      </c>
      <c r="AS76" s="356">
        <v>0</v>
      </c>
      <c r="AT76" s="356">
        <v>0</v>
      </c>
      <c r="AU76" s="356">
        <v>0</v>
      </c>
      <c r="AV76" s="356">
        <v>0</v>
      </c>
      <c r="AW76" s="356">
        <v>176</v>
      </c>
    </row>
    <row r="77" spans="3:49" x14ac:dyDescent="0.3">
      <c r="C77" s="356">
        <v>59</v>
      </c>
      <c r="D77" s="356">
        <v>9</v>
      </c>
      <c r="E77" s="356">
        <v>3</v>
      </c>
      <c r="F77" s="356">
        <v>187</v>
      </c>
      <c r="G77" s="356">
        <v>0</v>
      </c>
      <c r="H77" s="356">
        <v>0</v>
      </c>
      <c r="I77" s="356">
        <v>0</v>
      </c>
      <c r="J77" s="356">
        <v>16</v>
      </c>
      <c r="K77" s="356">
        <v>26</v>
      </c>
      <c r="L77" s="356">
        <v>0</v>
      </c>
      <c r="M77" s="356">
        <v>0</v>
      </c>
      <c r="N77" s="356">
        <v>0</v>
      </c>
      <c r="O77" s="356">
        <v>0</v>
      </c>
      <c r="P77" s="356">
        <v>75</v>
      </c>
      <c r="Q77" s="356">
        <v>60</v>
      </c>
      <c r="R77" s="356">
        <v>10</v>
      </c>
      <c r="S77" s="356">
        <v>0</v>
      </c>
      <c r="T77" s="356">
        <v>0</v>
      </c>
      <c r="U77" s="356">
        <v>0</v>
      </c>
      <c r="V77" s="356">
        <v>0</v>
      </c>
      <c r="W77" s="356">
        <v>0</v>
      </c>
      <c r="X77" s="356">
        <v>0</v>
      </c>
      <c r="Y77" s="356">
        <v>0</v>
      </c>
      <c r="Z77" s="356">
        <v>0</v>
      </c>
      <c r="AA77" s="356">
        <v>0</v>
      </c>
      <c r="AB77" s="356">
        <v>0</v>
      </c>
      <c r="AC77" s="356">
        <v>0</v>
      </c>
      <c r="AD77" s="356">
        <v>0</v>
      </c>
      <c r="AE77" s="356">
        <v>0</v>
      </c>
      <c r="AF77" s="356">
        <v>0</v>
      </c>
      <c r="AG77" s="356">
        <v>0</v>
      </c>
      <c r="AH77" s="356">
        <v>0</v>
      </c>
      <c r="AI77" s="356">
        <v>0</v>
      </c>
      <c r="AJ77" s="356">
        <v>0</v>
      </c>
      <c r="AK77" s="356">
        <v>0</v>
      </c>
      <c r="AL77" s="356">
        <v>0</v>
      </c>
      <c r="AM77" s="356">
        <v>0</v>
      </c>
      <c r="AN77" s="356">
        <v>0</v>
      </c>
      <c r="AO77" s="356">
        <v>0</v>
      </c>
      <c r="AP77" s="356">
        <v>0</v>
      </c>
      <c r="AQ77" s="356">
        <v>0</v>
      </c>
      <c r="AR77" s="356">
        <v>0</v>
      </c>
      <c r="AS77" s="356">
        <v>0</v>
      </c>
      <c r="AT77" s="356">
        <v>0</v>
      </c>
      <c r="AU77" s="356">
        <v>0</v>
      </c>
      <c r="AV77" s="356">
        <v>0</v>
      </c>
      <c r="AW77" s="356">
        <v>0</v>
      </c>
    </row>
    <row r="78" spans="3:49" x14ac:dyDescent="0.3">
      <c r="C78" s="356">
        <v>59</v>
      </c>
      <c r="D78" s="356">
        <v>9</v>
      </c>
      <c r="E78" s="356">
        <v>4</v>
      </c>
      <c r="F78" s="356">
        <v>766</v>
      </c>
      <c r="G78" s="356">
        <v>0</v>
      </c>
      <c r="H78" s="356">
        <v>0</v>
      </c>
      <c r="I78" s="356">
        <v>0</v>
      </c>
      <c r="J78" s="356">
        <v>18</v>
      </c>
      <c r="K78" s="356">
        <v>106</v>
      </c>
      <c r="L78" s="356">
        <v>0</v>
      </c>
      <c r="M78" s="356">
        <v>0</v>
      </c>
      <c r="N78" s="356">
        <v>0</v>
      </c>
      <c r="O78" s="356">
        <v>0</v>
      </c>
      <c r="P78" s="356">
        <v>151</v>
      </c>
      <c r="Q78" s="356">
        <v>278</v>
      </c>
      <c r="R78" s="356">
        <v>113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50</v>
      </c>
      <c r="AP78" s="356">
        <v>0</v>
      </c>
      <c r="AQ78" s="356">
        <v>0</v>
      </c>
      <c r="AR78" s="356">
        <v>50</v>
      </c>
      <c r="AS78" s="356">
        <v>0</v>
      </c>
      <c r="AT78" s="356">
        <v>0</v>
      </c>
      <c r="AU78" s="356">
        <v>0</v>
      </c>
      <c r="AV78" s="356">
        <v>0</v>
      </c>
      <c r="AW78" s="356">
        <v>0</v>
      </c>
    </row>
    <row r="79" spans="3:49" x14ac:dyDescent="0.3">
      <c r="C79" s="356">
        <v>59</v>
      </c>
      <c r="D79" s="356">
        <v>9</v>
      </c>
      <c r="E79" s="356">
        <v>6</v>
      </c>
      <c r="F79" s="356">
        <v>2573901</v>
      </c>
      <c r="G79" s="356">
        <v>0</v>
      </c>
      <c r="H79" s="356">
        <v>0</v>
      </c>
      <c r="I79" s="356">
        <v>0</v>
      </c>
      <c r="J79" s="356">
        <v>85122</v>
      </c>
      <c r="K79" s="356">
        <v>574261</v>
      </c>
      <c r="L79" s="356">
        <v>0</v>
      </c>
      <c r="M79" s="356">
        <v>0</v>
      </c>
      <c r="N79" s="356">
        <v>0</v>
      </c>
      <c r="O79" s="356">
        <v>0</v>
      </c>
      <c r="P79" s="356">
        <v>528815</v>
      </c>
      <c r="Q79" s="356">
        <v>801924</v>
      </c>
      <c r="R79" s="356">
        <v>398826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85251</v>
      </c>
      <c r="AP79" s="356">
        <v>0</v>
      </c>
      <c r="AQ79" s="356">
        <v>0</v>
      </c>
      <c r="AR79" s="356">
        <v>73512</v>
      </c>
      <c r="AS79" s="356">
        <v>0</v>
      </c>
      <c r="AT79" s="356">
        <v>0</v>
      </c>
      <c r="AU79" s="356">
        <v>0</v>
      </c>
      <c r="AV79" s="356">
        <v>0</v>
      </c>
      <c r="AW79" s="356">
        <v>26190</v>
      </c>
    </row>
    <row r="80" spans="3:49" x14ac:dyDescent="0.3">
      <c r="C80" s="356">
        <v>59</v>
      </c>
      <c r="D80" s="356">
        <v>9</v>
      </c>
      <c r="E80" s="356">
        <v>9</v>
      </c>
      <c r="F80" s="356">
        <v>19952</v>
      </c>
      <c r="G80" s="356">
        <v>0</v>
      </c>
      <c r="H80" s="356">
        <v>0</v>
      </c>
      <c r="I80" s="356">
        <v>0</v>
      </c>
      <c r="J80" s="356">
        <v>0</v>
      </c>
      <c r="K80" s="356">
        <v>0</v>
      </c>
      <c r="L80" s="356">
        <v>0</v>
      </c>
      <c r="M80" s="356">
        <v>0</v>
      </c>
      <c r="N80" s="356">
        <v>0</v>
      </c>
      <c r="O80" s="356">
        <v>0</v>
      </c>
      <c r="P80" s="356">
        <v>5023</v>
      </c>
      <c r="Q80" s="356">
        <v>5006</v>
      </c>
      <c r="R80" s="356">
        <v>9923</v>
      </c>
      <c r="S80" s="356">
        <v>0</v>
      </c>
      <c r="T80" s="356">
        <v>0</v>
      </c>
      <c r="U80" s="356">
        <v>0</v>
      </c>
      <c r="V80" s="356">
        <v>0</v>
      </c>
      <c r="W80" s="356">
        <v>0</v>
      </c>
      <c r="X80" s="356">
        <v>0</v>
      </c>
      <c r="Y80" s="356">
        <v>0</v>
      </c>
      <c r="Z80" s="356">
        <v>0</v>
      </c>
      <c r="AA80" s="356">
        <v>0</v>
      </c>
      <c r="AB80" s="356">
        <v>0</v>
      </c>
      <c r="AC80" s="356">
        <v>0</v>
      </c>
      <c r="AD80" s="356">
        <v>0</v>
      </c>
      <c r="AE80" s="356">
        <v>0</v>
      </c>
      <c r="AF80" s="356">
        <v>0</v>
      </c>
      <c r="AG80" s="356">
        <v>0</v>
      </c>
      <c r="AH80" s="356">
        <v>0</v>
      </c>
      <c r="AI80" s="356">
        <v>0</v>
      </c>
      <c r="AJ80" s="356">
        <v>0</v>
      </c>
      <c r="AK80" s="356">
        <v>0</v>
      </c>
      <c r="AL80" s="356">
        <v>0</v>
      </c>
      <c r="AM80" s="356">
        <v>0</v>
      </c>
      <c r="AN80" s="356">
        <v>0</v>
      </c>
      <c r="AO80" s="356">
        <v>0</v>
      </c>
      <c r="AP80" s="356">
        <v>0</v>
      </c>
      <c r="AQ80" s="356">
        <v>0</v>
      </c>
      <c r="AR80" s="356">
        <v>0</v>
      </c>
      <c r="AS80" s="356">
        <v>0</v>
      </c>
      <c r="AT80" s="356">
        <v>0</v>
      </c>
      <c r="AU80" s="356">
        <v>0</v>
      </c>
      <c r="AV80" s="356">
        <v>0</v>
      </c>
      <c r="AW80" s="356">
        <v>0</v>
      </c>
    </row>
    <row r="81" spans="3:49" x14ac:dyDescent="0.3">
      <c r="C81" s="356">
        <v>59</v>
      </c>
      <c r="D81" s="356">
        <v>9</v>
      </c>
      <c r="E81" s="356">
        <v>10</v>
      </c>
      <c r="F81" s="356">
        <v>11148</v>
      </c>
      <c r="G81" s="356">
        <v>0</v>
      </c>
      <c r="H81" s="356">
        <v>0</v>
      </c>
      <c r="I81" s="356">
        <v>0</v>
      </c>
      <c r="J81" s="356">
        <v>0</v>
      </c>
      <c r="K81" s="356">
        <v>0</v>
      </c>
      <c r="L81" s="356">
        <v>0</v>
      </c>
      <c r="M81" s="356">
        <v>0</v>
      </c>
      <c r="N81" s="356">
        <v>0</v>
      </c>
      <c r="O81" s="356">
        <v>11148</v>
      </c>
      <c r="P81" s="356">
        <v>0</v>
      </c>
      <c r="Q81" s="356">
        <v>0</v>
      </c>
      <c r="R81" s="356">
        <v>0</v>
      </c>
      <c r="S81" s="356">
        <v>0</v>
      </c>
      <c r="T81" s="356">
        <v>0</v>
      </c>
      <c r="U81" s="356">
        <v>0</v>
      </c>
      <c r="V81" s="356">
        <v>0</v>
      </c>
      <c r="W81" s="356">
        <v>0</v>
      </c>
      <c r="X81" s="356">
        <v>0</v>
      </c>
      <c r="Y81" s="356">
        <v>0</v>
      </c>
      <c r="Z81" s="356">
        <v>0</v>
      </c>
      <c r="AA81" s="356">
        <v>0</v>
      </c>
      <c r="AB81" s="356">
        <v>0</v>
      </c>
      <c r="AC81" s="356">
        <v>0</v>
      </c>
      <c r="AD81" s="356">
        <v>0</v>
      </c>
      <c r="AE81" s="356">
        <v>0</v>
      </c>
      <c r="AF81" s="356">
        <v>0</v>
      </c>
      <c r="AG81" s="356">
        <v>0</v>
      </c>
      <c r="AH81" s="356">
        <v>0</v>
      </c>
      <c r="AI81" s="356">
        <v>0</v>
      </c>
      <c r="AJ81" s="356">
        <v>0</v>
      </c>
      <c r="AK81" s="356">
        <v>0</v>
      </c>
      <c r="AL81" s="356">
        <v>0</v>
      </c>
      <c r="AM81" s="356">
        <v>0</v>
      </c>
      <c r="AN81" s="356">
        <v>0</v>
      </c>
      <c r="AO81" s="356">
        <v>0</v>
      </c>
      <c r="AP81" s="356">
        <v>0</v>
      </c>
      <c r="AQ81" s="356">
        <v>0</v>
      </c>
      <c r="AR81" s="356">
        <v>0</v>
      </c>
      <c r="AS81" s="356">
        <v>0</v>
      </c>
      <c r="AT81" s="356">
        <v>0</v>
      </c>
      <c r="AU81" s="356">
        <v>0</v>
      </c>
      <c r="AV81" s="356">
        <v>0</v>
      </c>
      <c r="AW81" s="356">
        <v>0</v>
      </c>
    </row>
    <row r="82" spans="3:49" x14ac:dyDescent="0.3">
      <c r="C82" s="356">
        <v>59</v>
      </c>
      <c r="D82" s="356">
        <v>9</v>
      </c>
      <c r="E82" s="356">
        <v>11</v>
      </c>
      <c r="F82" s="356">
        <v>12717.557251908398</v>
      </c>
      <c r="G82" s="356">
        <v>0</v>
      </c>
      <c r="H82" s="356">
        <v>0</v>
      </c>
      <c r="I82" s="356">
        <v>0</v>
      </c>
      <c r="J82" s="356">
        <v>1717.5572519083971</v>
      </c>
      <c r="K82" s="356">
        <v>0</v>
      </c>
      <c r="L82" s="356">
        <v>0</v>
      </c>
      <c r="M82" s="356">
        <v>0</v>
      </c>
      <c r="N82" s="356">
        <v>0</v>
      </c>
      <c r="O82" s="356">
        <v>11000</v>
      </c>
      <c r="P82" s="356">
        <v>0</v>
      </c>
      <c r="Q82" s="356">
        <v>0</v>
      </c>
      <c r="R82" s="356">
        <v>0</v>
      </c>
      <c r="S82" s="356">
        <v>0</v>
      </c>
      <c r="T82" s="356">
        <v>0</v>
      </c>
      <c r="U82" s="356">
        <v>0</v>
      </c>
      <c r="V82" s="356">
        <v>0</v>
      </c>
      <c r="W82" s="356">
        <v>0</v>
      </c>
      <c r="X82" s="356">
        <v>0</v>
      </c>
      <c r="Y82" s="356">
        <v>0</v>
      </c>
      <c r="Z82" s="356">
        <v>0</v>
      </c>
      <c r="AA82" s="356">
        <v>0</v>
      </c>
      <c r="AB82" s="356">
        <v>0</v>
      </c>
      <c r="AC82" s="356">
        <v>0</v>
      </c>
      <c r="AD82" s="356">
        <v>0</v>
      </c>
      <c r="AE82" s="356">
        <v>0</v>
      </c>
      <c r="AF82" s="356">
        <v>0</v>
      </c>
      <c r="AG82" s="356">
        <v>0</v>
      </c>
      <c r="AH82" s="356">
        <v>0</v>
      </c>
      <c r="AI82" s="356">
        <v>0</v>
      </c>
      <c r="AJ82" s="356">
        <v>0</v>
      </c>
      <c r="AK82" s="356">
        <v>0</v>
      </c>
      <c r="AL82" s="356">
        <v>0</v>
      </c>
      <c r="AM82" s="356">
        <v>0</v>
      </c>
      <c r="AN82" s="356">
        <v>0</v>
      </c>
      <c r="AO82" s="356">
        <v>0</v>
      </c>
      <c r="AP82" s="356">
        <v>0</v>
      </c>
      <c r="AQ82" s="356">
        <v>0</v>
      </c>
      <c r="AR82" s="356">
        <v>0</v>
      </c>
      <c r="AS82" s="356">
        <v>0</v>
      </c>
      <c r="AT82" s="356">
        <v>0</v>
      </c>
      <c r="AU82" s="356">
        <v>0</v>
      </c>
      <c r="AV82" s="356">
        <v>0</v>
      </c>
      <c r="AW82" s="356">
        <v>0</v>
      </c>
    </row>
    <row r="83" spans="3:49" x14ac:dyDescent="0.3">
      <c r="C83" s="356">
        <v>59</v>
      </c>
      <c r="D83" s="356">
        <v>10</v>
      </c>
      <c r="E83" s="356">
        <v>1</v>
      </c>
      <c r="F83" s="356">
        <v>61.35</v>
      </c>
      <c r="G83" s="356">
        <v>0</v>
      </c>
      <c r="H83" s="356">
        <v>0</v>
      </c>
      <c r="I83" s="356">
        <v>0</v>
      </c>
      <c r="J83" s="356">
        <v>1.8</v>
      </c>
      <c r="K83" s="356">
        <v>6.55</v>
      </c>
      <c r="L83" s="356">
        <v>0</v>
      </c>
      <c r="M83" s="356">
        <v>0</v>
      </c>
      <c r="N83" s="356">
        <v>0</v>
      </c>
      <c r="O83" s="356">
        <v>0</v>
      </c>
      <c r="P83" s="356">
        <v>17.5</v>
      </c>
      <c r="Q83" s="356">
        <v>18</v>
      </c>
      <c r="R83" s="356">
        <v>10.5</v>
      </c>
      <c r="S83" s="356">
        <v>0</v>
      </c>
      <c r="T83" s="356">
        <v>0</v>
      </c>
      <c r="U83" s="356">
        <v>0</v>
      </c>
      <c r="V83" s="356">
        <v>0</v>
      </c>
      <c r="W83" s="356">
        <v>0</v>
      </c>
      <c r="X83" s="356">
        <v>0</v>
      </c>
      <c r="Y83" s="356">
        <v>0</v>
      </c>
      <c r="Z83" s="356">
        <v>0</v>
      </c>
      <c r="AA83" s="356">
        <v>0</v>
      </c>
      <c r="AB83" s="356">
        <v>0</v>
      </c>
      <c r="AC83" s="356">
        <v>0</v>
      </c>
      <c r="AD83" s="356">
        <v>0</v>
      </c>
      <c r="AE83" s="356">
        <v>0</v>
      </c>
      <c r="AF83" s="356">
        <v>0</v>
      </c>
      <c r="AG83" s="356">
        <v>0</v>
      </c>
      <c r="AH83" s="356">
        <v>0</v>
      </c>
      <c r="AI83" s="356">
        <v>0</v>
      </c>
      <c r="AJ83" s="356">
        <v>0</v>
      </c>
      <c r="AK83" s="356">
        <v>0</v>
      </c>
      <c r="AL83" s="356">
        <v>0</v>
      </c>
      <c r="AM83" s="356">
        <v>0</v>
      </c>
      <c r="AN83" s="356">
        <v>0</v>
      </c>
      <c r="AO83" s="356">
        <v>3</v>
      </c>
      <c r="AP83" s="356">
        <v>0</v>
      </c>
      <c r="AQ83" s="356">
        <v>0</v>
      </c>
      <c r="AR83" s="356">
        <v>3</v>
      </c>
      <c r="AS83" s="356">
        <v>0</v>
      </c>
      <c r="AT83" s="356">
        <v>0</v>
      </c>
      <c r="AU83" s="356">
        <v>0</v>
      </c>
      <c r="AV83" s="356">
        <v>0</v>
      </c>
      <c r="AW83" s="356">
        <v>1</v>
      </c>
    </row>
    <row r="84" spans="3:49" x14ac:dyDescent="0.3">
      <c r="C84" s="356">
        <v>59</v>
      </c>
      <c r="D84" s="356">
        <v>10</v>
      </c>
      <c r="E84" s="356">
        <v>2</v>
      </c>
      <c r="F84" s="356">
        <v>8847.85</v>
      </c>
      <c r="G84" s="356">
        <v>0</v>
      </c>
      <c r="H84" s="356">
        <v>0</v>
      </c>
      <c r="I84" s="356">
        <v>0</v>
      </c>
      <c r="J84" s="356">
        <v>283.5</v>
      </c>
      <c r="K84" s="356">
        <v>1031.6500000000001</v>
      </c>
      <c r="L84" s="356">
        <v>0</v>
      </c>
      <c r="M84" s="356">
        <v>0</v>
      </c>
      <c r="N84" s="356">
        <v>0</v>
      </c>
      <c r="O84" s="356">
        <v>0</v>
      </c>
      <c r="P84" s="356">
        <v>2666.25</v>
      </c>
      <c r="Q84" s="356">
        <v>2515.8000000000002</v>
      </c>
      <c r="R84" s="356">
        <v>1297.6500000000001</v>
      </c>
      <c r="S84" s="356">
        <v>0</v>
      </c>
      <c r="T84" s="356">
        <v>0</v>
      </c>
      <c r="U84" s="356">
        <v>0</v>
      </c>
      <c r="V84" s="356">
        <v>0</v>
      </c>
      <c r="W84" s="356">
        <v>0</v>
      </c>
      <c r="X84" s="356">
        <v>0</v>
      </c>
      <c r="Y84" s="356">
        <v>0</v>
      </c>
      <c r="Z84" s="356">
        <v>0</v>
      </c>
      <c r="AA84" s="356">
        <v>0</v>
      </c>
      <c r="AB84" s="356">
        <v>0</v>
      </c>
      <c r="AC84" s="356">
        <v>0</v>
      </c>
      <c r="AD84" s="356">
        <v>0</v>
      </c>
      <c r="AE84" s="356">
        <v>0</v>
      </c>
      <c r="AF84" s="356">
        <v>0</v>
      </c>
      <c r="AG84" s="356">
        <v>0</v>
      </c>
      <c r="AH84" s="356">
        <v>0</v>
      </c>
      <c r="AI84" s="356">
        <v>0</v>
      </c>
      <c r="AJ84" s="356">
        <v>0</v>
      </c>
      <c r="AK84" s="356">
        <v>0</v>
      </c>
      <c r="AL84" s="356">
        <v>0</v>
      </c>
      <c r="AM84" s="356">
        <v>0</v>
      </c>
      <c r="AN84" s="356">
        <v>0</v>
      </c>
      <c r="AO84" s="356">
        <v>472.5</v>
      </c>
      <c r="AP84" s="356">
        <v>0</v>
      </c>
      <c r="AQ84" s="356">
        <v>0</v>
      </c>
      <c r="AR84" s="356">
        <v>412.5</v>
      </c>
      <c r="AS84" s="356">
        <v>0</v>
      </c>
      <c r="AT84" s="356">
        <v>0</v>
      </c>
      <c r="AU84" s="356">
        <v>0</v>
      </c>
      <c r="AV84" s="356">
        <v>0</v>
      </c>
      <c r="AW84" s="356">
        <v>168</v>
      </c>
    </row>
    <row r="85" spans="3:49" x14ac:dyDescent="0.3">
      <c r="C85" s="356">
        <v>59</v>
      </c>
      <c r="D85" s="356">
        <v>10</v>
      </c>
      <c r="E85" s="356">
        <v>3</v>
      </c>
      <c r="F85" s="356">
        <v>344.75</v>
      </c>
      <c r="G85" s="356">
        <v>0</v>
      </c>
      <c r="H85" s="356">
        <v>0</v>
      </c>
      <c r="I85" s="356">
        <v>0</v>
      </c>
      <c r="J85" s="356">
        <v>23</v>
      </c>
      <c r="K85" s="356">
        <v>48</v>
      </c>
      <c r="L85" s="356">
        <v>0</v>
      </c>
      <c r="M85" s="356">
        <v>0</v>
      </c>
      <c r="N85" s="356">
        <v>0</v>
      </c>
      <c r="O85" s="356">
        <v>0</v>
      </c>
      <c r="P85" s="356">
        <v>75</v>
      </c>
      <c r="Q85" s="356">
        <v>145.75</v>
      </c>
      <c r="R85" s="356">
        <v>53</v>
      </c>
      <c r="S85" s="356">
        <v>0</v>
      </c>
      <c r="T85" s="356">
        <v>0</v>
      </c>
      <c r="U85" s="356">
        <v>0</v>
      </c>
      <c r="V85" s="356">
        <v>0</v>
      </c>
      <c r="W85" s="356">
        <v>0</v>
      </c>
      <c r="X85" s="356">
        <v>0</v>
      </c>
      <c r="Y85" s="356">
        <v>0</v>
      </c>
      <c r="Z85" s="356">
        <v>0</v>
      </c>
      <c r="AA85" s="356">
        <v>0</v>
      </c>
      <c r="AB85" s="356">
        <v>0</v>
      </c>
      <c r="AC85" s="356">
        <v>0</v>
      </c>
      <c r="AD85" s="356">
        <v>0</v>
      </c>
      <c r="AE85" s="356">
        <v>0</v>
      </c>
      <c r="AF85" s="356">
        <v>0</v>
      </c>
      <c r="AG85" s="356">
        <v>0</v>
      </c>
      <c r="AH85" s="356">
        <v>0</v>
      </c>
      <c r="AI85" s="356">
        <v>0</v>
      </c>
      <c r="AJ85" s="356">
        <v>0</v>
      </c>
      <c r="AK85" s="356">
        <v>0</v>
      </c>
      <c r="AL85" s="356">
        <v>0</v>
      </c>
      <c r="AM85" s="356">
        <v>0</v>
      </c>
      <c r="AN85" s="356">
        <v>0</v>
      </c>
      <c r="AO85" s="356">
        <v>0</v>
      </c>
      <c r="AP85" s="356">
        <v>0</v>
      </c>
      <c r="AQ85" s="356">
        <v>0</v>
      </c>
      <c r="AR85" s="356">
        <v>0</v>
      </c>
      <c r="AS85" s="356">
        <v>0</v>
      </c>
      <c r="AT85" s="356">
        <v>0</v>
      </c>
      <c r="AU85" s="356">
        <v>0</v>
      </c>
      <c r="AV85" s="356">
        <v>0</v>
      </c>
      <c r="AW85" s="356">
        <v>0</v>
      </c>
    </row>
    <row r="86" spans="3:49" x14ac:dyDescent="0.3">
      <c r="C86" s="356">
        <v>59</v>
      </c>
      <c r="D86" s="356">
        <v>10</v>
      </c>
      <c r="E86" s="356">
        <v>4</v>
      </c>
      <c r="F86" s="356">
        <v>1346.25</v>
      </c>
      <c r="G86" s="356">
        <v>0</v>
      </c>
      <c r="H86" s="356">
        <v>0</v>
      </c>
      <c r="I86" s="356">
        <v>0</v>
      </c>
      <c r="J86" s="356">
        <v>29</v>
      </c>
      <c r="K86" s="356">
        <v>123</v>
      </c>
      <c r="L86" s="356">
        <v>0</v>
      </c>
      <c r="M86" s="356">
        <v>0</v>
      </c>
      <c r="N86" s="356">
        <v>0</v>
      </c>
      <c r="O86" s="356">
        <v>0</v>
      </c>
      <c r="P86" s="356">
        <v>440</v>
      </c>
      <c r="Q86" s="356">
        <v>424.25</v>
      </c>
      <c r="R86" s="356">
        <v>194</v>
      </c>
      <c r="S86" s="356">
        <v>0</v>
      </c>
      <c r="T86" s="356">
        <v>0</v>
      </c>
      <c r="U86" s="356">
        <v>0</v>
      </c>
      <c r="V86" s="356">
        <v>0</v>
      </c>
      <c r="W86" s="356">
        <v>0</v>
      </c>
      <c r="X86" s="356">
        <v>0</v>
      </c>
      <c r="Y86" s="356">
        <v>0</v>
      </c>
      <c r="Z86" s="356">
        <v>0</v>
      </c>
      <c r="AA86" s="356">
        <v>0</v>
      </c>
      <c r="AB86" s="356">
        <v>0</v>
      </c>
      <c r="AC86" s="356">
        <v>0</v>
      </c>
      <c r="AD86" s="356">
        <v>0</v>
      </c>
      <c r="AE86" s="356">
        <v>0</v>
      </c>
      <c r="AF86" s="356">
        <v>0</v>
      </c>
      <c r="AG86" s="356">
        <v>0</v>
      </c>
      <c r="AH86" s="356">
        <v>0</v>
      </c>
      <c r="AI86" s="356">
        <v>0</v>
      </c>
      <c r="AJ86" s="356">
        <v>0</v>
      </c>
      <c r="AK86" s="356">
        <v>0</v>
      </c>
      <c r="AL86" s="356">
        <v>0</v>
      </c>
      <c r="AM86" s="356">
        <v>0</v>
      </c>
      <c r="AN86" s="356">
        <v>0</v>
      </c>
      <c r="AO86" s="356">
        <v>65</v>
      </c>
      <c r="AP86" s="356">
        <v>0</v>
      </c>
      <c r="AQ86" s="356">
        <v>0</v>
      </c>
      <c r="AR86" s="356">
        <v>71</v>
      </c>
      <c r="AS86" s="356">
        <v>0</v>
      </c>
      <c r="AT86" s="356">
        <v>0</v>
      </c>
      <c r="AU86" s="356">
        <v>0</v>
      </c>
      <c r="AV86" s="356">
        <v>0</v>
      </c>
      <c r="AW86" s="356">
        <v>0</v>
      </c>
    </row>
    <row r="87" spans="3:49" x14ac:dyDescent="0.3">
      <c r="C87" s="356">
        <v>59</v>
      </c>
      <c r="D87" s="356">
        <v>10</v>
      </c>
      <c r="E87" s="356">
        <v>6</v>
      </c>
      <c r="F87" s="356">
        <v>2770163</v>
      </c>
      <c r="G87" s="356">
        <v>0</v>
      </c>
      <c r="H87" s="356">
        <v>0</v>
      </c>
      <c r="I87" s="356">
        <v>0</v>
      </c>
      <c r="J87" s="356">
        <v>90702</v>
      </c>
      <c r="K87" s="356">
        <v>608338</v>
      </c>
      <c r="L87" s="356">
        <v>0</v>
      </c>
      <c r="M87" s="356">
        <v>0</v>
      </c>
      <c r="N87" s="356">
        <v>0</v>
      </c>
      <c r="O87" s="356">
        <v>0</v>
      </c>
      <c r="P87" s="356">
        <v>602647</v>
      </c>
      <c r="Q87" s="356">
        <v>833713</v>
      </c>
      <c r="R87" s="356">
        <v>434255</v>
      </c>
      <c r="S87" s="356">
        <v>0</v>
      </c>
      <c r="T87" s="356">
        <v>0</v>
      </c>
      <c r="U87" s="356">
        <v>0</v>
      </c>
      <c r="V87" s="356">
        <v>0</v>
      </c>
      <c r="W87" s="356">
        <v>0</v>
      </c>
      <c r="X87" s="356">
        <v>0</v>
      </c>
      <c r="Y87" s="356">
        <v>0</v>
      </c>
      <c r="Z87" s="356">
        <v>0</v>
      </c>
      <c r="AA87" s="356">
        <v>0</v>
      </c>
      <c r="AB87" s="356">
        <v>0</v>
      </c>
      <c r="AC87" s="356">
        <v>0</v>
      </c>
      <c r="AD87" s="356">
        <v>0</v>
      </c>
      <c r="AE87" s="356">
        <v>0</v>
      </c>
      <c r="AF87" s="356">
        <v>0</v>
      </c>
      <c r="AG87" s="356">
        <v>0</v>
      </c>
      <c r="AH87" s="356">
        <v>0</v>
      </c>
      <c r="AI87" s="356">
        <v>0</v>
      </c>
      <c r="AJ87" s="356">
        <v>0</v>
      </c>
      <c r="AK87" s="356">
        <v>0</v>
      </c>
      <c r="AL87" s="356">
        <v>0</v>
      </c>
      <c r="AM87" s="356">
        <v>0</v>
      </c>
      <c r="AN87" s="356">
        <v>0</v>
      </c>
      <c r="AO87" s="356">
        <v>92530</v>
      </c>
      <c r="AP87" s="356">
        <v>0</v>
      </c>
      <c r="AQ87" s="356">
        <v>0</v>
      </c>
      <c r="AR87" s="356">
        <v>81788</v>
      </c>
      <c r="AS87" s="356">
        <v>0</v>
      </c>
      <c r="AT87" s="356">
        <v>0</v>
      </c>
      <c r="AU87" s="356">
        <v>0</v>
      </c>
      <c r="AV87" s="356">
        <v>0</v>
      </c>
      <c r="AW87" s="356">
        <v>26190</v>
      </c>
    </row>
    <row r="88" spans="3:49" x14ac:dyDescent="0.3">
      <c r="C88" s="356">
        <v>59</v>
      </c>
      <c r="D88" s="356">
        <v>10</v>
      </c>
      <c r="E88" s="356">
        <v>9</v>
      </c>
      <c r="F88" s="356">
        <v>13646</v>
      </c>
      <c r="G88" s="356">
        <v>0</v>
      </c>
      <c r="H88" s="356">
        <v>0</v>
      </c>
      <c r="I88" s="356">
        <v>0</v>
      </c>
      <c r="J88" s="356">
        <v>0</v>
      </c>
      <c r="K88" s="356">
        <v>0</v>
      </c>
      <c r="L88" s="356">
        <v>0</v>
      </c>
      <c r="M88" s="356">
        <v>0</v>
      </c>
      <c r="N88" s="356">
        <v>0</v>
      </c>
      <c r="O88" s="356">
        <v>0</v>
      </c>
      <c r="P88" s="356">
        <v>3800</v>
      </c>
      <c r="Q88" s="356">
        <v>9846</v>
      </c>
      <c r="R88" s="356">
        <v>0</v>
      </c>
      <c r="S88" s="356">
        <v>0</v>
      </c>
      <c r="T88" s="356">
        <v>0</v>
      </c>
      <c r="U88" s="356">
        <v>0</v>
      </c>
      <c r="V88" s="356">
        <v>0</v>
      </c>
      <c r="W88" s="356">
        <v>0</v>
      </c>
      <c r="X88" s="356">
        <v>0</v>
      </c>
      <c r="Y88" s="356">
        <v>0</v>
      </c>
      <c r="Z88" s="356">
        <v>0</v>
      </c>
      <c r="AA88" s="356">
        <v>0</v>
      </c>
      <c r="AB88" s="356">
        <v>0</v>
      </c>
      <c r="AC88" s="356">
        <v>0</v>
      </c>
      <c r="AD88" s="356">
        <v>0</v>
      </c>
      <c r="AE88" s="356">
        <v>0</v>
      </c>
      <c r="AF88" s="356">
        <v>0</v>
      </c>
      <c r="AG88" s="356">
        <v>0</v>
      </c>
      <c r="AH88" s="356">
        <v>0</v>
      </c>
      <c r="AI88" s="356">
        <v>0</v>
      </c>
      <c r="AJ88" s="356">
        <v>0</v>
      </c>
      <c r="AK88" s="356">
        <v>0</v>
      </c>
      <c r="AL88" s="356">
        <v>0</v>
      </c>
      <c r="AM88" s="356">
        <v>0</v>
      </c>
      <c r="AN88" s="356">
        <v>0</v>
      </c>
      <c r="AO88" s="356">
        <v>0</v>
      </c>
      <c r="AP88" s="356">
        <v>0</v>
      </c>
      <c r="AQ88" s="356">
        <v>0</v>
      </c>
      <c r="AR88" s="356">
        <v>0</v>
      </c>
      <c r="AS88" s="356">
        <v>0</v>
      </c>
      <c r="AT88" s="356">
        <v>0</v>
      </c>
      <c r="AU88" s="356">
        <v>0</v>
      </c>
      <c r="AV88" s="356">
        <v>0</v>
      </c>
      <c r="AW88" s="356">
        <v>0</v>
      </c>
    </row>
    <row r="89" spans="3:49" x14ac:dyDescent="0.3">
      <c r="C89" s="356">
        <v>59</v>
      </c>
      <c r="D89" s="356">
        <v>10</v>
      </c>
      <c r="E89" s="356">
        <v>10</v>
      </c>
      <c r="F89" s="356">
        <v>20238</v>
      </c>
      <c r="G89" s="356">
        <v>0</v>
      </c>
      <c r="H89" s="356">
        <v>0</v>
      </c>
      <c r="I89" s="356">
        <v>0</v>
      </c>
      <c r="J89" s="356">
        <v>0</v>
      </c>
      <c r="K89" s="356">
        <v>0</v>
      </c>
      <c r="L89" s="356">
        <v>0</v>
      </c>
      <c r="M89" s="356">
        <v>0</v>
      </c>
      <c r="N89" s="356">
        <v>0</v>
      </c>
      <c r="O89" s="356">
        <v>20238</v>
      </c>
      <c r="P89" s="356">
        <v>0</v>
      </c>
      <c r="Q89" s="356">
        <v>0</v>
      </c>
      <c r="R89" s="356">
        <v>0</v>
      </c>
      <c r="S89" s="356">
        <v>0</v>
      </c>
      <c r="T89" s="356">
        <v>0</v>
      </c>
      <c r="U89" s="356">
        <v>0</v>
      </c>
      <c r="V89" s="356">
        <v>0</v>
      </c>
      <c r="W89" s="356">
        <v>0</v>
      </c>
      <c r="X89" s="356">
        <v>0</v>
      </c>
      <c r="Y89" s="356">
        <v>0</v>
      </c>
      <c r="Z89" s="356">
        <v>0</v>
      </c>
      <c r="AA89" s="356">
        <v>0</v>
      </c>
      <c r="AB89" s="356">
        <v>0</v>
      </c>
      <c r="AC89" s="356">
        <v>0</v>
      </c>
      <c r="AD89" s="356">
        <v>0</v>
      </c>
      <c r="AE89" s="356">
        <v>0</v>
      </c>
      <c r="AF89" s="356">
        <v>0</v>
      </c>
      <c r="AG89" s="356">
        <v>0</v>
      </c>
      <c r="AH89" s="356">
        <v>0</v>
      </c>
      <c r="AI89" s="356">
        <v>0</v>
      </c>
      <c r="AJ89" s="356">
        <v>0</v>
      </c>
      <c r="AK89" s="356">
        <v>0</v>
      </c>
      <c r="AL89" s="356">
        <v>0</v>
      </c>
      <c r="AM89" s="356">
        <v>0</v>
      </c>
      <c r="AN89" s="356">
        <v>0</v>
      </c>
      <c r="AO89" s="356">
        <v>0</v>
      </c>
      <c r="AP89" s="356">
        <v>0</v>
      </c>
      <c r="AQ89" s="356">
        <v>0</v>
      </c>
      <c r="AR89" s="356">
        <v>0</v>
      </c>
      <c r="AS89" s="356">
        <v>0</v>
      </c>
      <c r="AT89" s="356">
        <v>0</v>
      </c>
      <c r="AU89" s="356">
        <v>0</v>
      </c>
      <c r="AV89" s="356">
        <v>0</v>
      </c>
      <c r="AW89" s="356">
        <v>0</v>
      </c>
    </row>
    <row r="90" spans="3:49" x14ac:dyDescent="0.3">
      <c r="C90" s="356">
        <v>59</v>
      </c>
      <c r="D90" s="356">
        <v>10</v>
      </c>
      <c r="E90" s="356">
        <v>11</v>
      </c>
      <c r="F90" s="356">
        <v>12717.557251908398</v>
      </c>
      <c r="G90" s="356">
        <v>0</v>
      </c>
      <c r="H90" s="356">
        <v>0</v>
      </c>
      <c r="I90" s="356">
        <v>0</v>
      </c>
      <c r="J90" s="356">
        <v>1717.5572519083971</v>
      </c>
      <c r="K90" s="356">
        <v>0</v>
      </c>
      <c r="L90" s="356">
        <v>0</v>
      </c>
      <c r="M90" s="356">
        <v>0</v>
      </c>
      <c r="N90" s="356">
        <v>0</v>
      </c>
      <c r="O90" s="356">
        <v>11000</v>
      </c>
      <c r="P90" s="356">
        <v>0</v>
      </c>
      <c r="Q90" s="356">
        <v>0</v>
      </c>
      <c r="R90" s="356">
        <v>0</v>
      </c>
      <c r="S90" s="356">
        <v>0</v>
      </c>
      <c r="T90" s="356">
        <v>0</v>
      </c>
      <c r="U90" s="356">
        <v>0</v>
      </c>
      <c r="V90" s="356">
        <v>0</v>
      </c>
      <c r="W90" s="356">
        <v>0</v>
      </c>
      <c r="X90" s="356">
        <v>0</v>
      </c>
      <c r="Y90" s="356">
        <v>0</v>
      </c>
      <c r="Z90" s="356">
        <v>0</v>
      </c>
      <c r="AA90" s="356">
        <v>0</v>
      </c>
      <c r="AB90" s="356">
        <v>0</v>
      </c>
      <c r="AC90" s="356">
        <v>0</v>
      </c>
      <c r="AD90" s="356">
        <v>0</v>
      </c>
      <c r="AE90" s="356">
        <v>0</v>
      </c>
      <c r="AF90" s="356">
        <v>0</v>
      </c>
      <c r="AG90" s="356">
        <v>0</v>
      </c>
      <c r="AH90" s="356">
        <v>0</v>
      </c>
      <c r="AI90" s="356">
        <v>0</v>
      </c>
      <c r="AJ90" s="356">
        <v>0</v>
      </c>
      <c r="AK90" s="356">
        <v>0</v>
      </c>
      <c r="AL90" s="356">
        <v>0</v>
      </c>
      <c r="AM90" s="356">
        <v>0</v>
      </c>
      <c r="AN90" s="356">
        <v>0</v>
      </c>
      <c r="AO90" s="356">
        <v>0</v>
      </c>
      <c r="AP90" s="356">
        <v>0</v>
      </c>
      <c r="AQ90" s="356">
        <v>0</v>
      </c>
      <c r="AR90" s="356">
        <v>0</v>
      </c>
      <c r="AS90" s="356">
        <v>0</v>
      </c>
      <c r="AT90" s="356">
        <v>0</v>
      </c>
      <c r="AU90" s="356">
        <v>0</v>
      </c>
      <c r="AV90" s="356">
        <v>0</v>
      </c>
      <c r="AW90" s="356">
        <v>0</v>
      </c>
    </row>
    <row r="91" spans="3:49" x14ac:dyDescent="0.3">
      <c r="C91" s="356">
        <v>59</v>
      </c>
      <c r="D91" s="356">
        <v>11</v>
      </c>
      <c r="E91" s="356">
        <v>1</v>
      </c>
      <c r="F91" s="356">
        <v>61.35</v>
      </c>
      <c r="G91" s="356">
        <v>0</v>
      </c>
      <c r="H91" s="356">
        <v>0</v>
      </c>
      <c r="I91" s="356">
        <v>0</v>
      </c>
      <c r="J91" s="356">
        <v>1</v>
      </c>
      <c r="K91" s="356">
        <v>7.35</v>
      </c>
      <c r="L91" s="356">
        <v>0</v>
      </c>
      <c r="M91" s="356">
        <v>0</v>
      </c>
      <c r="N91" s="356">
        <v>0</v>
      </c>
      <c r="O91" s="356">
        <v>0</v>
      </c>
      <c r="P91" s="356">
        <v>19.5</v>
      </c>
      <c r="Q91" s="356">
        <v>18</v>
      </c>
      <c r="R91" s="356">
        <v>8.5</v>
      </c>
      <c r="S91" s="356">
        <v>0</v>
      </c>
      <c r="T91" s="356">
        <v>0</v>
      </c>
      <c r="U91" s="356">
        <v>0</v>
      </c>
      <c r="V91" s="356">
        <v>0</v>
      </c>
      <c r="W91" s="356">
        <v>0</v>
      </c>
      <c r="X91" s="356">
        <v>0</v>
      </c>
      <c r="Y91" s="356">
        <v>0</v>
      </c>
      <c r="Z91" s="356">
        <v>0</v>
      </c>
      <c r="AA91" s="356">
        <v>0</v>
      </c>
      <c r="AB91" s="356">
        <v>0</v>
      </c>
      <c r="AC91" s="356">
        <v>0</v>
      </c>
      <c r="AD91" s="356">
        <v>0</v>
      </c>
      <c r="AE91" s="356">
        <v>0</v>
      </c>
      <c r="AF91" s="356">
        <v>0</v>
      </c>
      <c r="AG91" s="356">
        <v>0</v>
      </c>
      <c r="AH91" s="356">
        <v>0</v>
      </c>
      <c r="AI91" s="356">
        <v>0</v>
      </c>
      <c r="AJ91" s="356">
        <v>0</v>
      </c>
      <c r="AK91" s="356">
        <v>0</v>
      </c>
      <c r="AL91" s="356">
        <v>0</v>
      </c>
      <c r="AM91" s="356">
        <v>0</v>
      </c>
      <c r="AN91" s="356">
        <v>0</v>
      </c>
      <c r="AO91" s="356">
        <v>3</v>
      </c>
      <c r="AP91" s="356">
        <v>0</v>
      </c>
      <c r="AQ91" s="356">
        <v>0</v>
      </c>
      <c r="AR91" s="356">
        <v>3</v>
      </c>
      <c r="AS91" s="356">
        <v>0</v>
      </c>
      <c r="AT91" s="356">
        <v>0</v>
      </c>
      <c r="AU91" s="356">
        <v>0</v>
      </c>
      <c r="AV91" s="356">
        <v>0</v>
      </c>
      <c r="AW91" s="356">
        <v>1</v>
      </c>
    </row>
    <row r="92" spans="3:49" x14ac:dyDescent="0.3">
      <c r="C92" s="356">
        <v>59</v>
      </c>
      <c r="D92" s="356">
        <v>11</v>
      </c>
      <c r="E92" s="356">
        <v>2</v>
      </c>
      <c r="F92" s="356">
        <v>9230.31</v>
      </c>
      <c r="G92" s="356">
        <v>0</v>
      </c>
      <c r="H92" s="356">
        <v>0</v>
      </c>
      <c r="I92" s="356">
        <v>0</v>
      </c>
      <c r="J92" s="356">
        <v>165</v>
      </c>
      <c r="K92" s="356">
        <v>1156.77</v>
      </c>
      <c r="L92" s="356">
        <v>0</v>
      </c>
      <c r="M92" s="356">
        <v>0</v>
      </c>
      <c r="N92" s="356">
        <v>0</v>
      </c>
      <c r="O92" s="356">
        <v>0</v>
      </c>
      <c r="P92" s="356">
        <v>2874.25</v>
      </c>
      <c r="Q92" s="356">
        <v>2584.52</v>
      </c>
      <c r="R92" s="356">
        <v>1283.77</v>
      </c>
      <c r="S92" s="356">
        <v>0</v>
      </c>
      <c r="T92" s="356">
        <v>0</v>
      </c>
      <c r="U92" s="356">
        <v>0</v>
      </c>
      <c r="V92" s="356">
        <v>0</v>
      </c>
      <c r="W92" s="356">
        <v>0</v>
      </c>
      <c r="X92" s="356">
        <v>0</v>
      </c>
      <c r="Y92" s="356">
        <v>0</v>
      </c>
      <c r="Z92" s="356">
        <v>0</v>
      </c>
      <c r="AA92" s="356">
        <v>0</v>
      </c>
      <c r="AB92" s="356">
        <v>0</v>
      </c>
      <c r="AC92" s="356">
        <v>0</v>
      </c>
      <c r="AD92" s="356">
        <v>0</v>
      </c>
      <c r="AE92" s="356">
        <v>0</v>
      </c>
      <c r="AF92" s="356">
        <v>0</v>
      </c>
      <c r="AG92" s="356">
        <v>0</v>
      </c>
      <c r="AH92" s="356">
        <v>0</v>
      </c>
      <c r="AI92" s="356">
        <v>0</v>
      </c>
      <c r="AJ92" s="356">
        <v>0</v>
      </c>
      <c r="AK92" s="356">
        <v>0</v>
      </c>
      <c r="AL92" s="356">
        <v>0</v>
      </c>
      <c r="AM92" s="356">
        <v>0</v>
      </c>
      <c r="AN92" s="356">
        <v>0</v>
      </c>
      <c r="AO92" s="356">
        <v>495</v>
      </c>
      <c r="AP92" s="356">
        <v>0</v>
      </c>
      <c r="AQ92" s="356">
        <v>0</v>
      </c>
      <c r="AR92" s="356">
        <v>495</v>
      </c>
      <c r="AS92" s="356">
        <v>0</v>
      </c>
      <c r="AT92" s="356">
        <v>0</v>
      </c>
      <c r="AU92" s="356">
        <v>0</v>
      </c>
      <c r="AV92" s="356">
        <v>0</v>
      </c>
      <c r="AW92" s="356">
        <v>176</v>
      </c>
    </row>
    <row r="93" spans="3:49" x14ac:dyDescent="0.3">
      <c r="C93" s="356">
        <v>59</v>
      </c>
      <c r="D93" s="356">
        <v>11</v>
      </c>
      <c r="E93" s="356">
        <v>3</v>
      </c>
      <c r="F93" s="356">
        <v>161</v>
      </c>
      <c r="G93" s="356">
        <v>0</v>
      </c>
      <c r="H93" s="356">
        <v>0</v>
      </c>
      <c r="I93" s="356">
        <v>0</v>
      </c>
      <c r="J93" s="356">
        <v>0</v>
      </c>
      <c r="K93" s="356">
        <v>51</v>
      </c>
      <c r="L93" s="356">
        <v>0</v>
      </c>
      <c r="M93" s="356">
        <v>0</v>
      </c>
      <c r="N93" s="356">
        <v>0</v>
      </c>
      <c r="O93" s="356">
        <v>0</v>
      </c>
      <c r="P93" s="356">
        <v>0</v>
      </c>
      <c r="Q93" s="356">
        <v>110</v>
      </c>
      <c r="R93" s="356">
        <v>0</v>
      </c>
      <c r="S93" s="356">
        <v>0</v>
      </c>
      <c r="T93" s="356">
        <v>0</v>
      </c>
      <c r="U93" s="356">
        <v>0</v>
      </c>
      <c r="V93" s="356">
        <v>0</v>
      </c>
      <c r="W93" s="356">
        <v>0</v>
      </c>
      <c r="X93" s="356">
        <v>0</v>
      </c>
      <c r="Y93" s="356">
        <v>0</v>
      </c>
      <c r="Z93" s="356">
        <v>0</v>
      </c>
      <c r="AA93" s="356">
        <v>0</v>
      </c>
      <c r="AB93" s="356">
        <v>0</v>
      </c>
      <c r="AC93" s="356">
        <v>0</v>
      </c>
      <c r="AD93" s="356">
        <v>0</v>
      </c>
      <c r="AE93" s="356">
        <v>0</v>
      </c>
      <c r="AF93" s="356">
        <v>0</v>
      </c>
      <c r="AG93" s="356">
        <v>0</v>
      </c>
      <c r="AH93" s="356">
        <v>0</v>
      </c>
      <c r="AI93" s="356">
        <v>0</v>
      </c>
      <c r="AJ93" s="356">
        <v>0</v>
      </c>
      <c r="AK93" s="356">
        <v>0</v>
      </c>
      <c r="AL93" s="356">
        <v>0</v>
      </c>
      <c r="AM93" s="356">
        <v>0</v>
      </c>
      <c r="AN93" s="356">
        <v>0</v>
      </c>
      <c r="AO93" s="356">
        <v>0</v>
      </c>
      <c r="AP93" s="356">
        <v>0</v>
      </c>
      <c r="AQ93" s="356">
        <v>0</v>
      </c>
      <c r="AR93" s="356">
        <v>0</v>
      </c>
      <c r="AS93" s="356">
        <v>0</v>
      </c>
      <c r="AT93" s="356">
        <v>0</v>
      </c>
      <c r="AU93" s="356">
        <v>0</v>
      </c>
      <c r="AV93" s="356">
        <v>0</v>
      </c>
      <c r="AW93" s="356">
        <v>0</v>
      </c>
    </row>
    <row r="94" spans="3:49" x14ac:dyDescent="0.3">
      <c r="C94" s="356">
        <v>59</v>
      </c>
      <c r="D94" s="356">
        <v>11</v>
      </c>
      <c r="E94" s="356">
        <v>4</v>
      </c>
      <c r="F94" s="356">
        <v>617</v>
      </c>
      <c r="G94" s="356">
        <v>0</v>
      </c>
      <c r="H94" s="356">
        <v>0</v>
      </c>
      <c r="I94" s="356">
        <v>0</v>
      </c>
      <c r="J94" s="356">
        <v>17</v>
      </c>
      <c r="K94" s="356">
        <v>132</v>
      </c>
      <c r="L94" s="356">
        <v>0</v>
      </c>
      <c r="M94" s="356">
        <v>0</v>
      </c>
      <c r="N94" s="356">
        <v>0</v>
      </c>
      <c r="O94" s="356">
        <v>0</v>
      </c>
      <c r="P94" s="356">
        <v>124</v>
      </c>
      <c r="Q94" s="356">
        <v>214</v>
      </c>
      <c r="R94" s="356">
        <v>106</v>
      </c>
      <c r="S94" s="356">
        <v>0</v>
      </c>
      <c r="T94" s="356">
        <v>0</v>
      </c>
      <c r="U94" s="356">
        <v>0</v>
      </c>
      <c r="V94" s="356">
        <v>0</v>
      </c>
      <c r="W94" s="356">
        <v>0</v>
      </c>
      <c r="X94" s="356">
        <v>0</v>
      </c>
      <c r="Y94" s="356">
        <v>0</v>
      </c>
      <c r="Z94" s="356">
        <v>0</v>
      </c>
      <c r="AA94" s="356">
        <v>0</v>
      </c>
      <c r="AB94" s="356">
        <v>0</v>
      </c>
      <c r="AC94" s="356">
        <v>0</v>
      </c>
      <c r="AD94" s="356">
        <v>0</v>
      </c>
      <c r="AE94" s="356">
        <v>0</v>
      </c>
      <c r="AF94" s="356">
        <v>0</v>
      </c>
      <c r="AG94" s="356">
        <v>0</v>
      </c>
      <c r="AH94" s="356">
        <v>0</v>
      </c>
      <c r="AI94" s="356">
        <v>0</v>
      </c>
      <c r="AJ94" s="356">
        <v>0</v>
      </c>
      <c r="AK94" s="356">
        <v>0</v>
      </c>
      <c r="AL94" s="356">
        <v>0</v>
      </c>
      <c r="AM94" s="356">
        <v>0</v>
      </c>
      <c r="AN94" s="356">
        <v>0</v>
      </c>
      <c r="AO94" s="356">
        <v>14</v>
      </c>
      <c r="AP94" s="356">
        <v>0</v>
      </c>
      <c r="AQ94" s="356">
        <v>0</v>
      </c>
      <c r="AR94" s="356">
        <v>10</v>
      </c>
      <c r="AS94" s="356">
        <v>0</v>
      </c>
      <c r="AT94" s="356">
        <v>0</v>
      </c>
      <c r="AU94" s="356">
        <v>0</v>
      </c>
      <c r="AV94" s="356">
        <v>0</v>
      </c>
      <c r="AW94" s="356">
        <v>0</v>
      </c>
    </row>
    <row r="95" spans="3:49" x14ac:dyDescent="0.3">
      <c r="C95" s="356">
        <v>59</v>
      </c>
      <c r="D95" s="356">
        <v>11</v>
      </c>
      <c r="E95" s="356">
        <v>6</v>
      </c>
      <c r="F95" s="356">
        <v>3026464</v>
      </c>
      <c r="G95" s="356">
        <v>0</v>
      </c>
      <c r="H95" s="356">
        <v>0</v>
      </c>
      <c r="I95" s="356">
        <v>0</v>
      </c>
      <c r="J95" s="356">
        <v>59646</v>
      </c>
      <c r="K95" s="356">
        <v>710669</v>
      </c>
      <c r="L95" s="356">
        <v>0</v>
      </c>
      <c r="M95" s="356">
        <v>0</v>
      </c>
      <c r="N95" s="356">
        <v>0</v>
      </c>
      <c r="O95" s="356">
        <v>0</v>
      </c>
      <c r="P95" s="356">
        <v>663843</v>
      </c>
      <c r="Q95" s="356">
        <v>889564</v>
      </c>
      <c r="R95" s="356">
        <v>486199</v>
      </c>
      <c r="S95" s="356">
        <v>0</v>
      </c>
      <c r="T95" s="356">
        <v>0</v>
      </c>
      <c r="U95" s="356">
        <v>0</v>
      </c>
      <c r="V95" s="356">
        <v>0</v>
      </c>
      <c r="W95" s="356">
        <v>0</v>
      </c>
      <c r="X95" s="356">
        <v>0</v>
      </c>
      <c r="Y95" s="356">
        <v>0</v>
      </c>
      <c r="Z95" s="356">
        <v>0</v>
      </c>
      <c r="AA95" s="356">
        <v>0</v>
      </c>
      <c r="AB95" s="356">
        <v>0</v>
      </c>
      <c r="AC95" s="356">
        <v>0</v>
      </c>
      <c r="AD95" s="356">
        <v>0</v>
      </c>
      <c r="AE95" s="356">
        <v>0</v>
      </c>
      <c r="AF95" s="356">
        <v>0</v>
      </c>
      <c r="AG95" s="356">
        <v>0</v>
      </c>
      <c r="AH95" s="356">
        <v>0</v>
      </c>
      <c r="AI95" s="356">
        <v>0</v>
      </c>
      <c r="AJ95" s="356">
        <v>0</v>
      </c>
      <c r="AK95" s="356">
        <v>0</v>
      </c>
      <c r="AL95" s="356">
        <v>0</v>
      </c>
      <c r="AM95" s="356">
        <v>0</v>
      </c>
      <c r="AN95" s="356">
        <v>0</v>
      </c>
      <c r="AO95" s="356">
        <v>95891</v>
      </c>
      <c r="AP95" s="356">
        <v>0</v>
      </c>
      <c r="AQ95" s="356">
        <v>0</v>
      </c>
      <c r="AR95" s="356">
        <v>87553</v>
      </c>
      <c r="AS95" s="356">
        <v>0</v>
      </c>
      <c r="AT95" s="356">
        <v>0</v>
      </c>
      <c r="AU95" s="356">
        <v>0</v>
      </c>
      <c r="AV95" s="356">
        <v>0</v>
      </c>
      <c r="AW95" s="356">
        <v>33099</v>
      </c>
    </row>
    <row r="96" spans="3:49" x14ac:dyDescent="0.3">
      <c r="C96" s="356">
        <v>59</v>
      </c>
      <c r="D96" s="356">
        <v>11</v>
      </c>
      <c r="E96" s="356">
        <v>9</v>
      </c>
      <c r="F96" s="356">
        <v>541372</v>
      </c>
      <c r="G96" s="356">
        <v>0</v>
      </c>
      <c r="H96" s="356">
        <v>0</v>
      </c>
      <c r="I96" s="356">
        <v>0</v>
      </c>
      <c r="J96" s="356">
        <v>10316</v>
      </c>
      <c r="K96" s="356">
        <v>74980</v>
      </c>
      <c r="L96" s="356">
        <v>0</v>
      </c>
      <c r="M96" s="356">
        <v>0</v>
      </c>
      <c r="N96" s="356">
        <v>0</v>
      </c>
      <c r="O96" s="356">
        <v>0</v>
      </c>
      <c r="P96" s="356">
        <v>123774</v>
      </c>
      <c r="Q96" s="356">
        <v>179312</v>
      </c>
      <c r="R96" s="356">
        <v>110515</v>
      </c>
      <c r="S96" s="356">
        <v>0</v>
      </c>
      <c r="T96" s="356">
        <v>0</v>
      </c>
      <c r="U96" s="356">
        <v>0</v>
      </c>
      <c r="V96" s="356">
        <v>0</v>
      </c>
      <c r="W96" s="356">
        <v>0</v>
      </c>
      <c r="X96" s="356">
        <v>0</v>
      </c>
      <c r="Y96" s="356">
        <v>0</v>
      </c>
      <c r="Z96" s="356">
        <v>0</v>
      </c>
      <c r="AA96" s="356">
        <v>0</v>
      </c>
      <c r="AB96" s="356">
        <v>0</v>
      </c>
      <c r="AC96" s="356">
        <v>0</v>
      </c>
      <c r="AD96" s="356">
        <v>0</v>
      </c>
      <c r="AE96" s="356">
        <v>0</v>
      </c>
      <c r="AF96" s="356">
        <v>0</v>
      </c>
      <c r="AG96" s="356">
        <v>0</v>
      </c>
      <c r="AH96" s="356">
        <v>0</v>
      </c>
      <c r="AI96" s="356">
        <v>0</v>
      </c>
      <c r="AJ96" s="356">
        <v>0</v>
      </c>
      <c r="AK96" s="356">
        <v>0</v>
      </c>
      <c r="AL96" s="356">
        <v>0</v>
      </c>
      <c r="AM96" s="356">
        <v>0</v>
      </c>
      <c r="AN96" s="356">
        <v>0</v>
      </c>
      <c r="AO96" s="356">
        <v>19153</v>
      </c>
      <c r="AP96" s="356">
        <v>0</v>
      </c>
      <c r="AQ96" s="356">
        <v>0</v>
      </c>
      <c r="AR96" s="356">
        <v>16413</v>
      </c>
      <c r="AS96" s="356">
        <v>0</v>
      </c>
      <c r="AT96" s="356">
        <v>0</v>
      </c>
      <c r="AU96" s="356">
        <v>0</v>
      </c>
      <c r="AV96" s="356">
        <v>0</v>
      </c>
      <c r="AW96" s="356">
        <v>6909</v>
      </c>
    </row>
    <row r="97" spans="3:49" x14ac:dyDescent="0.3">
      <c r="C97" s="356">
        <v>59</v>
      </c>
      <c r="D97" s="356">
        <v>11</v>
      </c>
      <c r="E97" s="356">
        <v>11</v>
      </c>
      <c r="F97" s="356">
        <v>12717.557251908398</v>
      </c>
      <c r="G97" s="356">
        <v>0</v>
      </c>
      <c r="H97" s="356">
        <v>0</v>
      </c>
      <c r="I97" s="356">
        <v>0</v>
      </c>
      <c r="J97" s="356">
        <v>1717.5572519083971</v>
      </c>
      <c r="K97" s="356">
        <v>0</v>
      </c>
      <c r="L97" s="356">
        <v>0</v>
      </c>
      <c r="M97" s="356">
        <v>0</v>
      </c>
      <c r="N97" s="356">
        <v>0</v>
      </c>
      <c r="O97" s="356">
        <v>11000</v>
      </c>
      <c r="P97" s="356">
        <v>0</v>
      </c>
      <c r="Q97" s="356">
        <v>0</v>
      </c>
      <c r="R97" s="356">
        <v>0</v>
      </c>
      <c r="S97" s="356">
        <v>0</v>
      </c>
      <c r="T97" s="356">
        <v>0</v>
      </c>
      <c r="U97" s="356">
        <v>0</v>
      </c>
      <c r="V97" s="356">
        <v>0</v>
      </c>
      <c r="W97" s="356">
        <v>0</v>
      </c>
      <c r="X97" s="356">
        <v>0</v>
      </c>
      <c r="Y97" s="356">
        <v>0</v>
      </c>
      <c r="Z97" s="356">
        <v>0</v>
      </c>
      <c r="AA97" s="356">
        <v>0</v>
      </c>
      <c r="AB97" s="356">
        <v>0</v>
      </c>
      <c r="AC97" s="356">
        <v>0</v>
      </c>
      <c r="AD97" s="356">
        <v>0</v>
      </c>
      <c r="AE97" s="356">
        <v>0</v>
      </c>
      <c r="AF97" s="356">
        <v>0</v>
      </c>
      <c r="AG97" s="356">
        <v>0</v>
      </c>
      <c r="AH97" s="356">
        <v>0</v>
      </c>
      <c r="AI97" s="356">
        <v>0</v>
      </c>
      <c r="AJ97" s="356">
        <v>0</v>
      </c>
      <c r="AK97" s="356">
        <v>0</v>
      </c>
      <c r="AL97" s="356">
        <v>0</v>
      </c>
      <c r="AM97" s="356">
        <v>0</v>
      </c>
      <c r="AN97" s="356">
        <v>0</v>
      </c>
      <c r="AO97" s="356">
        <v>0</v>
      </c>
      <c r="AP97" s="356">
        <v>0</v>
      </c>
      <c r="AQ97" s="356">
        <v>0</v>
      </c>
      <c r="AR97" s="356">
        <v>0</v>
      </c>
      <c r="AS97" s="356">
        <v>0</v>
      </c>
      <c r="AT97" s="356">
        <v>0</v>
      </c>
      <c r="AU97" s="356">
        <v>0</v>
      </c>
      <c r="AV97" s="356">
        <v>0</v>
      </c>
      <c r="AW97" s="356">
        <v>0</v>
      </c>
    </row>
    <row r="98" spans="3:49" x14ac:dyDescent="0.3">
      <c r="C98" s="356">
        <v>59</v>
      </c>
      <c r="D98" s="356">
        <v>12</v>
      </c>
      <c r="E98" s="356">
        <v>1</v>
      </c>
      <c r="F98" s="356">
        <v>63.35</v>
      </c>
      <c r="G98" s="356">
        <v>0</v>
      </c>
      <c r="H98" s="356">
        <v>0</v>
      </c>
      <c r="I98" s="356">
        <v>0</v>
      </c>
      <c r="J98" s="356">
        <v>1</v>
      </c>
      <c r="K98" s="356">
        <v>7.35</v>
      </c>
      <c r="L98" s="356">
        <v>0</v>
      </c>
      <c r="M98" s="356">
        <v>0</v>
      </c>
      <c r="N98" s="356">
        <v>0</v>
      </c>
      <c r="O98" s="356">
        <v>0</v>
      </c>
      <c r="P98" s="356">
        <v>19.5</v>
      </c>
      <c r="Q98" s="356">
        <v>19</v>
      </c>
      <c r="R98" s="356">
        <v>9.5</v>
      </c>
      <c r="S98" s="356">
        <v>0</v>
      </c>
      <c r="T98" s="356">
        <v>0</v>
      </c>
      <c r="U98" s="356">
        <v>0</v>
      </c>
      <c r="V98" s="356">
        <v>0</v>
      </c>
      <c r="W98" s="356">
        <v>0</v>
      </c>
      <c r="X98" s="356">
        <v>0</v>
      </c>
      <c r="Y98" s="356">
        <v>0</v>
      </c>
      <c r="Z98" s="356">
        <v>0</v>
      </c>
      <c r="AA98" s="356">
        <v>0</v>
      </c>
      <c r="AB98" s="356">
        <v>0</v>
      </c>
      <c r="AC98" s="356">
        <v>0</v>
      </c>
      <c r="AD98" s="356">
        <v>0</v>
      </c>
      <c r="AE98" s="356">
        <v>0</v>
      </c>
      <c r="AF98" s="356">
        <v>0</v>
      </c>
      <c r="AG98" s="356">
        <v>0</v>
      </c>
      <c r="AH98" s="356">
        <v>0</v>
      </c>
      <c r="AI98" s="356">
        <v>0</v>
      </c>
      <c r="AJ98" s="356">
        <v>0</v>
      </c>
      <c r="AK98" s="356">
        <v>0</v>
      </c>
      <c r="AL98" s="356">
        <v>0</v>
      </c>
      <c r="AM98" s="356">
        <v>0</v>
      </c>
      <c r="AN98" s="356">
        <v>0</v>
      </c>
      <c r="AO98" s="356">
        <v>3</v>
      </c>
      <c r="AP98" s="356">
        <v>0</v>
      </c>
      <c r="AQ98" s="356">
        <v>0</v>
      </c>
      <c r="AR98" s="356">
        <v>3</v>
      </c>
      <c r="AS98" s="356">
        <v>0</v>
      </c>
      <c r="AT98" s="356">
        <v>0</v>
      </c>
      <c r="AU98" s="356">
        <v>0</v>
      </c>
      <c r="AV98" s="356">
        <v>0</v>
      </c>
      <c r="AW98" s="356">
        <v>1</v>
      </c>
    </row>
    <row r="99" spans="3:49" x14ac:dyDescent="0.3">
      <c r="C99" s="356">
        <v>59</v>
      </c>
      <c r="D99" s="356">
        <v>12</v>
      </c>
      <c r="E99" s="356">
        <v>2</v>
      </c>
      <c r="F99" s="356">
        <v>8269.18</v>
      </c>
      <c r="G99" s="356">
        <v>0</v>
      </c>
      <c r="H99" s="356">
        <v>0</v>
      </c>
      <c r="I99" s="356">
        <v>0</v>
      </c>
      <c r="J99" s="356">
        <v>98.5</v>
      </c>
      <c r="K99" s="356">
        <v>1041.27</v>
      </c>
      <c r="L99" s="356">
        <v>0</v>
      </c>
      <c r="M99" s="356">
        <v>0</v>
      </c>
      <c r="N99" s="356">
        <v>0</v>
      </c>
      <c r="O99" s="356">
        <v>0</v>
      </c>
      <c r="P99" s="356">
        <v>2799.75</v>
      </c>
      <c r="Q99" s="356">
        <v>2322.89</v>
      </c>
      <c r="R99" s="356">
        <v>1079.77</v>
      </c>
      <c r="S99" s="356">
        <v>0</v>
      </c>
      <c r="T99" s="356">
        <v>0</v>
      </c>
      <c r="U99" s="356">
        <v>0</v>
      </c>
      <c r="V99" s="356">
        <v>0</v>
      </c>
      <c r="W99" s="356">
        <v>0</v>
      </c>
      <c r="X99" s="356">
        <v>0</v>
      </c>
      <c r="Y99" s="356">
        <v>0</v>
      </c>
      <c r="Z99" s="356">
        <v>0</v>
      </c>
      <c r="AA99" s="356">
        <v>0</v>
      </c>
      <c r="AB99" s="356">
        <v>0</v>
      </c>
      <c r="AC99" s="356">
        <v>0</v>
      </c>
      <c r="AD99" s="356">
        <v>0</v>
      </c>
      <c r="AE99" s="356">
        <v>0</v>
      </c>
      <c r="AF99" s="356">
        <v>0</v>
      </c>
      <c r="AG99" s="356">
        <v>0</v>
      </c>
      <c r="AH99" s="356">
        <v>0</v>
      </c>
      <c r="AI99" s="356">
        <v>0</v>
      </c>
      <c r="AJ99" s="356">
        <v>0</v>
      </c>
      <c r="AK99" s="356">
        <v>0</v>
      </c>
      <c r="AL99" s="356">
        <v>0</v>
      </c>
      <c r="AM99" s="356">
        <v>0</v>
      </c>
      <c r="AN99" s="356">
        <v>0</v>
      </c>
      <c r="AO99" s="356">
        <v>426</v>
      </c>
      <c r="AP99" s="356">
        <v>0</v>
      </c>
      <c r="AQ99" s="356">
        <v>0</v>
      </c>
      <c r="AR99" s="356">
        <v>381</v>
      </c>
      <c r="AS99" s="356">
        <v>0</v>
      </c>
      <c r="AT99" s="356">
        <v>0</v>
      </c>
      <c r="AU99" s="356">
        <v>0</v>
      </c>
      <c r="AV99" s="356">
        <v>0</v>
      </c>
      <c r="AW99" s="356">
        <v>120</v>
      </c>
    </row>
    <row r="100" spans="3:49" x14ac:dyDescent="0.3">
      <c r="C100" s="356">
        <v>59</v>
      </c>
      <c r="D100" s="356">
        <v>12</v>
      </c>
      <c r="E100" s="356">
        <v>3</v>
      </c>
      <c r="F100" s="356">
        <v>249</v>
      </c>
      <c r="G100" s="356">
        <v>0</v>
      </c>
      <c r="H100" s="356">
        <v>0</v>
      </c>
      <c r="I100" s="356">
        <v>0</v>
      </c>
      <c r="J100" s="356">
        <v>0</v>
      </c>
      <c r="K100" s="356">
        <v>45</v>
      </c>
      <c r="L100" s="356">
        <v>0</v>
      </c>
      <c r="M100" s="356">
        <v>0</v>
      </c>
      <c r="N100" s="356">
        <v>0</v>
      </c>
      <c r="O100" s="356">
        <v>0</v>
      </c>
      <c r="P100" s="356">
        <v>62.75</v>
      </c>
      <c r="Q100" s="356">
        <v>111.86</v>
      </c>
      <c r="R100" s="356">
        <v>29.39</v>
      </c>
      <c r="S100" s="356">
        <v>0</v>
      </c>
      <c r="T100" s="356">
        <v>0</v>
      </c>
      <c r="U100" s="356">
        <v>0</v>
      </c>
      <c r="V100" s="356">
        <v>0</v>
      </c>
      <c r="W100" s="356">
        <v>0</v>
      </c>
      <c r="X100" s="356">
        <v>0</v>
      </c>
      <c r="Y100" s="356">
        <v>0</v>
      </c>
      <c r="Z100" s="356">
        <v>0</v>
      </c>
      <c r="AA100" s="356">
        <v>0</v>
      </c>
      <c r="AB100" s="356">
        <v>0</v>
      </c>
      <c r="AC100" s="356">
        <v>0</v>
      </c>
      <c r="AD100" s="356">
        <v>0</v>
      </c>
      <c r="AE100" s="356">
        <v>0</v>
      </c>
      <c r="AF100" s="356">
        <v>0</v>
      </c>
      <c r="AG100" s="356">
        <v>0</v>
      </c>
      <c r="AH100" s="356">
        <v>0</v>
      </c>
      <c r="AI100" s="356">
        <v>0</v>
      </c>
      <c r="AJ100" s="356">
        <v>0</v>
      </c>
      <c r="AK100" s="356">
        <v>0</v>
      </c>
      <c r="AL100" s="356">
        <v>0</v>
      </c>
      <c r="AM100" s="356">
        <v>0</v>
      </c>
      <c r="AN100" s="356">
        <v>0</v>
      </c>
      <c r="AO100" s="356">
        <v>0</v>
      </c>
      <c r="AP100" s="356">
        <v>0</v>
      </c>
      <c r="AQ100" s="356">
        <v>0</v>
      </c>
      <c r="AR100" s="356">
        <v>0</v>
      </c>
      <c r="AS100" s="356">
        <v>0</v>
      </c>
      <c r="AT100" s="356">
        <v>0</v>
      </c>
      <c r="AU100" s="356">
        <v>0</v>
      </c>
      <c r="AV100" s="356">
        <v>0</v>
      </c>
      <c r="AW100" s="356">
        <v>0</v>
      </c>
    </row>
    <row r="101" spans="3:49" x14ac:dyDescent="0.3">
      <c r="C101" s="356">
        <v>59</v>
      </c>
      <c r="D101" s="356">
        <v>12</v>
      </c>
      <c r="E101" s="356">
        <v>4</v>
      </c>
      <c r="F101" s="356">
        <v>723.75</v>
      </c>
      <c r="G101" s="356">
        <v>0</v>
      </c>
      <c r="H101" s="356">
        <v>0</v>
      </c>
      <c r="I101" s="356">
        <v>0</v>
      </c>
      <c r="J101" s="356">
        <v>33</v>
      </c>
      <c r="K101" s="356">
        <v>117</v>
      </c>
      <c r="L101" s="356">
        <v>0</v>
      </c>
      <c r="M101" s="356">
        <v>0</v>
      </c>
      <c r="N101" s="356">
        <v>0</v>
      </c>
      <c r="O101" s="356">
        <v>0</v>
      </c>
      <c r="P101" s="356">
        <v>156</v>
      </c>
      <c r="Q101" s="356">
        <v>233.5</v>
      </c>
      <c r="R101" s="356">
        <v>104.5</v>
      </c>
      <c r="S101" s="356">
        <v>0</v>
      </c>
      <c r="T101" s="356">
        <v>0</v>
      </c>
      <c r="U101" s="356">
        <v>0</v>
      </c>
      <c r="V101" s="356">
        <v>0</v>
      </c>
      <c r="W101" s="356">
        <v>0</v>
      </c>
      <c r="X101" s="356">
        <v>0</v>
      </c>
      <c r="Y101" s="356">
        <v>0</v>
      </c>
      <c r="Z101" s="356">
        <v>0</v>
      </c>
      <c r="AA101" s="356">
        <v>0</v>
      </c>
      <c r="AB101" s="356">
        <v>0</v>
      </c>
      <c r="AC101" s="356">
        <v>0</v>
      </c>
      <c r="AD101" s="356">
        <v>0</v>
      </c>
      <c r="AE101" s="356">
        <v>0</v>
      </c>
      <c r="AF101" s="356">
        <v>0</v>
      </c>
      <c r="AG101" s="356">
        <v>0</v>
      </c>
      <c r="AH101" s="356">
        <v>0</v>
      </c>
      <c r="AI101" s="356">
        <v>0</v>
      </c>
      <c r="AJ101" s="356">
        <v>0</v>
      </c>
      <c r="AK101" s="356">
        <v>0</v>
      </c>
      <c r="AL101" s="356">
        <v>0</v>
      </c>
      <c r="AM101" s="356">
        <v>0</v>
      </c>
      <c r="AN101" s="356">
        <v>0</v>
      </c>
      <c r="AO101" s="356">
        <v>28.5</v>
      </c>
      <c r="AP101" s="356">
        <v>0</v>
      </c>
      <c r="AQ101" s="356">
        <v>0</v>
      </c>
      <c r="AR101" s="356">
        <v>51.25</v>
      </c>
      <c r="AS101" s="356">
        <v>0</v>
      </c>
      <c r="AT101" s="356">
        <v>0</v>
      </c>
      <c r="AU101" s="356">
        <v>0</v>
      </c>
      <c r="AV101" s="356">
        <v>0</v>
      </c>
      <c r="AW101" s="356">
        <v>0</v>
      </c>
    </row>
    <row r="102" spans="3:49" x14ac:dyDescent="0.3">
      <c r="C102" s="356">
        <v>59</v>
      </c>
      <c r="D102" s="356">
        <v>12</v>
      </c>
      <c r="E102" s="356">
        <v>6</v>
      </c>
      <c r="F102" s="356">
        <v>2941951</v>
      </c>
      <c r="G102" s="356">
        <v>0</v>
      </c>
      <c r="H102" s="356">
        <v>0</v>
      </c>
      <c r="I102" s="356">
        <v>0</v>
      </c>
      <c r="J102" s="356">
        <v>59230</v>
      </c>
      <c r="K102" s="356">
        <v>773744</v>
      </c>
      <c r="L102" s="356">
        <v>0</v>
      </c>
      <c r="M102" s="356">
        <v>0</v>
      </c>
      <c r="N102" s="356">
        <v>0</v>
      </c>
      <c r="O102" s="356">
        <v>0</v>
      </c>
      <c r="P102" s="356">
        <v>649809</v>
      </c>
      <c r="Q102" s="356">
        <v>825349</v>
      </c>
      <c r="R102" s="356">
        <v>409805</v>
      </c>
      <c r="S102" s="356">
        <v>0</v>
      </c>
      <c r="T102" s="356">
        <v>0</v>
      </c>
      <c r="U102" s="356">
        <v>0</v>
      </c>
      <c r="V102" s="356">
        <v>0</v>
      </c>
      <c r="W102" s="356">
        <v>0</v>
      </c>
      <c r="X102" s="356">
        <v>0</v>
      </c>
      <c r="Y102" s="356">
        <v>0</v>
      </c>
      <c r="Z102" s="356">
        <v>0</v>
      </c>
      <c r="AA102" s="356">
        <v>0</v>
      </c>
      <c r="AB102" s="356">
        <v>0</v>
      </c>
      <c r="AC102" s="356">
        <v>0</v>
      </c>
      <c r="AD102" s="356">
        <v>0</v>
      </c>
      <c r="AE102" s="356">
        <v>0</v>
      </c>
      <c r="AF102" s="356">
        <v>0</v>
      </c>
      <c r="AG102" s="356">
        <v>0</v>
      </c>
      <c r="AH102" s="356">
        <v>0</v>
      </c>
      <c r="AI102" s="356">
        <v>0</v>
      </c>
      <c r="AJ102" s="356">
        <v>0</v>
      </c>
      <c r="AK102" s="356">
        <v>0</v>
      </c>
      <c r="AL102" s="356">
        <v>0</v>
      </c>
      <c r="AM102" s="356">
        <v>0</v>
      </c>
      <c r="AN102" s="356">
        <v>0</v>
      </c>
      <c r="AO102" s="356">
        <v>97178</v>
      </c>
      <c r="AP102" s="356">
        <v>0</v>
      </c>
      <c r="AQ102" s="356">
        <v>0</v>
      </c>
      <c r="AR102" s="356">
        <v>94282</v>
      </c>
      <c r="AS102" s="356">
        <v>0</v>
      </c>
      <c r="AT102" s="356">
        <v>0</v>
      </c>
      <c r="AU102" s="356">
        <v>0</v>
      </c>
      <c r="AV102" s="356">
        <v>0</v>
      </c>
      <c r="AW102" s="356">
        <v>32554</v>
      </c>
    </row>
    <row r="103" spans="3:49" x14ac:dyDescent="0.3">
      <c r="C103" s="356">
        <v>59</v>
      </c>
      <c r="D103" s="356">
        <v>12</v>
      </c>
      <c r="E103" s="356">
        <v>9</v>
      </c>
      <c r="F103" s="356">
        <v>447880</v>
      </c>
      <c r="G103" s="356">
        <v>0</v>
      </c>
      <c r="H103" s="356">
        <v>0</v>
      </c>
      <c r="I103" s="356">
        <v>0</v>
      </c>
      <c r="J103" s="356">
        <v>6000</v>
      </c>
      <c r="K103" s="356">
        <v>147327</v>
      </c>
      <c r="L103" s="356">
        <v>0</v>
      </c>
      <c r="M103" s="356">
        <v>0</v>
      </c>
      <c r="N103" s="356">
        <v>0</v>
      </c>
      <c r="O103" s="356">
        <v>0</v>
      </c>
      <c r="P103" s="356">
        <v>93500</v>
      </c>
      <c r="Q103" s="356">
        <v>108303</v>
      </c>
      <c r="R103" s="356">
        <v>50750</v>
      </c>
      <c r="S103" s="356">
        <v>0</v>
      </c>
      <c r="T103" s="356">
        <v>0</v>
      </c>
      <c r="U103" s="356">
        <v>0</v>
      </c>
      <c r="V103" s="356">
        <v>0</v>
      </c>
      <c r="W103" s="356">
        <v>0</v>
      </c>
      <c r="X103" s="356">
        <v>0</v>
      </c>
      <c r="Y103" s="356">
        <v>0</v>
      </c>
      <c r="Z103" s="356">
        <v>0</v>
      </c>
      <c r="AA103" s="356">
        <v>0</v>
      </c>
      <c r="AB103" s="356">
        <v>0</v>
      </c>
      <c r="AC103" s="356">
        <v>0</v>
      </c>
      <c r="AD103" s="356">
        <v>0</v>
      </c>
      <c r="AE103" s="356">
        <v>0</v>
      </c>
      <c r="AF103" s="356">
        <v>0</v>
      </c>
      <c r="AG103" s="356">
        <v>0</v>
      </c>
      <c r="AH103" s="356">
        <v>0</v>
      </c>
      <c r="AI103" s="356">
        <v>0</v>
      </c>
      <c r="AJ103" s="356">
        <v>0</v>
      </c>
      <c r="AK103" s="356">
        <v>0</v>
      </c>
      <c r="AL103" s="356">
        <v>0</v>
      </c>
      <c r="AM103" s="356">
        <v>0</v>
      </c>
      <c r="AN103" s="356">
        <v>0</v>
      </c>
      <c r="AO103" s="356">
        <v>18000</v>
      </c>
      <c r="AP103" s="356">
        <v>0</v>
      </c>
      <c r="AQ103" s="356">
        <v>0</v>
      </c>
      <c r="AR103" s="356">
        <v>18000</v>
      </c>
      <c r="AS103" s="356">
        <v>0</v>
      </c>
      <c r="AT103" s="356">
        <v>0</v>
      </c>
      <c r="AU103" s="356">
        <v>0</v>
      </c>
      <c r="AV103" s="356">
        <v>0</v>
      </c>
      <c r="AW103" s="356">
        <v>6000</v>
      </c>
    </row>
    <row r="104" spans="3:49" x14ac:dyDescent="0.3">
      <c r="C104" s="356">
        <v>59</v>
      </c>
      <c r="D104" s="356">
        <v>12</v>
      </c>
      <c r="E104" s="356">
        <v>10</v>
      </c>
      <c r="F104" s="356">
        <v>26198</v>
      </c>
      <c r="G104" s="356">
        <v>0</v>
      </c>
      <c r="H104" s="356">
        <v>0</v>
      </c>
      <c r="I104" s="356">
        <v>0</v>
      </c>
      <c r="J104" s="356">
        <v>0</v>
      </c>
      <c r="K104" s="356">
        <v>0</v>
      </c>
      <c r="L104" s="356">
        <v>0</v>
      </c>
      <c r="M104" s="356">
        <v>0</v>
      </c>
      <c r="N104" s="356">
        <v>0</v>
      </c>
      <c r="O104" s="356">
        <v>26198</v>
      </c>
      <c r="P104" s="356">
        <v>0</v>
      </c>
      <c r="Q104" s="356">
        <v>0</v>
      </c>
      <c r="R104" s="356">
        <v>0</v>
      </c>
      <c r="S104" s="356">
        <v>0</v>
      </c>
      <c r="T104" s="356">
        <v>0</v>
      </c>
      <c r="U104" s="356">
        <v>0</v>
      </c>
      <c r="V104" s="356">
        <v>0</v>
      </c>
      <c r="W104" s="356">
        <v>0</v>
      </c>
      <c r="X104" s="356">
        <v>0</v>
      </c>
      <c r="Y104" s="356">
        <v>0</v>
      </c>
      <c r="Z104" s="356">
        <v>0</v>
      </c>
      <c r="AA104" s="356">
        <v>0</v>
      </c>
      <c r="AB104" s="356">
        <v>0</v>
      </c>
      <c r="AC104" s="356">
        <v>0</v>
      </c>
      <c r="AD104" s="356">
        <v>0</v>
      </c>
      <c r="AE104" s="356">
        <v>0</v>
      </c>
      <c r="AF104" s="356">
        <v>0</v>
      </c>
      <c r="AG104" s="356">
        <v>0</v>
      </c>
      <c r="AH104" s="356">
        <v>0</v>
      </c>
      <c r="AI104" s="356">
        <v>0</v>
      </c>
      <c r="AJ104" s="356">
        <v>0</v>
      </c>
      <c r="AK104" s="356">
        <v>0</v>
      </c>
      <c r="AL104" s="356">
        <v>0</v>
      </c>
      <c r="AM104" s="356">
        <v>0</v>
      </c>
      <c r="AN104" s="356">
        <v>0</v>
      </c>
      <c r="AO104" s="356">
        <v>0</v>
      </c>
      <c r="AP104" s="356">
        <v>0</v>
      </c>
      <c r="AQ104" s="356">
        <v>0</v>
      </c>
      <c r="AR104" s="356">
        <v>0</v>
      </c>
      <c r="AS104" s="356">
        <v>0</v>
      </c>
      <c r="AT104" s="356">
        <v>0</v>
      </c>
      <c r="AU104" s="356">
        <v>0</v>
      </c>
      <c r="AV104" s="356">
        <v>0</v>
      </c>
      <c r="AW104" s="356">
        <v>0</v>
      </c>
    </row>
    <row r="105" spans="3:49" x14ac:dyDescent="0.3">
      <c r="C105" s="356">
        <v>59</v>
      </c>
      <c r="D105" s="356">
        <v>12</v>
      </c>
      <c r="E105" s="356">
        <v>11</v>
      </c>
      <c r="F105" s="356">
        <v>12717.557251908398</v>
      </c>
      <c r="G105" s="356">
        <v>0</v>
      </c>
      <c r="H105" s="356">
        <v>0</v>
      </c>
      <c r="I105" s="356">
        <v>0</v>
      </c>
      <c r="J105" s="356">
        <v>1717.5572519083971</v>
      </c>
      <c r="K105" s="356">
        <v>0</v>
      </c>
      <c r="L105" s="356">
        <v>0</v>
      </c>
      <c r="M105" s="356">
        <v>0</v>
      </c>
      <c r="N105" s="356">
        <v>0</v>
      </c>
      <c r="O105" s="356">
        <v>11000</v>
      </c>
      <c r="P105" s="356">
        <v>0</v>
      </c>
      <c r="Q105" s="356">
        <v>0</v>
      </c>
      <c r="R105" s="356">
        <v>0</v>
      </c>
      <c r="S105" s="356">
        <v>0</v>
      </c>
      <c r="T105" s="356">
        <v>0</v>
      </c>
      <c r="U105" s="356">
        <v>0</v>
      </c>
      <c r="V105" s="356">
        <v>0</v>
      </c>
      <c r="W105" s="356">
        <v>0</v>
      </c>
      <c r="X105" s="356">
        <v>0</v>
      </c>
      <c r="Y105" s="356">
        <v>0</v>
      </c>
      <c r="Z105" s="356">
        <v>0</v>
      </c>
      <c r="AA105" s="356">
        <v>0</v>
      </c>
      <c r="AB105" s="356">
        <v>0</v>
      </c>
      <c r="AC105" s="356">
        <v>0</v>
      </c>
      <c r="AD105" s="356">
        <v>0</v>
      </c>
      <c r="AE105" s="356">
        <v>0</v>
      </c>
      <c r="AF105" s="356">
        <v>0</v>
      </c>
      <c r="AG105" s="356">
        <v>0</v>
      </c>
      <c r="AH105" s="356">
        <v>0</v>
      </c>
      <c r="AI105" s="356">
        <v>0</v>
      </c>
      <c r="AJ105" s="356">
        <v>0</v>
      </c>
      <c r="AK105" s="356">
        <v>0</v>
      </c>
      <c r="AL105" s="356">
        <v>0</v>
      </c>
      <c r="AM105" s="356">
        <v>0</v>
      </c>
      <c r="AN105" s="356">
        <v>0</v>
      </c>
      <c r="AO105" s="356">
        <v>0</v>
      </c>
      <c r="AP105" s="356">
        <v>0</v>
      </c>
      <c r="AQ105" s="356">
        <v>0</v>
      </c>
      <c r="AR105" s="356">
        <v>0</v>
      </c>
      <c r="AS105" s="356">
        <v>0</v>
      </c>
      <c r="AT105" s="356">
        <v>0</v>
      </c>
      <c r="AU105" s="356">
        <v>0</v>
      </c>
      <c r="AV105" s="356">
        <v>0</v>
      </c>
      <c r="AW105" s="35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8" bestFit="1" customWidth="1"/>
    <col min="2" max="2" width="7.77734375" style="203" customWidth="1"/>
    <col min="3" max="3" width="0.109375" style="238" hidden="1" customWidth="1"/>
    <col min="4" max="4" width="7.77734375" style="203" customWidth="1"/>
    <col min="5" max="5" width="5.44140625" style="238" hidden="1" customWidth="1"/>
    <col min="6" max="6" width="7.77734375" style="203" customWidth="1"/>
    <col min="7" max="7" width="7.77734375" style="321" customWidth="1"/>
    <col min="8" max="8" width="7.77734375" style="203" customWidth="1"/>
    <col min="9" max="9" width="5.44140625" style="238" hidden="1" customWidth="1"/>
    <col min="10" max="10" width="7.77734375" style="203" customWidth="1"/>
    <col min="11" max="11" width="5.44140625" style="238" hidden="1" customWidth="1"/>
    <col min="12" max="12" width="7.77734375" style="203" customWidth="1"/>
    <col min="13" max="13" width="7.77734375" style="321" customWidth="1"/>
    <col min="14" max="14" width="7.77734375" style="203" customWidth="1"/>
    <col min="15" max="15" width="5" style="238" hidden="1" customWidth="1"/>
    <col min="16" max="16" width="7.77734375" style="203" customWidth="1"/>
    <col min="17" max="17" width="5" style="238" hidden="1" customWidth="1"/>
    <col min="18" max="18" width="7.77734375" style="203" customWidth="1"/>
    <col min="19" max="19" width="7.77734375" style="321" customWidth="1"/>
    <col min="20" max="16384" width="8.88671875" style="238"/>
  </cols>
  <sheetData>
    <row r="1" spans="1:19" ht="18.600000000000001" customHeight="1" thickBot="1" x14ac:dyDescent="0.4">
      <c r="A1" s="463" t="s">
        <v>140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</row>
    <row r="2" spans="1:19" ht="14.4" customHeight="1" thickBot="1" x14ac:dyDescent="0.35">
      <c r="A2" s="360" t="s">
        <v>280</v>
      </c>
      <c r="B2" s="333"/>
      <c r="C2" s="208"/>
      <c r="D2" s="333"/>
      <c r="E2" s="208"/>
      <c r="F2" s="333"/>
      <c r="G2" s="334"/>
      <c r="H2" s="333"/>
      <c r="I2" s="208"/>
      <c r="J2" s="333"/>
      <c r="K2" s="208"/>
      <c r="L2" s="333"/>
      <c r="M2" s="334"/>
      <c r="N2" s="333"/>
      <c r="O2" s="208"/>
      <c r="P2" s="333"/>
      <c r="Q2" s="208"/>
      <c r="R2" s="333"/>
      <c r="S2" s="334"/>
    </row>
    <row r="3" spans="1:19" ht="14.4" customHeight="1" thickBot="1" x14ac:dyDescent="0.35">
      <c r="A3" s="327" t="s">
        <v>142</v>
      </c>
      <c r="B3" s="328">
        <f>SUBTOTAL(9,B6:B1048576)</f>
        <v>43946800</v>
      </c>
      <c r="C3" s="329">
        <f t="shared" ref="C3:R3" si="0">SUBTOTAL(9,C6:C1048576)</f>
        <v>1</v>
      </c>
      <c r="D3" s="329">
        <f t="shared" si="0"/>
        <v>45742206</v>
      </c>
      <c r="E3" s="329">
        <f t="shared" si="0"/>
        <v>1.040854078112627</v>
      </c>
      <c r="F3" s="329">
        <f t="shared" si="0"/>
        <v>46306782</v>
      </c>
      <c r="G3" s="332">
        <f>IF(B3&lt;&gt;0,F3/B3,"")</f>
        <v>1.0537008837958624</v>
      </c>
      <c r="H3" s="328">
        <f t="shared" si="0"/>
        <v>7289096.7200000072</v>
      </c>
      <c r="I3" s="329">
        <f t="shared" si="0"/>
        <v>1</v>
      </c>
      <c r="J3" s="329">
        <f t="shared" si="0"/>
        <v>9403035.5700000059</v>
      </c>
      <c r="K3" s="329">
        <f t="shared" si="0"/>
        <v>1.2900138290386132</v>
      </c>
      <c r="L3" s="329">
        <f t="shared" si="0"/>
        <v>12957114.430000003</v>
      </c>
      <c r="M3" s="330">
        <f>IF(H3&lt;&gt;0,L3/H3,"")</f>
        <v>1.7776022088509194</v>
      </c>
      <c r="N3" s="331">
        <f t="shared" si="0"/>
        <v>0</v>
      </c>
      <c r="O3" s="329">
        <f t="shared" si="0"/>
        <v>0</v>
      </c>
      <c r="P3" s="329">
        <f t="shared" si="0"/>
        <v>0</v>
      </c>
      <c r="Q3" s="329">
        <f t="shared" si="0"/>
        <v>0</v>
      </c>
      <c r="R3" s="329">
        <f t="shared" si="0"/>
        <v>0</v>
      </c>
      <c r="S3" s="330" t="str">
        <f>IF(N3&lt;&gt;0,R3/N3,"")</f>
        <v/>
      </c>
    </row>
    <row r="4" spans="1:19" ht="14.4" customHeight="1" x14ac:dyDescent="0.3">
      <c r="A4" s="512" t="s">
        <v>116</v>
      </c>
      <c r="B4" s="513" t="s">
        <v>110</v>
      </c>
      <c r="C4" s="514"/>
      <c r="D4" s="514"/>
      <c r="E4" s="514"/>
      <c r="F4" s="514"/>
      <c r="G4" s="515"/>
      <c r="H4" s="513" t="s">
        <v>111</v>
      </c>
      <c r="I4" s="514"/>
      <c r="J4" s="514"/>
      <c r="K4" s="514"/>
      <c r="L4" s="514"/>
      <c r="M4" s="515"/>
      <c r="N4" s="513" t="s">
        <v>112</v>
      </c>
      <c r="O4" s="514"/>
      <c r="P4" s="514"/>
      <c r="Q4" s="514"/>
      <c r="R4" s="514"/>
      <c r="S4" s="515"/>
    </row>
    <row r="5" spans="1:19" ht="14.4" customHeight="1" thickBot="1" x14ac:dyDescent="0.35">
      <c r="A5" s="700"/>
      <c r="B5" s="701">
        <v>2014</v>
      </c>
      <c r="C5" s="702"/>
      <c r="D5" s="702">
        <v>2015</v>
      </c>
      <c r="E5" s="702"/>
      <c r="F5" s="702">
        <v>2016</v>
      </c>
      <c r="G5" s="703" t="s">
        <v>2</v>
      </c>
      <c r="H5" s="701">
        <v>2014</v>
      </c>
      <c r="I5" s="702"/>
      <c r="J5" s="702">
        <v>2015</v>
      </c>
      <c r="K5" s="702"/>
      <c r="L5" s="702">
        <v>2016</v>
      </c>
      <c r="M5" s="703" t="s">
        <v>2</v>
      </c>
      <c r="N5" s="701">
        <v>2014</v>
      </c>
      <c r="O5" s="702"/>
      <c r="P5" s="702">
        <v>2015</v>
      </c>
      <c r="Q5" s="702"/>
      <c r="R5" s="702">
        <v>2016</v>
      </c>
      <c r="S5" s="703" t="s">
        <v>2</v>
      </c>
    </row>
    <row r="6" spans="1:19" ht="14.4" customHeight="1" x14ac:dyDescent="0.3">
      <c r="A6" s="644" t="s">
        <v>3589</v>
      </c>
      <c r="B6" s="704"/>
      <c r="C6" s="610"/>
      <c r="D6" s="704"/>
      <c r="E6" s="610"/>
      <c r="F6" s="704">
        <v>372</v>
      </c>
      <c r="G6" s="632"/>
      <c r="H6" s="704"/>
      <c r="I6" s="610"/>
      <c r="J6" s="704"/>
      <c r="K6" s="610"/>
      <c r="L6" s="704"/>
      <c r="M6" s="632"/>
      <c r="N6" s="704"/>
      <c r="O6" s="610"/>
      <c r="P6" s="704"/>
      <c r="Q6" s="610"/>
      <c r="R6" s="704"/>
      <c r="S6" s="656"/>
    </row>
    <row r="7" spans="1:19" ht="14.4" customHeight="1" thickBot="1" x14ac:dyDescent="0.35">
      <c r="A7" s="706" t="s">
        <v>2852</v>
      </c>
      <c r="B7" s="705">
        <v>43946800</v>
      </c>
      <c r="C7" s="622">
        <v>1</v>
      </c>
      <c r="D7" s="705">
        <v>45742206</v>
      </c>
      <c r="E7" s="622">
        <v>1.040854078112627</v>
      </c>
      <c r="F7" s="705">
        <v>46306410</v>
      </c>
      <c r="G7" s="633">
        <v>1.0536924190157191</v>
      </c>
      <c r="H7" s="705">
        <v>7289096.7200000072</v>
      </c>
      <c r="I7" s="622">
        <v>1</v>
      </c>
      <c r="J7" s="705">
        <v>9403035.5700000059</v>
      </c>
      <c r="K7" s="622">
        <v>1.2900138290386132</v>
      </c>
      <c r="L7" s="705">
        <v>12957114.430000003</v>
      </c>
      <c r="M7" s="633">
        <v>1.7776022088509194</v>
      </c>
      <c r="N7" s="705"/>
      <c r="O7" s="622"/>
      <c r="P7" s="705"/>
      <c r="Q7" s="622"/>
      <c r="R7" s="705"/>
      <c r="S7" s="65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7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8" customWidth="1"/>
    <col min="8" max="9" width="9.33203125" style="318" hidden="1" customWidth="1"/>
    <col min="10" max="11" width="11.109375" style="318" customWidth="1"/>
    <col min="12" max="13" width="9.33203125" style="318" hidden="1" customWidth="1"/>
    <col min="14" max="15" width="11.109375" style="318" customWidth="1"/>
    <col min="16" max="16" width="11.109375" style="321" customWidth="1"/>
    <col min="17" max="17" width="11.109375" style="318" customWidth="1"/>
    <col min="18" max="16384" width="8.88671875" style="238"/>
  </cols>
  <sheetData>
    <row r="1" spans="1:17" ht="18.600000000000001" customHeight="1" thickBot="1" x14ac:dyDescent="0.4">
      <c r="A1" s="454" t="s">
        <v>4743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ht="14.4" customHeight="1" thickBot="1" x14ac:dyDescent="0.35">
      <c r="A2" s="360" t="s">
        <v>280</v>
      </c>
      <c r="B2" s="239"/>
      <c r="C2" s="239"/>
      <c r="D2" s="239"/>
      <c r="E2" s="239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6"/>
      <c r="Q2" s="335"/>
    </row>
    <row r="3" spans="1:17" ht="14.4" customHeight="1" thickBot="1" x14ac:dyDescent="0.35">
      <c r="E3" s="97" t="s">
        <v>142</v>
      </c>
      <c r="F3" s="195">
        <f t="shared" ref="F3:O3" si="0">SUBTOTAL(9,F6:F1048576)</f>
        <v>15572.73</v>
      </c>
      <c r="G3" s="196">
        <f t="shared" si="0"/>
        <v>51235896.719999999</v>
      </c>
      <c r="H3" s="196"/>
      <c r="I3" s="196"/>
      <c r="J3" s="196">
        <f t="shared" si="0"/>
        <v>15827.760000000002</v>
      </c>
      <c r="K3" s="196">
        <f t="shared" si="0"/>
        <v>55145241.57</v>
      </c>
      <c r="L3" s="196"/>
      <c r="M3" s="196"/>
      <c r="N3" s="196">
        <f t="shared" si="0"/>
        <v>17483.98</v>
      </c>
      <c r="O3" s="196">
        <f t="shared" si="0"/>
        <v>59263896.430000007</v>
      </c>
      <c r="P3" s="70">
        <f>IF(G3=0,0,O3/G3)</f>
        <v>1.156687014845712</v>
      </c>
      <c r="Q3" s="197">
        <f>IF(N3=0,0,O3/N3)</f>
        <v>3389.611314471877</v>
      </c>
    </row>
    <row r="4" spans="1:17" ht="14.4" customHeight="1" x14ac:dyDescent="0.3">
      <c r="A4" s="518" t="s">
        <v>61</v>
      </c>
      <c r="B4" s="517" t="s">
        <v>106</v>
      </c>
      <c r="C4" s="518" t="s">
        <v>107</v>
      </c>
      <c r="D4" s="522" t="s">
        <v>108</v>
      </c>
      <c r="E4" s="519" t="s">
        <v>68</v>
      </c>
      <c r="F4" s="520">
        <v>2014</v>
      </c>
      <c r="G4" s="521"/>
      <c r="H4" s="198"/>
      <c r="I4" s="198"/>
      <c r="J4" s="520">
        <v>2015</v>
      </c>
      <c r="K4" s="521"/>
      <c r="L4" s="198"/>
      <c r="M4" s="198"/>
      <c r="N4" s="520">
        <v>2016</v>
      </c>
      <c r="O4" s="521"/>
      <c r="P4" s="523" t="s">
        <v>2</v>
      </c>
      <c r="Q4" s="516" t="s">
        <v>109</v>
      </c>
    </row>
    <row r="5" spans="1:17" ht="14.4" customHeight="1" thickBot="1" x14ac:dyDescent="0.35">
      <c r="A5" s="707"/>
      <c r="B5" s="708"/>
      <c r="C5" s="707"/>
      <c r="D5" s="709"/>
      <c r="E5" s="710"/>
      <c r="F5" s="711" t="s">
        <v>78</v>
      </c>
      <c r="G5" s="712" t="s">
        <v>14</v>
      </c>
      <c r="H5" s="713"/>
      <c r="I5" s="713"/>
      <c r="J5" s="711" t="s">
        <v>78</v>
      </c>
      <c r="K5" s="712" t="s">
        <v>14</v>
      </c>
      <c r="L5" s="713"/>
      <c r="M5" s="713"/>
      <c r="N5" s="711" t="s">
        <v>78</v>
      </c>
      <c r="O5" s="712" t="s">
        <v>14</v>
      </c>
      <c r="P5" s="714"/>
      <c r="Q5" s="715"/>
    </row>
    <row r="6" spans="1:17" ht="14.4" customHeight="1" x14ac:dyDescent="0.3">
      <c r="A6" s="609" t="s">
        <v>3590</v>
      </c>
      <c r="B6" s="610" t="s">
        <v>3591</v>
      </c>
      <c r="C6" s="610" t="s">
        <v>3592</v>
      </c>
      <c r="D6" s="610" t="s">
        <v>3593</v>
      </c>
      <c r="E6" s="610" t="s">
        <v>3594</v>
      </c>
      <c r="F6" s="613"/>
      <c r="G6" s="613"/>
      <c r="H6" s="613"/>
      <c r="I6" s="613"/>
      <c r="J6" s="613"/>
      <c r="K6" s="613"/>
      <c r="L6" s="613"/>
      <c r="M6" s="613"/>
      <c r="N6" s="613">
        <v>1</v>
      </c>
      <c r="O6" s="613">
        <v>372</v>
      </c>
      <c r="P6" s="632"/>
      <c r="Q6" s="614">
        <v>372</v>
      </c>
    </row>
    <row r="7" spans="1:17" ht="14.4" customHeight="1" x14ac:dyDescent="0.3">
      <c r="A7" s="615" t="s">
        <v>479</v>
      </c>
      <c r="B7" s="616" t="s">
        <v>3595</v>
      </c>
      <c r="C7" s="616" t="s">
        <v>3592</v>
      </c>
      <c r="D7" s="616" t="s">
        <v>3596</v>
      </c>
      <c r="E7" s="616" t="s">
        <v>3597</v>
      </c>
      <c r="F7" s="619">
        <v>1</v>
      </c>
      <c r="G7" s="619">
        <v>611</v>
      </c>
      <c r="H7" s="619">
        <v>1</v>
      </c>
      <c r="I7" s="619">
        <v>611</v>
      </c>
      <c r="J7" s="619"/>
      <c r="K7" s="619"/>
      <c r="L7" s="619"/>
      <c r="M7" s="619"/>
      <c r="N7" s="619"/>
      <c r="O7" s="619"/>
      <c r="P7" s="640"/>
      <c r="Q7" s="620"/>
    </row>
    <row r="8" spans="1:17" ht="14.4" customHeight="1" x14ac:dyDescent="0.3">
      <c r="A8" s="615" t="s">
        <v>479</v>
      </c>
      <c r="B8" s="616" t="s">
        <v>3595</v>
      </c>
      <c r="C8" s="616" t="s">
        <v>3592</v>
      </c>
      <c r="D8" s="616" t="s">
        <v>3598</v>
      </c>
      <c r="E8" s="616" t="s">
        <v>3599</v>
      </c>
      <c r="F8" s="619">
        <v>4</v>
      </c>
      <c r="G8" s="619">
        <v>156</v>
      </c>
      <c r="H8" s="619">
        <v>1</v>
      </c>
      <c r="I8" s="619">
        <v>39</v>
      </c>
      <c r="J8" s="619"/>
      <c r="K8" s="619"/>
      <c r="L8" s="619"/>
      <c r="M8" s="619"/>
      <c r="N8" s="619"/>
      <c r="O8" s="619"/>
      <c r="P8" s="640"/>
      <c r="Q8" s="620"/>
    </row>
    <row r="9" spans="1:17" ht="14.4" customHeight="1" x14ac:dyDescent="0.3">
      <c r="A9" s="615" t="s">
        <v>479</v>
      </c>
      <c r="B9" s="616" t="s">
        <v>3595</v>
      </c>
      <c r="C9" s="616" t="s">
        <v>3592</v>
      </c>
      <c r="D9" s="616" t="s">
        <v>3600</v>
      </c>
      <c r="E9" s="616" t="s">
        <v>3601</v>
      </c>
      <c r="F9" s="619">
        <v>3</v>
      </c>
      <c r="G9" s="619">
        <v>2077</v>
      </c>
      <c r="H9" s="619">
        <v>1</v>
      </c>
      <c r="I9" s="619">
        <v>692.33333333333337</v>
      </c>
      <c r="J9" s="619"/>
      <c r="K9" s="619"/>
      <c r="L9" s="619"/>
      <c r="M9" s="619"/>
      <c r="N9" s="619"/>
      <c r="O9" s="619"/>
      <c r="P9" s="640"/>
      <c r="Q9" s="620"/>
    </row>
    <row r="10" spans="1:17" ht="14.4" customHeight="1" x14ac:dyDescent="0.3">
      <c r="A10" s="615" t="s">
        <v>479</v>
      </c>
      <c r="B10" s="616" t="s">
        <v>3602</v>
      </c>
      <c r="C10" s="616" t="s">
        <v>3592</v>
      </c>
      <c r="D10" s="616" t="s">
        <v>3596</v>
      </c>
      <c r="E10" s="616" t="s">
        <v>3597</v>
      </c>
      <c r="F10" s="619">
        <v>1</v>
      </c>
      <c r="G10" s="619">
        <v>616</v>
      </c>
      <c r="H10" s="619">
        <v>1</v>
      </c>
      <c r="I10" s="619">
        <v>616</v>
      </c>
      <c r="J10" s="619"/>
      <c r="K10" s="619"/>
      <c r="L10" s="619"/>
      <c r="M10" s="619"/>
      <c r="N10" s="619"/>
      <c r="O10" s="619"/>
      <c r="P10" s="640"/>
      <c r="Q10" s="620"/>
    </row>
    <row r="11" spans="1:17" ht="14.4" customHeight="1" x14ac:dyDescent="0.3">
      <c r="A11" s="615" t="s">
        <v>479</v>
      </c>
      <c r="B11" s="616" t="s">
        <v>3602</v>
      </c>
      <c r="C11" s="616" t="s">
        <v>3592</v>
      </c>
      <c r="D11" s="616" t="s">
        <v>3603</v>
      </c>
      <c r="E11" s="616" t="s">
        <v>3604</v>
      </c>
      <c r="F11" s="619"/>
      <c r="G11" s="619"/>
      <c r="H11" s="619"/>
      <c r="I11" s="619"/>
      <c r="J11" s="619">
        <v>1</v>
      </c>
      <c r="K11" s="619">
        <v>3803</v>
      </c>
      <c r="L11" s="619"/>
      <c r="M11" s="619">
        <v>3803</v>
      </c>
      <c r="N11" s="619"/>
      <c r="O11" s="619"/>
      <c r="P11" s="640"/>
      <c r="Q11" s="620"/>
    </row>
    <row r="12" spans="1:17" ht="14.4" customHeight="1" x14ac:dyDescent="0.3">
      <c r="A12" s="615" t="s">
        <v>479</v>
      </c>
      <c r="B12" s="616" t="s">
        <v>3602</v>
      </c>
      <c r="C12" s="616" t="s">
        <v>3592</v>
      </c>
      <c r="D12" s="616" t="s">
        <v>3605</v>
      </c>
      <c r="E12" s="616" t="s">
        <v>3606</v>
      </c>
      <c r="F12" s="619">
        <v>1</v>
      </c>
      <c r="G12" s="619">
        <v>2444</v>
      </c>
      <c r="H12" s="619">
        <v>1</v>
      </c>
      <c r="I12" s="619">
        <v>2444</v>
      </c>
      <c r="J12" s="619">
        <v>1</v>
      </c>
      <c r="K12" s="619">
        <v>2450</v>
      </c>
      <c r="L12" s="619">
        <v>1.0024549918166938</v>
      </c>
      <c r="M12" s="619">
        <v>2450</v>
      </c>
      <c r="N12" s="619"/>
      <c r="O12" s="619"/>
      <c r="P12" s="640"/>
      <c r="Q12" s="620"/>
    </row>
    <row r="13" spans="1:17" ht="14.4" customHeight="1" x14ac:dyDescent="0.3">
      <c r="A13" s="615" t="s">
        <v>479</v>
      </c>
      <c r="B13" s="616" t="s">
        <v>3602</v>
      </c>
      <c r="C13" s="616" t="s">
        <v>3592</v>
      </c>
      <c r="D13" s="616" t="s">
        <v>3607</v>
      </c>
      <c r="E13" s="616" t="s">
        <v>3608</v>
      </c>
      <c r="F13" s="619"/>
      <c r="G13" s="619"/>
      <c r="H13" s="619"/>
      <c r="I13" s="619"/>
      <c r="J13" s="619">
        <v>2</v>
      </c>
      <c r="K13" s="619">
        <v>6976</v>
      </c>
      <c r="L13" s="619"/>
      <c r="M13" s="619">
        <v>3488</v>
      </c>
      <c r="N13" s="619"/>
      <c r="O13" s="619"/>
      <c r="P13" s="640"/>
      <c r="Q13" s="620"/>
    </row>
    <row r="14" spans="1:17" ht="14.4" customHeight="1" x14ac:dyDescent="0.3">
      <c r="A14" s="615" t="s">
        <v>479</v>
      </c>
      <c r="B14" s="616" t="s">
        <v>3602</v>
      </c>
      <c r="C14" s="616" t="s">
        <v>3592</v>
      </c>
      <c r="D14" s="616" t="s">
        <v>3609</v>
      </c>
      <c r="E14" s="616" t="s">
        <v>3610</v>
      </c>
      <c r="F14" s="619">
        <v>36</v>
      </c>
      <c r="G14" s="619">
        <v>96856</v>
      </c>
      <c r="H14" s="619">
        <v>1</v>
      </c>
      <c r="I14" s="619">
        <v>2690.4444444444443</v>
      </c>
      <c r="J14" s="619">
        <v>42</v>
      </c>
      <c r="K14" s="619">
        <v>113316</v>
      </c>
      <c r="L14" s="619">
        <v>1.1699430081770876</v>
      </c>
      <c r="M14" s="619">
        <v>2698</v>
      </c>
      <c r="N14" s="619">
        <v>29</v>
      </c>
      <c r="O14" s="619">
        <v>80330</v>
      </c>
      <c r="P14" s="640">
        <v>0.82937556785330802</v>
      </c>
      <c r="Q14" s="620">
        <v>2770</v>
      </c>
    </row>
    <row r="15" spans="1:17" ht="14.4" customHeight="1" x14ac:dyDescent="0.3">
      <c r="A15" s="615" t="s">
        <v>479</v>
      </c>
      <c r="B15" s="616" t="s">
        <v>3602</v>
      </c>
      <c r="C15" s="616" t="s">
        <v>3592</v>
      </c>
      <c r="D15" s="616" t="s">
        <v>3611</v>
      </c>
      <c r="E15" s="616" t="s">
        <v>3612</v>
      </c>
      <c r="F15" s="619">
        <v>5</v>
      </c>
      <c r="G15" s="619">
        <v>29870</v>
      </c>
      <c r="H15" s="619">
        <v>1</v>
      </c>
      <c r="I15" s="619">
        <v>5974</v>
      </c>
      <c r="J15" s="619">
        <v>5</v>
      </c>
      <c r="K15" s="619">
        <v>29945</v>
      </c>
      <c r="L15" s="619">
        <v>1.002510880482089</v>
      </c>
      <c r="M15" s="619">
        <v>5989</v>
      </c>
      <c r="N15" s="619">
        <v>12</v>
      </c>
      <c r="O15" s="619">
        <v>74040</v>
      </c>
      <c r="P15" s="640">
        <v>2.4787412119183125</v>
      </c>
      <c r="Q15" s="620">
        <v>6170</v>
      </c>
    </row>
    <row r="16" spans="1:17" ht="14.4" customHeight="1" x14ac:dyDescent="0.3">
      <c r="A16" s="615" t="s">
        <v>479</v>
      </c>
      <c r="B16" s="616" t="s">
        <v>3602</v>
      </c>
      <c r="C16" s="616" t="s">
        <v>3592</v>
      </c>
      <c r="D16" s="616" t="s">
        <v>3613</v>
      </c>
      <c r="E16" s="616" t="s">
        <v>3614</v>
      </c>
      <c r="F16" s="619">
        <v>2</v>
      </c>
      <c r="G16" s="619">
        <v>6228</v>
      </c>
      <c r="H16" s="619">
        <v>1</v>
      </c>
      <c r="I16" s="619">
        <v>3114</v>
      </c>
      <c r="J16" s="619">
        <v>1</v>
      </c>
      <c r="K16" s="619">
        <v>3123</v>
      </c>
      <c r="L16" s="619">
        <v>0.50144508670520227</v>
      </c>
      <c r="M16" s="619">
        <v>3123</v>
      </c>
      <c r="N16" s="619"/>
      <c r="O16" s="619"/>
      <c r="P16" s="640"/>
      <c r="Q16" s="620"/>
    </row>
    <row r="17" spans="1:17" ht="14.4" customHeight="1" x14ac:dyDescent="0.3">
      <c r="A17" s="615" t="s">
        <v>479</v>
      </c>
      <c r="B17" s="616" t="s">
        <v>3602</v>
      </c>
      <c r="C17" s="616" t="s">
        <v>3592</v>
      </c>
      <c r="D17" s="616" t="s">
        <v>564</v>
      </c>
      <c r="E17" s="616" t="s">
        <v>3615</v>
      </c>
      <c r="F17" s="619">
        <v>6</v>
      </c>
      <c r="G17" s="619">
        <v>14262</v>
      </c>
      <c r="H17" s="619">
        <v>1</v>
      </c>
      <c r="I17" s="619">
        <v>2377</v>
      </c>
      <c r="J17" s="619">
        <v>1</v>
      </c>
      <c r="K17" s="619">
        <v>2390</v>
      </c>
      <c r="L17" s="619">
        <v>0.1675781797784322</v>
      </c>
      <c r="M17" s="619">
        <v>2390</v>
      </c>
      <c r="N17" s="619">
        <v>1</v>
      </c>
      <c r="O17" s="619">
        <v>2462</v>
      </c>
      <c r="P17" s="640">
        <v>0.17262656008974897</v>
      </c>
      <c r="Q17" s="620">
        <v>2462</v>
      </c>
    </row>
    <row r="18" spans="1:17" ht="14.4" customHeight="1" x14ac:dyDescent="0.3">
      <c r="A18" s="615" t="s">
        <v>479</v>
      </c>
      <c r="B18" s="616" t="s">
        <v>3602</v>
      </c>
      <c r="C18" s="616" t="s">
        <v>3592</v>
      </c>
      <c r="D18" s="616" t="s">
        <v>3616</v>
      </c>
      <c r="E18" s="616" t="s">
        <v>3617</v>
      </c>
      <c r="F18" s="619">
        <v>1</v>
      </c>
      <c r="G18" s="619">
        <v>9851</v>
      </c>
      <c r="H18" s="619">
        <v>1</v>
      </c>
      <c r="I18" s="619">
        <v>9851</v>
      </c>
      <c r="J18" s="619"/>
      <c r="K18" s="619"/>
      <c r="L18" s="619"/>
      <c r="M18" s="619"/>
      <c r="N18" s="619">
        <v>1</v>
      </c>
      <c r="O18" s="619">
        <v>10268</v>
      </c>
      <c r="P18" s="640">
        <v>1.0423307278448888</v>
      </c>
      <c r="Q18" s="620">
        <v>10268</v>
      </c>
    </row>
    <row r="19" spans="1:17" ht="14.4" customHeight="1" x14ac:dyDescent="0.3">
      <c r="A19" s="615" t="s">
        <v>479</v>
      </c>
      <c r="B19" s="616" t="s">
        <v>3602</v>
      </c>
      <c r="C19" s="616" t="s">
        <v>3592</v>
      </c>
      <c r="D19" s="616" t="s">
        <v>3618</v>
      </c>
      <c r="E19" s="616" t="s">
        <v>3619</v>
      </c>
      <c r="F19" s="619">
        <v>3</v>
      </c>
      <c r="G19" s="619">
        <v>10062</v>
      </c>
      <c r="H19" s="619">
        <v>1</v>
      </c>
      <c r="I19" s="619">
        <v>3354</v>
      </c>
      <c r="J19" s="619">
        <v>1</v>
      </c>
      <c r="K19" s="619">
        <v>3370</v>
      </c>
      <c r="L19" s="619">
        <v>0.33492347445835818</v>
      </c>
      <c r="M19" s="619">
        <v>3370</v>
      </c>
      <c r="N19" s="619">
        <v>4</v>
      </c>
      <c r="O19" s="619">
        <v>13916</v>
      </c>
      <c r="P19" s="640">
        <v>1.3830252434903598</v>
      </c>
      <c r="Q19" s="620">
        <v>3479</v>
      </c>
    </row>
    <row r="20" spans="1:17" ht="14.4" customHeight="1" x14ac:dyDescent="0.3">
      <c r="A20" s="615" t="s">
        <v>479</v>
      </c>
      <c r="B20" s="616" t="s">
        <v>3602</v>
      </c>
      <c r="C20" s="616" t="s">
        <v>3592</v>
      </c>
      <c r="D20" s="616" t="s">
        <v>3620</v>
      </c>
      <c r="E20" s="616" t="s">
        <v>3621</v>
      </c>
      <c r="F20" s="619">
        <v>1</v>
      </c>
      <c r="G20" s="619">
        <v>4218</v>
      </c>
      <c r="H20" s="619">
        <v>1</v>
      </c>
      <c r="I20" s="619">
        <v>4218</v>
      </c>
      <c r="J20" s="619">
        <v>1</v>
      </c>
      <c r="K20" s="619">
        <v>4257</v>
      </c>
      <c r="L20" s="619">
        <v>1.0092460881934566</v>
      </c>
      <c r="M20" s="619">
        <v>4257</v>
      </c>
      <c r="N20" s="619"/>
      <c r="O20" s="619"/>
      <c r="P20" s="640"/>
      <c r="Q20" s="620"/>
    </row>
    <row r="21" spans="1:17" ht="14.4" customHeight="1" x14ac:dyDescent="0.3">
      <c r="A21" s="615" t="s">
        <v>479</v>
      </c>
      <c r="B21" s="616" t="s">
        <v>3602</v>
      </c>
      <c r="C21" s="616" t="s">
        <v>3592</v>
      </c>
      <c r="D21" s="616" t="s">
        <v>3622</v>
      </c>
      <c r="E21" s="616" t="s">
        <v>3623</v>
      </c>
      <c r="F21" s="619">
        <v>23</v>
      </c>
      <c r="G21" s="619">
        <v>47527</v>
      </c>
      <c r="H21" s="619">
        <v>1</v>
      </c>
      <c r="I21" s="619">
        <v>2066.391304347826</v>
      </c>
      <c r="J21" s="619">
        <v>24</v>
      </c>
      <c r="K21" s="619">
        <v>49752</v>
      </c>
      <c r="L21" s="619">
        <v>1.0468154943505796</v>
      </c>
      <c r="M21" s="619">
        <v>2073</v>
      </c>
      <c r="N21" s="619">
        <v>29</v>
      </c>
      <c r="O21" s="619">
        <v>62205</v>
      </c>
      <c r="P21" s="640">
        <v>1.3088349780124982</v>
      </c>
      <c r="Q21" s="620">
        <v>2145</v>
      </c>
    </row>
    <row r="22" spans="1:17" ht="14.4" customHeight="1" x14ac:dyDescent="0.3">
      <c r="A22" s="615" t="s">
        <v>479</v>
      </c>
      <c r="B22" s="616" t="s">
        <v>3602</v>
      </c>
      <c r="C22" s="616" t="s">
        <v>3592</v>
      </c>
      <c r="D22" s="616" t="s">
        <v>3624</v>
      </c>
      <c r="E22" s="616" t="s">
        <v>3625</v>
      </c>
      <c r="F22" s="619">
        <v>9</v>
      </c>
      <c r="G22" s="619">
        <v>14625</v>
      </c>
      <c r="H22" s="619">
        <v>1</v>
      </c>
      <c r="I22" s="619">
        <v>1625</v>
      </c>
      <c r="J22" s="619">
        <v>10</v>
      </c>
      <c r="K22" s="619">
        <v>16300</v>
      </c>
      <c r="L22" s="619">
        <v>1.1145299145299146</v>
      </c>
      <c r="M22" s="619">
        <v>1630</v>
      </c>
      <c r="N22" s="619">
        <v>1</v>
      </c>
      <c r="O22" s="619">
        <v>1678</v>
      </c>
      <c r="P22" s="640">
        <v>0.11473504273504273</v>
      </c>
      <c r="Q22" s="620">
        <v>1678</v>
      </c>
    </row>
    <row r="23" spans="1:17" ht="14.4" customHeight="1" x14ac:dyDescent="0.3">
      <c r="A23" s="615" t="s">
        <v>479</v>
      </c>
      <c r="B23" s="616" t="s">
        <v>3602</v>
      </c>
      <c r="C23" s="616" t="s">
        <v>3592</v>
      </c>
      <c r="D23" s="616" t="s">
        <v>3626</v>
      </c>
      <c r="E23" s="616" t="s">
        <v>3627</v>
      </c>
      <c r="F23" s="619">
        <v>3</v>
      </c>
      <c r="G23" s="619">
        <v>6708</v>
      </c>
      <c r="H23" s="619">
        <v>1</v>
      </c>
      <c r="I23" s="619">
        <v>2236</v>
      </c>
      <c r="J23" s="619">
        <v>6</v>
      </c>
      <c r="K23" s="619">
        <v>13452</v>
      </c>
      <c r="L23" s="619">
        <v>2.005366726296959</v>
      </c>
      <c r="M23" s="619">
        <v>2242</v>
      </c>
      <c r="N23" s="619">
        <v>9</v>
      </c>
      <c r="O23" s="619">
        <v>20826</v>
      </c>
      <c r="P23" s="640">
        <v>3.1046511627906979</v>
      </c>
      <c r="Q23" s="620">
        <v>2314</v>
      </c>
    </row>
    <row r="24" spans="1:17" ht="14.4" customHeight="1" x14ac:dyDescent="0.3">
      <c r="A24" s="615" t="s">
        <v>479</v>
      </c>
      <c r="B24" s="616" t="s">
        <v>3602</v>
      </c>
      <c r="C24" s="616" t="s">
        <v>3592</v>
      </c>
      <c r="D24" s="616" t="s">
        <v>3628</v>
      </c>
      <c r="E24" s="616" t="s">
        <v>3629</v>
      </c>
      <c r="F24" s="619">
        <v>9</v>
      </c>
      <c r="G24" s="619">
        <v>24205</v>
      </c>
      <c r="H24" s="619">
        <v>1</v>
      </c>
      <c r="I24" s="619">
        <v>2689.4444444444443</v>
      </c>
      <c r="J24" s="619">
        <v>26</v>
      </c>
      <c r="K24" s="619">
        <v>70122</v>
      </c>
      <c r="L24" s="619">
        <v>2.8970047510844865</v>
      </c>
      <c r="M24" s="619">
        <v>2697</v>
      </c>
      <c r="N24" s="619">
        <v>5</v>
      </c>
      <c r="O24" s="619">
        <v>13845</v>
      </c>
      <c r="P24" s="640">
        <v>0.57198925841768233</v>
      </c>
      <c r="Q24" s="620">
        <v>2769</v>
      </c>
    </row>
    <row r="25" spans="1:17" ht="14.4" customHeight="1" x14ac:dyDescent="0.3">
      <c r="A25" s="615" t="s">
        <v>479</v>
      </c>
      <c r="B25" s="616" t="s">
        <v>3602</v>
      </c>
      <c r="C25" s="616" t="s">
        <v>3592</v>
      </c>
      <c r="D25" s="616" t="s">
        <v>3630</v>
      </c>
      <c r="E25" s="616" t="s">
        <v>3631</v>
      </c>
      <c r="F25" s="619">
        <v>4</v>
      </c>
      <c r="G25" s="619">
        <v>20592</v>
      </c>
      <c r="H25" s="619">
        <v>1</v>
      </c>
      <c r="I25" s="619">
        <v>5148</v>
      </c>
      <c r="J25" s="619">
        <v>3</v>
      </c>
      <c r="K25" s="619">
        <v>15444</v>
      </c>
      <c r="L25" s="619">
        <v>0.75</v>
      </c>
      <c r="M25" s="619">
        <v>5148</v>
      </c>
      <c r="N25" s="619">
        <v>1</v>
      </c>
      <c r="O25" s="619">
        <v>5148</v>
      </c>
      <c r="P25" s="640">
        <v>0.25</v>
      </c>
      <c r="Q25" s="620">
        <v>5148</v>
      </c>
    </row>
    <row r="26" spans="1:17" ht="14.4" customHeight="1" x14ac:dyDescent="0.3">
      <c r="A26" s="615" t="s">
        <v>479</v>
      </c>
      <c r="B26" s="616" t="s">
        <v>3602</v>
      </c>
      <c r="C26" s="616" t="s">
        <v>3592</v>
      </c>
      <c r="D26" s="616" t="s">
        <v>3632</v>
      </c>
      <c r="E26" s="616" t="s">
        <v>3633</v>
      </c>
      <c r="F26" s="619">
        <v>2</v>
      </c>
      <c r="G26" s="619">
        <v>9796</v>
      </c>
      <c r="H26" s="619">
        <v>1</v>
      </c>
      <c r="I26" s="619">
        <v>4898</v>
      </c>
      <c r="J26" s="619">
        <v>2</v>
      </c>
      <c r="K26" s="619">
        <v>9802</v>
      </c>
      <c r="L26" s="619">
        <v>1.0006124948958759</v>
      </c>
      <c r="M26" s="619">
        <v>4901</v>
      </c>
      <c r="N26" s="619"/>
      <c r="O26" s="619"/>
      <c r="P26" s="640"/>
      <c r="Q26" s="620"/>
    </row>
    <row r="27" spans="1:17" ht="14.4" customHeight="1" x14ac:dyDescent="0.3">
      <c r="A27" s="615" t="s">
        <v>479</v>
      </c>
      <c r="B27" s="616" t="s">
        <v>3602</v>
      </c>
      <c r="C27" s="616" t="s">
        <v>3592</v>
      </c>
      <c r="D27" s="616" t="s">
        <v>3634</v>
      </c>
      <c r="E27" s="616" t="s">
        <v>3635</v>
      </c>
      <c r="F27" s="619">
        <v>8</v>
      </c>
      <c r="G27" s="619">
        <v>5528</v>
      </c>
      <c r="H27" s="619">
        <v>1</v>
      </c>
      <c r="I27" s="619">
        <v>691</v>
      </c>
      <c r="J27" s="619">
        <v>18</v>
      </c>
      <c r="K27" s="619">
        <v>12528</v>
      </c>
      <c r="L27" s="619">
        <v>2.2662807525325617</v>
      </c>
      <c r="M27" s="619">
        <v>696</v>
      </c>
      <c r="N27" s="619">
        <v>2</v>
      </c>
      <c r="O27" s="619">
        <v>1418</v>
      </c>
      <c r="P27" s="640">
        <v>0.25651230101302458</v>
      </c>
      <c r="Q27" s="620">
        <v>709</v>
      </c>
    </row>
    <row r="28" spans="1:17" ht="14.4" customHeight="1" x14ac:dyDescent="0.3">
      <c r="A28" s="615" t="s">
        <v>479</v>
      </c>
      <c r="B28" s="616" t="s">
        <v>3602</v>
      </c>
      <c r="C28" s="616" t="s">
        <v>3592</v>
      </c>
      <c r="D28" s="616" t="s">
        <v>3636</v>
      </c>
      <c r="E28" s="616" t="s">
        <v>3637</v>
      </c>
      <c r="F28" s="619"/>
      <c r="G28" s="619"/>
      <c r="H28" s="619"/>
      <c r="I28" s="619"/>
      <c r="J28" s="619">
        <v>1</v>
      </c>
      <c r="K28" s="619">
        <v>1682</v>
      </c>
      <c r="L28" s="619"/>
      <c r="M28" s="619">
        <v>1682</v>
      </c>
      <c r="N28" s="619"/>
      <c r="O28" s="619"/>
      <c r="P28" s="640"/>
      <c r="Q28" s="620"/>
    </row>
    <row r="29" spans="1:17" ht="14.4" customHeight="1" x14ac:dyDescent="0.3">
      <c r="A29" s="615" t="s">
        <v>479</v>
      </c>
      <c r="B29" s="616" t="s">
        <v>3602</v>
      </c>
      <c r="C29" s="616" t="s">
        <v>3592</v>
      </c>
      <c r="D29" s="616" t="s">
        <v>3638</v>
      </c>
      <c r="E29" s="616" t="s">
        <v>3639</v>
      </c>
      <c r="F29" s="619">
        <v>20</v>
      </c>
      <c r="G29" s="619">
        <v>16264</v>
      </c>
      <c r="H29" s="619">
        <v>1</v>
      </c>
      <c r="I29" s="619">
        <v>813.2</v>
      </c>
      <c r="J29" s="619">
        <v>27</v>
      </c>
      <c r="K29" s="619">
        <v>22113</v>
      </c>
      <c r="L29" s="619">
        <v>1.359628627643876</v>
      </c>
      <c r="M29" s="619">
        <v>819</v>
      </c>
      <c r="N29" s="619">
        <v>18</v>
      </c>
      <c r="O29" s="619">
        <v>15048</v>
      </c>
      <c r="P29" s="640">
        <v>0.92523364485981308</v>
      </c>
      <c r="Q29" s="620">
        <v>836</v>
      </c>
    </row>
    <row r="30" spans="1:17" ht="14.4" customHeight="1" x14ac:dyDescent="0.3">
      <c r="A30" s="615" t="s">
        <v>479</v>
      </c>
      <c r="B30" s="616" t="s">
        <v>3602</v>
      </c>
      <c r="C30" s="616" t="s">
        <v>3592</v>
      </c>
      <c r="D30" s="616" t="s">
        <v>3640</v>
      </c>
      <c r="E30" s="616" t="s">
        <v>3641</v>
      </c>
      <c r="F30" s="619">
        <v>1</v>
      </c>
      <c r="G30" s="619">
        <v>3875</v>
      </c>
      <c r="H30" s="619">
        <v>1</v>
      </c>
      <c r="I30" s="619">
        <v>3875</v>
      </c>
      <c r="J30" s="619"/>
      <c r="K30" s="619"/>
      <c r="L30" s="619"/>
      <c r="M30" s="619"/>
      <c r="N30" s="619"/>
      <c r="O30" s="619"/>
      <c r="P30" s="640"/>
      <c r="Q30" s="620"/>
    </row>
    <row r="31" spans="1:17" ht="14.4" customHeight="1" x14ac:dyDescent="0.3">
      <c r="A31" s="615" t="s">
        <v>479</v>
      </c>
      <c r="B31" s="616" t="s">
        <v>3602</v>
      </c>
      <c r="C31" s="616" t="s">
        <v>3592</v>
      </c>
      <c r="D31" s="616" t="s">
        <v>3642</v>
      </c>
      <c r="E31" s="616" t="s">
        <v>3643</v>
      </c>
      <c r="F31" s="619">
        <v>5</v>
      </c>
      <c r="G31" s="619">
        <v>0</v>
      </c>
      <c r="H31" s="619"/>
      <c r="I31" s="619">
        <v>0</v>
      </c>
      <c r="J31" s="619">
        <v>9</v>
      </c>
      <c r="K31" s="619">
        <v>0</v>
      </c>
      <c r="L31" s="619"/>
      <c r="M31" s="619">
        <v>0</v>
      </c>
      <c r="N31" s="619">
        <v>21</v>
      </c>
      <c r="O31" s="619">
        <v>0</v>
      </c>
      <c r="P31" s="640"/>
      <c r="Q31" s="620">
        <v>0</v>
      </c>
    </row>
    <row r="32" spans="1:17" ht="14.4" customHeight="1" x14ac:dyDescent="0.3">
      <c r="A32" s="615" t="s">
        <v>479</v>
      </c>
      <c r="B32" s="616" t="s">
        <v>3602</v>
      </c>
      <c r="C32" s="616" t="s">
        <v>3592</v>
      </c>
      <c r="D32" s="616" t="s">
        <v>3644</v>
      </c>
      <c r="E32" s="616" t="s">
        <v>3645</v>
      </c>
      <c r="F32" s="619">
        <v>1</v>
      </c>
      <c r="G32" s="619">
        <v>0</v>
      </c>
      <c r="H32" s="619"/>
      <c r="I32" s="619">
        <v>0</v>
      </c>
      <c r="J32" s="619">
        <v>2</v>
      </c>
      <c r="K32" s="619">
        <v>0</v>
      </c>
      <c r="L32" s="619"/>
      <c r="M32" s="619">
        <v>0</v>
      </c>
      <c r="N32" s="619"/>
      <c r="O32" s="619"/>
      <c r="P32" s="640"/>
      <c r="Q32" s="620"/>
    </row>
    <row r="33" spans="1:17" ht="14.4" customHeight="1" x14ac:dyDescent="0.3">
      <c r="A33" s="615" t="s">
        <v>479</v>
      </c>
      <c r="B33" s="616" t="s">
        <v>3602</v>
      </c>
      <c r="C33" s="616" t="s">
        <v>3592</v>
      </c>
      <c r="D33" s="616" t="s">
        <v>3646</v>
      </c>
      <c r="E33" s="616" t="s">
        <v>3647</v>
      </c>
      <c r="F33" s="619"/>
      <c r="G33" s="619"/>
      <c r="H33" s="619"/>
      <c r="I33" s="619"/>
      <c r="J33" s="619">
        <v>3</v>
      </c>
      <c r="K33" s="619">
        <v>0</v>
      </c>
      <c r="L33" s="619"/>
      <c r="M33" s="619">
        <v>0</v>
      </c>
      <c r="N33" s="619">
        <v>2</v>
      </c>
      <c r="O33" s="619">
        <v>0</v>
      </c>
      <c r="P33" s="640"/>
      <c r="Q33" s="620">
        <v>0</v>
      </c>
    </row>
    <row r="34" spans="1:17" ht="14.4" customHeight="1" x14ac:dyDescent="0.3">
      <c r="A34" s="615" t="s">
        <v>479</v>
      </c>
      <c r="B34" s="616" t="s">
        <v>3602</v>
      </c>
      <c r="C34" s="616" t="s">
        <v>3592</v>
      </c>
      <c r="D34" s="616" t="s">
        <v>3648</v>
      </c>
      <c r="E34" s="616" t="s">
        <v>3649</v>
      </c>
      <c r="F34" s="619">
        <v>1</v>
      </c>
      <c r="G34" s="619">
        <v>0</v>
      </c>
      <c r="H34" s="619"/>
      <c r="I34" s="619">
        <v>0</v>
      </c>
      <c r="J34" s="619">
        <v>2</v>
      </c>
      <c r="K34" s="619">
        <v>0</v>
      </c>
      <c r="L34" s="619"/>
      <c r="M34" s="619">
        <v>0</v>
      </c>
      <c r="N34" s="619">
        <v>1</v>
      </c>
      <c r="O34" s="619">
        <v>0</v>
      </c>
      <c r="P34" s="640"/>
      <c r="Q34" s="620">
        <v>0</v>
      </c>
    </row>
    <row r="35" spans="1:17" ht="14.4" customHeight="1" x14ac:dyDescent="0.3">
      <c r="A35" s="615" t="s">
        <v>479</v>
      </c>
      <c r="B35" s="616" t="s">
        <v>3602</v>
      </c>
      <c r="C35" s="616" t="s">
        <v>3592</v>
      </c>
      <c r="D35" s="616" t="s">
        <v>3650</v>
      </c>
      <c r="E35" s="616" t="s">
        <v>3651</v>
      </c>
      <c r="F35" s="619"/>
      <c r="G35" s="619"/>
      <c r="H35" s="619"/>
      <c r="I35" s="619"/>
      <c r="J35" s="619"/>
      <c r="K35" s="619"/>
      <c r="L35" s="619"/>
      <c r="M35" s="619"/>
      <c r="N35" s="619">
        <v>1</v>
      </c>
      <c r="O35" s="619">
        <v>0</v>
      </c>
      <c r="P35" s="640"/>
      <c r="Q35" s="620">
        <v>0</v>
      </c>
    </row>
    <row r="36" spans="1:17" ht="14.4" customHeight="1" x14ac:dyDescent="0.3">
      <c r="A36" s="615" t="s">
        <v>479</v>
      </c>
      <c r="B36" s="616" t="s">
        <v>3602</v>
      </c>
      <c r="C36" s="616" t="s">
        <v>3592</v>
      </c>
      <c r="D36" s="616" t="s">
        <v>3652</v>
      </c>
      <c r="E36" s="616" t="s">
        <v>3653</v>
      </c>
      <c r="F36" s="619">
        <v>2</v>
      </c>
      <c r="G36" s="619">
        <v>0</v>
      </c>
      <c r="H36" s="619"/>
      <c r="I36" s="619">
        <v>0</v>
      </c>
      <c r="J36" s="619"/>
      <c r="K36" s="619"/>
      <c r="L36" s="619"/>
      <c r="M36" s="619"/>
      <c r="N36" s="619">
        <v>1</v>
      </c>
      <c r="O36" s="619">
        <v>0</v>
      </c>
      <c r="P36" s="640"/>
      <c r="Q36" s="620">
        <v>0</v>
      </c>
    </row>
    <row r="37" spans="1:17" ht="14.4" customHeight="1" x14ac:dyDescent="0.3">
      <c r="A37" s="615" t="s">
        <v>479</v>
      </c>
      <c r="B37" s="616" t="s">
        <v>3602</v>
      </c>
      <c r="C37" s="616" t="s">
        <v>3592</v>
      </c>
      <c r="D37" s="616" t="s">
        <v>3654</v>
      </c>
      <c r="E37" s="616" t="s">
        <v>3655</v>
      </c>
      <c r="F37" s="619">
        <v>1</v>
      </c>
      <c r="G37" s="619">
        <v>0</v>
      </c>
      <c r="H37" s="619"/>
      <c r="I37" s="619">
        <v>0</v>
      </c>
      <c r="J37" s="619"/>
      <c r="K37" s="619"/>
      <c r="L37" s="619"/>
      <c r="M37" s="619"/>
      <c r="N37" s="619">
        <v>2</v>
      </c>
      <c r="O37" s="619">
        <v>0</v>
      </c>
      <c r="P37" s="640"/>
      <c r="Q37" s="620">
        <v>0</v>
      </c>
    </row>
    <row r="38" spans="1:17" ht="14.4" customHeight="1" x14ac:dyDescent="0.3">
      <c r="A38" s="615" t="s">
        <v>479</v>
      </c>
      <c r="B38" s="616" t="s">
        <v>3602</v>
      </c>
      <c r="C38" s="616" t="s">
        <v>3592</v>
      </c>
      <c r="D38" s="616" t="s">
        <v>3656</v>
      </c>
      <c r="E38" s="616" t="s">
        <v>3657</v>
      </c>
      <c r="F38" s="619"/>
      <c r="G38" s="619"/>
      <c r="H38" s="619"/>
      <c r="I38" s="619"/>
      <c r="J38" s="619">
        <v>1</v>
      </c>
      <c r="K38" s="619">
        <v>0</v>
      </c>
      <c r="L38" s="619"/>
      <c r="M38" s="619">
        <v>0</v>
      </c>
      <c r="N38" s="619">
        <v>1</v>
      </c>
      <c r="O38" s="619">
        <v>0</v>
      </c>
      <c r="P38" s="640"/>
      <c r="Q38" s="620">
        <v>0</v>
      </c>
    </row>
    <row r="39" spans="1:17" ht="14.4" customHeight="1" x14ac:dyDescent="0.3">
      <c r="A39" s="615" t="s">
        <v>479</v>
      </c>
      <c r="B39" s="616" t="s">
        <v>3602</v>
      </c>
      <c r="C39" s="616" t="s">
        <v>3592</v>
      </c>
      <c r="D39" s="616" t="s">
        <v>3658</v>
      </c>
      <c r="E39" s="616" t="s">
        <v>3659</v>
      </c>
      <c r="F39" s="619"/>
      <c r="G39" s="619"/>
      <c r="H39" s="619"/>
      <c r="I39" s="619"/>
      <c r="J39" s="619"/>
      <c r="K39" s="619"/>
      <c r="L39" s="619"/>
      <c r="M39" s="619"/>
      <c r="N39" s="619">
        <v>2</v>
      </c>
      <c r="O39" s="619">
        <v>0</v>
      </c>
      <c r="P39" s="640"/>
      <c r="Q39" s="620">
        <v>0</v>
      </c>
    </row>
    <row r="40" spans="1:17" ht="14.4" customHeight="1" x14ac:dyDescent="0.3">
      <c r="A40" s="615" t="s">
        <v>479</v>
      </c>
      <c r="B40" s="616" t="s">
        <v>3602</v>
      </c>
      <c r="C40" s="616" t="s">
        <v>3592</v>
      </c>
      <c r="D40" s="616" t="s">
        <v>3660</v>
      </c>
      <c r="E40" s="616" t="s">
        <v>3661</v>
      </c>
      <c r="F40" s="619"/>
      <c r="G40" s="619"/>
      <c r="H40" s="619"/>
      <c r="I40" s="619"/>
      <c r="J40" s="619"/>
      <c r="K40" s="619"/>
      <c r="L40" s="619"/>
      <c r="M40" s="619"/>
      <c r="N40" s="619">
        <v>1</v>
      </c>
      <c r="O40" s="619">
        <v>0</v>
      </c>
      <c r="P40" s="640"/>
      <c r="Q40" s="620">
        <v>0</v>
      </c>
    </row>
    <row r="41" spans="1:17" ht="14.4" customHeight="1" x14ac:dyDescent="0.3">
      <c r="A41" s="615" t="s">
        <v>479</v>
      </c>
      <c r="B41" s="616" t="s">
        <v>3602</v>
      </c>
      <c r="C41" s="616" t="s">
        <v>3592</v>
      </c>
      <c r="D41" s="616" t="s">
        <v>3662</v>
      </c>
      <c r="E41" s="616" t="s">
        <v>3663</v>
      </c>
      <c r="F41" s="619"/>
      <c r="G41" s="619"/>
      <c r="H41" s="619"/>
      <c r="I41" s="619"/>
      <c r="J41" s="619"/>
      <c r="K41" s="619"/>
      <c r="L41" s="619"/>
      <c r="M41" s="619"/>
      <c r="N41" s="619">
        <v>3</v>
      </c>
      <c r="O41" s="619">
        <v>0</v>
      </c>
      <c r="P41" s="640"/>
      <c r="Q41" s="620">
        <v>0</v>
      </c>
    </row>
    <row r="42" spans="1:17" ht="14.4" customHeight="1" x14ac:dyDescent="0.3">
      <c r="A42" s="615" t="s">
        <v>479</v>
      </c>
      <c r="B42" s="616" t="s">
        <v>3602</v>
      </c>
      <c r="C42" s="616" t="s">
        <v>3592</v>
      </c>
      <c r="D42" s="616" t="s">
        <v>3664</v>
      </c>
      <c r="E42" s="616" t="s">
        <v>3665</v>
      </c>
      <c r="F42" s="619"/>
      <c r="G42" s="619"/>
      <c r="H42" s="619"/>
      <c r="I42" s="619"/>
      <c r="J42" s="619">
        <v>1</v>
      </c>
      <c r="K42" s="619">
        <v>0</v>
      </c>
      <c r="L42" s="619"/>
      <c r="M42" s="619">
        <v>0</v>
      </c>
      <c r="N42" s="619"/>
      <c r="O42" s="619"/>
      <c r="P42" s="640"/>
      <c r="Q42" s="620"/>
    </row>
    <row r="43" spans="1:17" ht="14.4" customHeight="1" x14ac:dyDescent="0.3">
      <c r="A43" s="615" t="s">
        <v>479</v>
      </c>
      <c r="B43" s="616" t="s">
        <v>3602</v>
      </c>
      <c r="C43" s="616" t="s">
        <v>3592</v>
      </c>
      <c r="D43" s="616" t="s">
        <v>3666</v>
      </c>
      <c r="E43" s="616" t="s">
        <v>3667</v>
      </c>
      <c r="F43" s="619"/>
      <c r="G43" s="619"/>
      <c r="H43" s="619"/>
      <c r="I43" s="619"/>
      <c r="J43" s="619"/>
      <c r="K43" s="619"/>
      <c r="L43" s="619"/>
      <c r="M43" s="619"/>
      <c r="N43" s="619">
        <v>2</v>
      </c>
      <c r="O43" s="619">
        <v>0</v>
      </c>
      <c r="P43" s="640"/>
      <c r="Q43" s="620">
        <v>0</v>
      </c>
    </row>
    <row r="44" spans="1:17" ht="14.4" customHeight="1" x14ac:dyDescent="0.3">
      <c r="A44" s="615" t="s">
        <v>479</v>
      </c>
      <c r="B44" s="616" t="s">
        <v>3602</v>
      </c>
      <c r="C44" s="616" t="s">
        <v>3592</v>
      </c>
      <c r="D44" s="616" t="s">
        <v>3668</v>
      </c>
      <c r="E44" s="616" t="s">
        <v>3669</v>
      </c>
      <c r="F44" s="619">
        <v>1</v>
      </c>
      <c r="G44" s="619">
        <v>0</v>
      </c>
      <c r="H44" s="619"/>
      <c r="I44" s="619">
        <v>0</v>
      </c>
      <c r="J44" s="619">
        <v>1</v>
      </c>
      <c r="K44" s="619">
        <v>0</v>
      </c>
      <c r="L44" s="619"/>
      <c r="M44" s="619">
        <v>0</v>
      </c>
      <c r="N44" s="619">
        <v>4</v>
      </c>
      <c r="O44" s="619">
        <v>0</v>
      </c>
      <c r="P44" s="640"/>
      <c r="Q44" s="620">
        <v>0</v>
      </c>
    </row>
    <row r="45" spans="1:17" ht="14.4" customHeight="1" x14ac:dyDescent="0.3">
      <c r="A45" s="615" t="s">
        <v>479</v>
      </c>
      <c r="B45" s="616" t="s">
        <v>3602</v>
      </c>
      <c r="C45" s="616" t="s">
        <v>3592</v>
      </c>
      <c r="D45" s="616" t="s">
        <v>3670</v>
      </c>
      <c r="E45" s="616" t="s">
        <v>3671</v>
      </c>
      <c r="F45" s="619"/>
      <c r="G45" s="619"/>
      <c r="H45" s="619"/>
      <c r="I45" s="619"/>
      <c r="J45" s="619"/>
      <c r="K45" s="619"/>
      <c r="L45" s="619"/>
      <c r="M45" s="619"/>
      <c r="N45" s="619">
        <v>1</v>
      </c>
      <c r="O45" s="619">
        <v>0</v>
      </c>
      <c r="P45" s="640"/>
      <c r="Q45" s="620">
        <v>0</v>
      </c>
    </row>
    <row r="46" spans="1:17" ht="14.4" customHeight="1" x14ac:dyDescent="0.3">
      <c r="A46" s="615" t="s">
        <v>479</v>
      </c>
      <c r="B46" s="616" t="s">
        <v>3602</v>
      </c>
      <c r="C46" s="616" t="s">
        <v>3592</v>
      </c>
      <c r="D46" s="616" t="s">
        <v>3672</v>
      </c>
      <c r="E46" s="616" t="s">
        <v>3673</v>
      </c>
      <c r="F46" s="619">
        <v>1</v>
      </c>
      <c r="G46" s="619">
        <v>0</v>
      </c>
      <c r="H46" s="619"/>
      <c r="I46" s="619">
        <v>0</v>
      </c>
      <c r="J46" s="619"/>
      <c r="K46" s="619"/>
      <c r="L46" s="619"/>
      <c r="M46" s="619"/>
      <c r="N46" s="619"/>
      <c r="O46" s="619"/>
      <c r="P46" s="640"/>
      <c r="Q46" s="620"/>
    </row>
    <row r="47" spans="1:17" ht="14.4" customHeight="1" x14ac:dyDescent="0.3">
      <c r="A47" s="615" t="s">
        <v>479</v>
      </c>
      <c r="B47" s="616" t="s">
        <v>3602</v>
      </c>
      <c r="C47" s="616" t="s">
        <v>3592</v>
      </c>
      <c r="D47" s="616" t="s">
        <v>3674</v>
      </c>
      <c r="E47" s="616" t="s">
        <v>3675</v>
      </c>
      <c r="F47" s="619"/>
      <c r="G47" s="619"/>
      <c r="H47" s="619"/>
      <c r="I47" s="619"/>
      <c r="J47" s="619"/>
      <c r="K47" s="619"/>
      <c r="L47" s="619"/>
      <c r="M47" s="619"/>
      <c r="N47" s="619">
        <v>1</v>
      </c>
      <c r="O47" s="619">
        <v>0</v>
      </c>
      <c r="P47" s="640"/>
      <c r="Q47" s="620">
        <v>0</v>
      </c>
    </row>
    <row r="48" spans="1:17" ht="14.4" customHeight="1" x14ac:dyDescent="0.3">
      <c r="A48" s="615" t="s">
        <v>479</v>
      </c>
      <c r="B48" s="616" t="s">
        <v>3602</v>
      </c>
      <c r="C48" s="616" t="s">
        <v>3592</v>
      </c>
      <c r="D48" s="616" t="s">
        <v>3676</v>
      </c>
      <c r="E48" s="616" t="s">
        <v>3677</v>
      </c>
      <c r="F48" s="619"/>
      <c r="G48" s="619"/>
      <c r="H48" s="619"/>
      <c r="I48" s="619"/>
      <c r="J48" s="619"/>
      <c r="K48" s="619"/>
      <c r="L48" s="619"/>
      <c r="M48" s="619"/>
      <c r="N48" s="619">
        <v>2</v>
      </c>
      <c r="O48" s="619">
        <v>0</v>
      </c>
      <c r="P48" s="640"/>
      <c r="Q48" s="620">
        <v>0</v>
      </c>
    </row>
    <row r="49" spans="1:17" ht="14.4" customHeight="1" x14ac:dyDescent="0.3">
      <c r="A49" s="615" t="s">
        <v>479</v>
      </c>
      <c r="B49" s="616" t="s">
        <v>3602</v>
      </c>
      <c r="C49" s="616" t="s">
        <v>3592</v>
      </c>
      <c r="D49" s="616" t="s">
        <v>3678</v>
      </c>
      <c r="E49" s="616" t="s">
        <v>3679</v>
      </c>
      <c r="F49" s="619"/>
      <c r="G49" s="619"/>
      <c r="H49" s="619"/>
      <c r="I49" s="619"/>
      <c r="J49" s="619"/>
      <c r="K49" s="619"/>
      <c r="L49" s="619"/>
      <c r="M49" s="619"/>
      <c r="N49" s="619">
        <v>1</v>
      </c>
      <c r="O49" s="619">
        <v>0</v>
      </c>
      <c r="P49" s="640"/>
      <c r="Q49" s="620">
        <v>0</v>
      </c>
    </row>
    <row r="50" spans="1:17" ht="14.4" customHeight="1" x14ac:dyDescent="0.3">
      <c r="A50" s="615" t="s">
        <v>479</v>
      </c>
      <c r="B50" s="616" t="s">
        <v>3602</v>
      </c>
      <c r="C50" s="616" t="s">
        <v>3592</v>
      </c>
      <c r="D50" s="616" t="s">
        <v>3680</v>
      </c>
      <c r="E50" s="616" t="s">
        <v>3681</v>
      </c>
      <c r="F50" s="619">
        <v>1</v>
      </c>
      <c r="G50" s="619">
        <v>0</v>
      </c>
      <c r="H50" s="619"/>
      <c r="I50" s="619">
        <v>0</v>
      </c>
      <c r="J50" s="619"/>
      <c r="K50" s="619"/>
      <c r="L50" s="619"/>
      <c r="M50" s="619"/>
      <c r="N50" s="619"/>
      <c r="O50" s="619"/>
      <c r="P50" s="640"/>
      <c r="Q50" s="620"/>
    </row>
    <row r="51" spans="1:17" ht="14.4" customHeight="1" x14ac:dyDescent="0.3">
      <c r="A51" s="615" t="s">
        <v>479</v>
      </c>
      <c r="B51" s="616" t="s">
        <v>3602</v>
      </c>
      <c r="C51" s="616" t="s">
        <v>3592</v>
      </c>
      <c r="D51" s="616" t="s">
        <v>3682</v>
      </c>
      <c r="E51" s="616" t="s">
        <v>3683</v>
      </c>
      <c r="F51" s="619">
        <v>1</v>
      </c>
      <c r="G51" s="619">
        <v>0</v>
      </c>
      <c r="H51" s="619"/>
      <c r="I51" s="619">
        <v>0</v>
      </c>
      <c r="J51" s="619"/>
      <c r="K51" s="619"/>
      <c r="L51" s="619"/>
      <c r="M51" s="619"/>
      <c r="N51" s="619"/>
      <c r="O51" s="619"/>
      <c r="P51" s="640"/>
      <c r="Q51" s="620"/>
    </row>
    <row r="52" spans="1:17" ht="14.4" customHeight="1" x14ac:dyDescent="0.3">
      <c r="A52" s="615" t="s">
        <v>479</v>
      </c>
      <c r="B52" s="616" t="s">
        <v>3602</v>
      </c>
      <c r="C52" s="616" t="s">
        <v>3592</v>
      </c>
      <c r="D52" s="616" t="s">
        <v>3684</v>
      </c>
      <c r="E52" s="616" t="s">
        <v>3685</v>
      </c>
      <c r="F52" s="619">
        <v>1</v>
      </c>
      <c r="G52" s="619">
        <v>0</v>
      </c>
      <c r="H52" s="619"/>
      <c r="I52" s="619">
        <v>0</v>
      </c>
      <c r="J52" s="619"/>
      <c r="K52" s="619"/>
      <c r="L52" s="619"/>
      <c r="M52" s="619"/>
      <c r="N52" s="619"/>
      <c r="O52" s="619"/>
      <c r="P52" s="640"/>
      <c r="Q52" s="620"/>
    </row>
    <row r="53" spans="1:17" ht="14.4" customHeight="1" x14ac:dyDescent="0.3">
      <c r="A53" s="615" t="s">
        <v>479</v>
      </c>
      <c r="B53" s="616" t="s">
        <v>3602</v>
      </c>
      <c r="C53" s="616" t="s">
        <v>3592</v>
      </c>
      <c r="D53" s="616" t="s">
        <v>3686</v>
      </c>
      <c r="E53" s="616" t="s">
        <v>3687</v>
      </c>
      <c r="F53" s="619">
        <v>1</v>
      </c>
      <c r="G53" s="619">
        <v>0</v>
      </c>
      <c r="H53" s="619"/>
      <c r="I53" s="619">
        <v>0</v>
      </c>
      <c r="J53" s="619"/>
      <c r="K53" s="619"/>
      <c r="L53" s="619"/>
      <c r="M53" s="619"/>
      <c r="N53" s="619"/>
      <c r="O53" s="619"/>
      <c r="P53" s="640"/>
      <c r="Q53" s="620"/>
    </row>
    <row r="54" spans="1:17" ht="14.4" customHeight="1" x14ac:dyDescent="0.3">
      <c r="A54" s="615" t="s">
        <v>479</v>
      </c>
      <c r="B54" s="616" t="s">
        <v>3602</v>
      </c>
      <c r="C54" s="616" t="s">
        <v>3592</v>
      </c>
      <c r="D54" s="616" t="s">
        <v>3688</v>
      </c>
      <c r="E54" s="616" t="s">
        <v>3689</v>
      </c>
      <c r="F54" s="619">
        <v>2</v>
      </c>
      <c r="G54" s="619">
        <v>3200</v>
      </c>
      <c r="H54" s="619">
        <v>1</v>
      </c>
      <c r="I54" s="619">
        <v>1600</v>
      </c>
      <c r="J54" s="619"/>
      <c r="K54" s="619"/>
      <c r="L54" s="619"/>
      <c r="M54" s="619"/>
      <c r="N54" s="619"/>
      <c r="O54" s="619"/>
      <c r="P54" s="640"/>
      <c r="Q54" s="620"/>
    </row>
    <row r="55" spans="1:17" ht="14.4" customHeight="1" x14ac:dyDescent="0.3">
      <c r="A55" s="615" t="s">
        <v>479</v>
      </c>
      <c r="B55" s="616" t="s">
        <v>3602</v>
      </c>
      <c r="C55" s="616" t="s">
        <v>3592</v>
      </c>
      <c r="D55" s="616" t="s">
        <v>3690</v>
      </c>
      <c r="E55" s="616" t="s">
        <v>3691</v>
      </c>
      <c r="F55" s="619">
        <v>1</v>
      </c>
      <c r="G55" s="619">
        <v>953</v>
      </c>
      <c r="H55" s="619">
        <v>1</v>
      </c>
      <c r="I55" s="619">
        <v>953</v>
      </c>
      <c r="J55" s="619"/>
      <c r="K55" s="619"/>
      <c r="L55" s="619"/>
      <c r="M55" s="619"/>
      <c r="N55" s="619"/>
      <c r="O55" s="619"/>
      <c r="P55" s="640"/>
      <c r="Q55" s="620"/>
    </row>
    <row r="56" spans="1:17" ht="14.4" customHeight="1" x14ac:dyDescent="0.3">
      <c r="A56" s="615" t="s">
        <v>479</v>
      </c>
      <c r="B56" s="616" t="s">
        <v>3602</v>
      </c>
      <c r="C56" s="616" t="s">
        <v>3592</v>
      </c>
      <c r="D56" s="616" t="s">
        <v>3692</v>
      </c>
      <c r="E56" s="616" t="s">
        <v>3693</v>
      </c>
      <c r="F56" s="619">
        <v>6</v>
      </c>
      <c r="G56" s="619">
        <v>0</v>
      </c>
      <c r="H56" s="619"/>
      <c r="I56" s="619">
        <v>0</v>
      </c>
      <c r="J56" s="619">
        <v>6</v>
      </c>
      <c r="K56" s="619">
        <v>0</v>
      </c>
      <c r="L56" s="619"/>
      <c r="M56" s="619">
        <v>0</v>
      </c>
      <c r="N56" s="619">
        <v>20</v>
      </c>
      <c r="O56" s="619">
        <v>0</v>
      </c>
      <c r="P56" s="640"/>
      <c r="Q56" s="620">
        <v>0</v>
      </c>
    </row>
    <row r="57" spans="1:17" ht="14.4" customHeight="1" x14ac:dyDescent="0.3">
      <c r="A57" s="615" t="s">
        <v>479</v>
      </c>
      <c r="B57" s="616" t="s">
        <v>3602</v>
      </c>
      <c r="C57" s="616" t="s">
        <v>3592</v>
      </c>
      <c r="D57" s="616" t="s">
        <v>3694</v>
      </c>
      <c r="E57" s="616" t="s">
        <v>3695</v>
      </c>
      <c r="F57" s="619">
        <v>10</v>
      </c>
      <c r="G57" s="619">
        <v>7520</v>
      </c>
      <c r="H57" s="619">
        <v>1</v>
      </c>
      <c r="I57" s="619">
        <v>752</v>
      </c>
      <c r="J57" s="619">
        <v>2</v>
      </c>
      <c r="K57" s="619">
        <v>1510</v>
      </c>
      <c r="L57" s="619">
        <v>0.20079787234042554</v>
      </c>
      <c r="M57" s="619">
        <v>755</v>
      </c>
      <c r="N57" s="619">
        <v>2</v>
      </c>
      <c r="O57" s="619">
        <v>1536</v>
      </c>
      <c r="P57" s="640">
        <v>0.20425531914893616</v>
      </c>
      <c r="Q57" s="620">
        <v>768</v>
      </c>
    </row>
    <row r="58" spans="1:17" ht="14.4" customHeight="1" x14ac:dyDescent="0.3">
      <c r="A58" s="615" t="s">
        <v>479</v>
      </c>
      <c r="B58" s="616" t="s">
        <v>3602</v>
      </c>
      <c r="C58" s="616" t="s">
        <v>3592</v>
      </c>
      <c r="D58" s="616" t="s">
        <v>3696</v>
      </c>
      <c r="E58" s="616" t="s">
        <v>3697</v>
      </c>
      <c r="F58" s="619">
        <v>1</v>
      </c>
      <c r="G58" s="619">
        <v>168</v>
      </c>
      <c r="H58" s="619">
        <v>1</v>
      </c>
      <c r="I58" s="619">
        <v>168</v>
      </c>
      <c r="J58" s="619"/>
      <c r="K58" s="619"/>
      <c r="L58" s="619"/>
      <c r="M58" s="619"/>
      <c r="N58" s="619"/>
      <c r="O58" s="619"/>
      <c r="P58" s="640"/>
      <c r="Q58" s="620"/>
    </row>
    <row r="59" spans="1:17" ht="14.4" customHeight="1" x14ac:dyDescent="0.3">
      <c r="A59" s="615" t="s">
        <v>479</v>
      </c>
      <c r="B59" s="616" t="s">
        <v>3602</v>
      </c>
      <c r="C59" s="616" t="s">
        <v>3592</v>
      </c>
      <c r="D59" s="616" t="s">
        <v>3698</v>
      </c>
      <c r="E59" s="616" t="s">
        <v>3699</v>
      </c>
      <c r="F59" s="619">
        <v>1</v>
      </c>
      <c r="G59" s="619">
        <v>516</v>
      </c>
      <c r="H59" s="619">
        <v>1</v>
      </c>
      <c r="I59" s="619">
        <v>516</v>
      </c>
      <c r="J59" s="619"/>
      <c r="K59" s="619"/>
      <c r="L59" s="619"/>
      <c r="M59" s="619"/>
      <c r="N59" s="619">
        <v>1</v>
      </c>
      <c r="O59" s="619">
        <v>532</v>
      </c>
      <c r="P59" s="640">
        <v>1.0310077519379846</v>
      </c>
      <c r="Q59" s="620">
        <v>532</v>
      </c>
    </row>
    <row r="60" spans="1:17" ht="14.4" customHeight="1" x14ac:dyDescent="0.3">
      <c r="A60" s="615" t="s">
        <v>479</v>
      </c>
      <c r="B60" s="616" t="s">
        <v>3602</v>
      </c>
      <c r="C60" s="616" t="s">
        <v>3592</v>
      </c>
      <c r="D60" s="616" t="s">
        <v>3700</v>
      </c>
      <c r="E60" s="616" t="s">
        <v>3701</v>
      </c>
      <c r="F60" s="619">
        <v>3</v>
      </c>
      <c r="G60" s="619">
        <v>8138</v>
      </c>
      <c r="H60" s="619">
        <v>1</v>
      </c>
      <c r="I60" s="619">
        <v>2712.6666666666665</v>
      </c>
      <c r="J60" s="619"/>
      <c r="K60" s="619"/>
      <c r="L60" s="619"/>
      <c r="M60" s="619"/>
      <c r="N60" s="619">
        <v>3</v>
      </c>
      <c r="O60" s="619">
        <v>8430</v>
      </c>
      <c r="P60" s="640">
        <v>1.0358810518554928</v>
      </c>
      <c r="Q60" s="620">
        <v>2810</v>
      </c>
    </row>
    <row r="61" spans="1:17" ht="14.4" customHeight="1" x14ac:dyDescent="0.3">
      <c r="A61" s="615" t="s">
        <v>479</v>
      </c>
      <c r="B61" s="616" t="s">
        <v>3602</v>
      </c>
      <c r="C61" s="616" t="s">
        <v>3592</v>
      </c>
      <c r="D61" s="616" t="s">
        <v>3702</v>
      </c>
      <c r="E61" s="616" t="s">
        <v>3703</v>
      </c>
      <c r="F61" s="619">
        <v>2</v>
      </c>
      <c r="G61" s="619">
        <v>1610</v>
      </c>
      <c r="H61" s="619">
        <v>1</v>
      </c>
      <c r="I61" s="619">
        <v>805</v>
      </c>
      <c r="J61" s="619">
        <v>8</v>
      </c>
      <c r="K61" s="619">
        <v>6520</v>
      </c>
      <c r="L61" s="619">
        <v>4.0496894409937889</v>
      </c>
      <c r="M61" s="619">
        <v>815</v>
      </c>
      <c r="N61" s="619">
        <v>4</v>
      </c>
      <c r="O61" s="619">
        <v>3356</v>
      </c>
      <c r="P61" s="640">
        <v>2.0844720496894409</v>
      </c>
      <c r="Q61" s="620">
        <v>839</v>
      </c>
    </row>
    <row r="62" spans="1:17" ht="14.4" customHeight="1" x14ac:dyDescent="0.3">
      <c r="A62" s="615" t="s">
        <v>479</v>
      </c>
      <c r="B62" s="616" t="s">
        <v>3602</v>
      </c>
      <c r="C62" s="616" t="s">
        <v>3592</v>
      </c>
      <c r="D62" s="616" t="s">
        <v>3704</v>
      </c>
      <c r="E62" s="616" t="s">
        <v>3705</v>
      </c>
      <c r="F62" s="619">
        <v>1</v>
      </c>
      <c r="G62" s="619">
        <v>6111</v>
      </c>
      <c r="H62" s="619">
        <v>1</v>
      </c>
      <c r="I62" s="619">
        <v>6111</v>
      </c>
      <c r="J62" s="619">
        <v>1</v>
      </c>
      <c r="K62" s="619">
        <v>6126</v>
      </c>
      <c r="L62" s="619">
        <v>1.0024545900834561</v>
      </c>
      <c r="M62" s="619">
        <v>6126</v>
      </c>
      <c r="N62" s="619">
        <v>1</v>
      </c>
      <c r="O62" s="619">
        <v>6285</v>
      </c>
      <c r="P62" s="640">
        <v>1.0284732449680902</v>
      </c>
      <c r="Q62" s="620">
        <v>6285</v>
      </c>
    </row>
    <row r="63" spans="1:17" ht="14.4" customHeight="1" x14ac:dyDescent="0.3">
      <c r="A63" s="615" t="s">
        <v>479</v>
      </c>
      <c r="B63" s="616" t="s">
        <v>3602</v>
      </c>
      <c r="C63" s="616" t="s">
        <v>3592</v>
      </c>
      <c r="D63" s="616" t="s">
        <v>3706</v>
      </c>
      <c r="E63" s="616" t="s">
        <v>3707</v>
      </c>
      <c r="F63" s="619">
        <v>6</v>
      </c>
      <c r="G63" s="619">
        <v>54390</v>
      </c>
      <c r="H63" s="619">
        <v>1</v>
      </c>
      <c r="I63" s="619">
        <v>9065</v>
      </c>
      <c r="J63" s="619">
        <v>4</v>
      </c>
      <c r="K63" s="619">
        <v>36492</v>
      </c>
      <c r="L63" s="619">
        <v>0.67093215664644235</v>
      </c>
      <c r="M63" s="619">
        <v>9123</v>
      </c>
      <c r="N63" s="619">
        <v>10</v>
      </c>
      <c r="O63" s="619">
        <v>93410</v>
      </c>
      <c r="P63" s="640">
        <v>1.7174112888398603</v>
      </c>
      <c r="Q63" s="620">
        <v>9341</v>
      </c>
    </row>
    <row r="64" spans="1:17" ht="14.4" customHeight="1" x14ac:dyDescent="0.3">
      <c r="A64" s="615" t="s">
        <v>479</v>
      </c>
      <c r="B64" s="616" t="s">
        <v>3602</v>
      </c>
      <c r="C64" s="616" t="s">
        <v>3592</v>
      </c>
      <c r="D64" s="616" t="s">
        <v>3708</v>
      </c>
      <c r="E64" s="616" t="s">
        <v>3709</v>
      </c>
      <c r="F64" s="619">
        <v>4</v>
      </c>
      <c r="G64" s="619">
        <v>1736</v>
      </c>
      <c r="H64" s="619">
        <v>1</v>
      </c>
      <c r="I64" s="619">
        <v>434</v>
      </c>
      <c r="J64" s="619">
        <v>7</v>
      </c>
      <c r="K64" s="619">
        <v>3052</v>
      </c>
      <c r="L64" s="619">
        <v>1.7580645161290323</v>
      </c>
      <c r="M64" s="619">
        <v>436</v>
      </c>
      <c r="N64" s="619"/>
      <c r="O64" s="619"/>
      <c r="P64" s="640"/>
      <c r="Q64" s="620"/>
    </row>
    <row r="65" spans="1:17" ht="14.4" customHeight="1" x14ac:dyDescent="0.3">
      <c r="A65" s="615" t="s">
        <v>479</v>
      </c>
      <c r="B65" s="616" t="s">
        <v>3602</v>
      </c>
      <c r="C65" s="616" t="s">
        <v>3592</v>
      </c>
      <c r="D65" s="616" t="s">
        <v>3710</v>
      </c>
      <c r="E65" s="616" t="s">
        <v>3711</v>
      </c>
      <c r="F65" s="619">
        <v>28</v>
      </c>
      <c r="G65" s="619">
        <v>23770</v>
      </c>
      <c r="H65" s="619">
        <v>1</v>
      </c>
      <c r="I65" s="619">
        <v>848.92857142857144</v>
      </c>
      <c r="J65" s="619">
        <v>13</v>
      </c>
      <c r="K65" s="619">
        <v>11076</v>
      </c>
      <c r="L65" s="619">
        <v>0.46596550273453935</v>
      </c>
      <c r="M65" s="619">
        <v>852</v>
      </c>
      <c r="N65" s="619">
        <v>10</v>
      </c>
      <c r="O65" s="619">
        <v>8650</v>
      </c>
      <c r="P65" s="640">
        <v>0.36390408077408498</v>
      </c>
      <c r="Q65" s="620">
        <v>865</v>
      </c>
    </row>
    <row r="66" spans="1:17" ht="14.4" customHeight="1" x14ac:dyDescent="0.3">
      <c r="A66" s="615" t="s">
        <v>479</v>
      </c>
      <c r="B66" s="616" t="s">
        <v>3602</v>
      </c>
      <c r="C66" s="616" t="s">
        <v>3592</v>
      </c>
      <c r="D66" s="616" t="s">
        <v>3712</v>
      </c>
      <c r="E66" s="616" t="s">
        <v>3713</v>
      </c>
      <c r="F66" s="619">
        <v>10</v>
      </c>
      <c r="G66" s="619">
        <v>34797</v>
      </c>
      <c r="H66" s="619">
        <v>1</v>
      </c>
      <c r="I66" s="619">
        <v>3479.7</v>
      </c>
      <c r="J66" s="619">
        <v>13</v>
      </c>
      <c r="K66" s="619">
        <v>45396</v>
      </c>
      <c r="L66" s="619">
        <v>1.3045952237261833</v>
      </c>
      <c r="M66" s="619">
        <v>3492</v>
      </c>
      <c r="N66" s="619">
        <v>13</v>
      </c>
      <c r="O66" s="619">
        <v>46956</v>
      </c>
      <c r="P66" s="640">
        <v>1.3494266747133374</v>
      </c>
      <c r="Q66" s="620">
        <v>3612</v>
      </c>
    </row>
    <row r="67" spans="1:17" ht="14.4" customHeight="1" x14ac:dyDescent="0.3">
      <c r="A67" s="615" t="s">
        <v>479</v>
      </c>
      <c r="B67" s="616" t="s">
        <v>3602</v>
      </c>
      <c r="C67" s="616" t="s">
        <v>3592</v>
      </c>
      <c r="D67" s="616" t="s">
        <v>3714</v>
      </c>
      <c r="E67" s="616" t="s">
        <v>3715</v>
      </c>
      <c r="F67" s="619"/>
      <c r="G67" s="619"/>
      <c r="H67" s="619"/>
      <c r="I67" s="619"/>
      <c r="J67" s="619"/>
      <c r="K67" s="619"/>
      <c r="L67" s="619"/>
      <c r="M67" s="619"/>
      <c r="N67" s="619">
        <v>1</v>
      </c>
      <c r="O67" s="619">
        <v>0</v>
      </c>
      <c r="P67" s="640"/>
      <c r="Q67" s="620">
        <v>0</v>
      </c>
    </row>
    <row r="68" spans="1:17" ht="14.4" customHeight="1" x14ac:dyDescent="0.3">
      <c r="A68" s="615" t="s">
        <v>479</v>
      </c>
      <c r="B68" s="616" t="s">
        <v>3602</v>
      </c>
      <c r="C68" s="616" t="s">
        <v>3592</v>
      </c>
      <c r="D68" s="616" t="s">
        <v>3716</v>
      </c>
      <c r="E68" s="616" t="s">
        <v>3717</v>
      </c>
      <c r="F68" s="619"/>
      <c r="G68" s="619"/>
      <c r="H68" s="619"/>
      <c r="I68" s="619"/>
      <c r="J68" s="619"/>
      <c r="K68" s="619"/>
      <c r="L68" s="619"/>
      <c r="M68" s="619"/>
      <c r="N68" s="619">
        <v>2</v>
      </c>
      <c r="O68" s="619">
        <v>2130</v>
      </c>
      <c r="P68" s="640"/>
      <c r="Q68" s="620">
        <v>1065</v>
      </c>
    </row>
    <row r="69" spans="1:17" ht="14.4" customHeight="1" x14ac:dyDescent="0.3">
      <c r="A69" s="615" t="s">
        <v>479</v>
      </c>
      <c r="B69" s="616" t="s">
        <v>3602</v>
      </c>
      <c r="C69" s="616" t="s">
        <v>3592</v>
      </c>
      <c r="D69" s="616" t="s">
        <v>3718</v>
      </c>
      <c r="E69" s="616" t="s">
        <v>3719</v>
      </c>
      <c r="F69" s="619">
        <v>2</v>
      </c>
      <c r="G69" s="619">
        <v>7210</v>
      </c>
      <c r="H69" s="619">
        <v>1</v>
      </c>
      <c r="I69" s="619">
        <v>3605</v>
      </c>
      <c r="J69" s="619">
        <v>1</v>
      </c>
      <c r="K69" s="619">
        <v>3620</v>
      </c>
      <c r="L69" s="619">
        <v>0.50208044382801664</v>
      </c>
      <c r="M69" s="619">
        <v>3620</v>
      </c>
      <c r="N69" s="619">
        <v>1</v>
      </c>
      <c r="O69" s="619">
        <v>3741</v>
      </c>
      <c r="P69" s="640">
        <v>0.51886269070735092</v>
      </c>
      <c r="Q69" s="620">
        <v>3741</v>
      </c>
    </row>
    <row r="70" spans="1:17" ht="14.4" customHeight="1" x14ac:dyDescent="0.3">
      <c r="A70" s="615" t="s">
        <v>479</v>
      </c>
      <c r="B70" s="616" t="s">
        <v>3602</v>
      </c>
      <c r="C70" s="616" t="s">
        <v>3592</v>
      </c>
      <c r="D70" s="616" t="s">
        <v>3720</v>
      </c>
      <c r="E70" s="616" t="s">
        <v>3721</v>
      </c>
      <c r="F70" s="619">
        <v>2</v>
      </c>
      <c r="G70" s="619">
        <v>356</v>
      </c>
      <c r="H70" s="619">
        <v>1</v>
      </c>
      <c r="I70" s="619">
        <v>178</v>
      </c>
      <c r="J70" s="619">
        <v>2</v>
      </c>
      <c r="K70" s="619">
        <v>358</v>
      </c>
      <c r="L70" s="619">
        <v>1.0056179775280898</v>
      </c>
      <c r="M70" s="619">
        <v>179</v>
      </c>
      <c r="N70" s="619"/>
      <c r="O70" s="619"/>
      <c r="P70" s="640"/>
      <c r="Q70" s="620"/>
    </row>
    <row r="71" spans="1:17" ht="14.4" customHeight="1" x14ac:dyDescent="0.3">
      <c r="A71" s="615" t="s">
        <v>479</v>
      </c>
      <c r="B71" s="616" t="s">
        <v>3602</v>
      </c>
      <c r="C71" s="616" t="s">
        <v>3592</v>
      </c>
      <c r="D71" s="616" t="s">
        <v>562</v>
      </c>
      <c r="E71" s="616" t="s">
        <v>3722</v>
      </c>
      <c r="F71" s="619"/>
      <c r="G71" s="619"/>
      <c r="H71" s="619"/>
      <c r="I71" s="619"/>
      <c r="J71" s="619">
        <v>1</v>
      </c>
      <c r="K71" s="619">
        <v>1912</v>
      </c>
      <c r="L71" s="619"/>
      <c r="M71" s="619">
        <v>1912</v>
      </c>
      <c r="N71" s="619">
        <v>3</v>
      </c>
      <c r="O71" s="619">
        <v>5952</v>
      </c>
      <c r="P71" s="640"/>
      <c r="Q71" s="620">
        <v>1984</v>
      </c>
    </row>
    <row r="72" spans="1:17" ht="14.4" customHeight="1" x14ac:dyDescent="0.3">
      <c r="A72" s="615" t="s">
        <v>479</v>
      </c>
      <c r="B72" s="616" t="s">
        <v>3602</v>
      </c>
      <c r="C72" s="616" t="s">
        <v>3592</v>
      </c>
      <c r="D72" s="616" t="s">
        <v>3723</v>
      </c>
      <c r="E72" s="616" t="s">
        <v>3724</v>
      </c>
      <c r="F72" s="619"/>
      <c r="G72" s="619"/>
      <c r="H72" s="619"/>
      <c r="I72" s="619"/>
      <c r="J72" s="619">
        <v>4</v>
      </c>
      <c r="K72" s="619">
        <v>2540</v>
      </c>
      <c r="L72" s="619"/>
      <c r="M72" s="619">
        <v>635</v>
      </c>
      <c r="N72" s="619"/>
      <c r="O72" s="619"/>
      <c r="P72" s="640"/>
      <c r="Q72" s="620"/>
    </row>
    <row r="73" spans="1:17" ht="14.4" customHeight="1" x14ac:dyDescent="0.3">
      <c r="A73" s="615" t="s">
        <v>479</v>
      </c>
      <c r="B73" s="616" t="s">
        <v>3602</v>
      </c>
      <c r="C73" s="616" t="s">
        <v>3592</v>
      </c>
      <c r="D73" s="616" t="s">
        <v>3725</v>
      </c>
      <c r="E73" s="616" t="s">
        <v>3726</v>
      </c>
      <c r="F73" s="619"/>
      <c r="G73" s="619"/>
      <c r="H73" s="619"/>
      <c r="I73" s="619"/>
      <c r="J73" s="619"/>
      <c r="K73" s="619"/>
      <c r="L73" s="619"/>
      <c r="M73" s="619"/>
      <c r="N73" s="619">
        <v>0</v>
      </c>
      <c r="O73" s="619">
        <v>0</v>
      </c>
      <c r="P73" s="640"/>
      <c r="Q73" s="620"/>
    </row>
    <row r="74" spans="1:17" ht="14.4" customHeight="1" x14ac:dyDescent="0.3">
      <c r="A74" s="615" t="s">
        <v>479</v>
      </c>
      <c r="B74" s="616" t="s">
        <v>3602</v>
      </c>
      <c r="C74" s="616" t="s">
        <v>3592</v>
      </c>
      <c r="D74" s="616" t="s">
        <v>3727</v>
      </c>
      <c r="E74" s="616" t="s">
        <v>3728</v>
      </c>
      <c r="F74" s="619">
        <v>3</v>
      </c>
      <c r="G74" s="619">
        <v>46308</v>
      </c>
      <c r="H74" s="619">
        <v>1</v>
      </c>
      <c r="I74" s="619">
        <v>15436</v>
      </c>
      <c r="J74" s="619">
        <v>1</v>
      </c>
      <c r="K74" s="619">
        <v>15515</v>
      </c>
      <c r="L74" s="619">
        <v>0.3350393020644381</v>
      </c>
      <c r="M74" s="619">
        <v>15515</v>
      </c>
      <c r="N74" s="619">
        <v>8</v>
      </c>
      <c r="O74" s="619">
        <v>128600</v>
      </c>
      <c r="P74" s="640">
        <v>2.7770579597477756</v>
      </c>
      <c r="Q74" s="620">
        <v>16075</v>
      </c>
    </row>
    <row r="75" spans="1:17" ht="14.4" customHeight="1" x14ac:dyDescent="0.3">
      <c r="A75" s="615" t="s">
        <v>479</v>
      </c>
      <c r="B75" s="616" t="s">
        <v>3602</v>
      </c>
      <c r="C75" s="616" t="s">
        <v>3592</v>
      </c>
      <c r="D75" s="616" t="s">
        <v>3729</v>
      </c>
      <c r="E75" s="616" t="s">
        <v>3730</v>
      </c>
      <c r="F75" s="619">
        <v>1</v>
      </c>
      <c r="G75" s="619">
        <v>0</v>
      </c>
      <c r="H75" s="619"/>
      <c r="I75" s="619">
        <v>0</v>
      </c>
      <c r="J75" s="619">
        <v>2</v>
      </c>
      <c r="K75" s="619">
        <v>0</v>
      </c>
      <c r="L75" s="619"/>
      <c r="M75" s="619">
        <v>0</v>
      </c>
      <c r="N75" s="619">
        <v>6</v>
      </c>
      <c r="O75" s="619">
        <v>0</v>
      </c>
      <c r="P75" s="640"/>
      <c r="Q75" s="620">
        <v>0</v>
      </c>
    </row>
    <row r="76" spans="1:17" ht="14.4" customHeight="1" x14ac:dyDescent="0.3">
      <c r="A76" s="615" t="s">
        <v>479</v>
      </c>
      <c r="B76" s="616" t="s">
        <v>3602</v>
      </c>
      <c r="C76" s="616" t="s">
        <v>3592</v>
      </c>
      <c r="D76" s="616" t="s">
        <v>3731</v>
      </c>
      <c r="E76" s="616" t="s">
        <v>3732</v>
      </c>
      <c r="F76" s="619">
        <v>1</v>
      </c>
      <c r="G76" s="619">
        <v>355</v>
      </c>
      <c r="H76" s="619">
        <v>1</v>
      </c>
      <c r="I76" s="619">
        <v>355</v>
      </c>
      <c r="J76" s="619"/>
      <c r="K76" s="619"/>
      <c r="L76" s="619"/>
      <c r="M76" s="619"/>
      <c r="N76" s="619">
        <v>1</v>
      </c>
      <c r="O76" s="619">
        <v>364</v>
      </c>
      <c r="P76" s="640">
        <v>1.0253521126760563</v>
      </c>
      <c r="Q76" s="620">
        <v>364</v>
      </c>
    </row>
    <row r="77" spans="1:17" ht="14.4" customHeight="1" x14ac:dyDescent="0.3">
      <c r="A77" s="615" t="s">
        <v>479</v>
      </c>
      <c r="B77" s="616" t="s">
        <v>3602</v>
      </c>
      <c r="C77" s="616" t="s">
        <v>3592</v>
      </c>
      <c r="D77" s="616" t="s">
        <v>3733</v>
      </c>
      <c r="E77" s="616" t="s">
        <v>3734</v>
      </c>
      <c r="F77" s="619"/>
      <c r="G77" s="619"/>
      <c r="H77" s="619"/>
      <c r="I77" s="619"/>
      <c r="J77" s="619"/>
      <c r="K77" s="619"/>
      <c r="L77" s="619"/>
      <c r="M77" s="619"/>
      <c r="N77" s="619">
        <v>1</v>
      </c>
      <c r="O77" s="619">
        <v>0</v>
      </c>
      <c r="P77" s="640"/>
      <c r="Q77" s="620">
        <v>0</v>
      </c>
    </row>
    <row r="78" spans="1:17" ht="14.4" customHeight="1" x14ac:dyDescent="0.3">
      <c r="A78" s="615" t="s">
        <v>479</v>
      </c>
      <c r="B78" s="616" t="s">
        <v>3602</v>
      </c>
      <c r="C78" s="616" t="s">
        <v>3592</v>
      </c>
      <c r="D78" s="616" t="s">
        <v>3735</v>
      </c>
      <c r="E78" s="616" t="s">
        <v>3736</v>
      </c>
      <c r="F78" s="619">
        <v>1</v>
      </c>
      <c r="G78" s="619">
        <v>2151</v>
      </c>
      <c r="H78" s="619">
        <v>1</v>
      </c>
      <c r="I78" s="619">
        <v>2151</v>
      </c>
      <c r="J78" s="619"/>
      <c r="K78" s="619"/>
      <c r="L78" s="619"/>
      <c r="M78" s="619"/>
      <c r="N78" s="619"/>
      <c r="O78" s="619"/>
      <c r="P78" s="640"/>
      <c r="Q78" s="620"/>
    </row>
    <row r="79" spans="1:17" ht="14.4" customHeight="1" x14ac:dyDescent="0.3">
      <c r="A79" s="615" t="s">
        <v>479</v>
      </c>
      <c r="B79" s="616" t="s">
        <v>3602</v>
      </c>
      <c r="C79" s="616" t="s">
        <v>3592</v>
      </c>
      <c r="D79" s="616" t="s">
        <v>3737</v>
      </c>
      <c r="E79" s="616" t="s">
        <v>3738</v>
      </c>
      <c r="F79" s="619"/>
      <c r="G79" s="619"/>
      <c r="H79" s="619"/>
      <c r="I79" s="619"/>
      <c r="J79" s="619"/>
      <c r="K79" s="619"/>
      <c r="L79" s="619"/>
      <c r="M79" s="619"/>
      <c r="N79" s="619">
        <v>1</v>
      </c>
      <c r="O79" s="619">
        <v>10703</v>
      </c>
      <c r="P79" s="640"/>
      <c r="Q79" s="620">
        <v>10703</v>
      </c>
    </row>
    <row r="80" spans="1:17" ht="14.4" customHeight="1" x14ac:dyDescent="0.3">
      <c r="A80" s="615" t="s">
        <v>479</v>
      </c>
      <c r="B80" s="616" t="s">
        <v>3602</v>
      </c>
      <c r="C80" s="616" t="s">
        <v>3592</v>
      </c>
      <c r="D80" s="616" t="s">
        <v>3739</v>
      </c>
      <c r="E80" s="616" t="s">
        <v>3740</v>
      </c>
      <c r="F80" s="619">
        <v>1</v>
      </c>
      <c r="G80" s="619">
        <v>7159</v>
      </c>
      <c r="H80" s="619">
        <v>1</v>
      </c>
      <c r="I80" s="619">
        <v>7159</v>
      </c>
      <c r="J80" s="619"/>
      <c r="K80" s="619"/>
      <c r="L80" s="619"/>
      <c r="M80" s="619"/>
      <c r="N80" s="619">
        <v>1</v>
      </c>
      <c r="O80" s="619">
        <v>7472</v>
      </c>
      <c r="P80" s="640">
        <v>1.0437211901103507</v>
      </c>
      <c r="Q80" s="620">
        <v>7472</v>
      </c>
    </row>
    <row r="81" spans="1:17" ht="14.4" customHeight="1" x14ac:dyDescent="0.3">
      <c r="A81" s="615" t="s">
        <v>479</v>
      </c>
      <c r="B81" s="616" t="s">
        <v>3602</v>
      </c>
      <c r="C81" s="616" t="s">
        <v>3592</v>
      </c>
      <c r="D81" s="616" t="s">
        <v>3741</v>
      </c>
      <c r="E81" s="616" t="s">
        <v>3742</v>
      </c>
      <c r="F81" s="619"/>
      <c r="G81" s="619"/>
      <c r="H81" s="619"/>
      <c r="I81" s="619"/>
      <c r="J81" s="619">
        <v>1</v>
      </c>
      <c r="K81" s="619">
        <v>6852</v>
      </c>
      <c r="L81" s="619"/>
      <c r="M81" s="619">
        <v>6852</v>
      </c>
      <c r="N81" s="619">
        <v>1</v>
      </c>
      <c r="O81" s="619">
        <v>6998</v>
      </c>
      <c r="P81" s="640"/>
      <c r="Q81" s="620">
        <v>6998</v>
      </c>
    </row>
    <row r="82" spans="1:17" ht="14.4" customHeight="1" x14ac:dyDescent="0.3">
      <c r="A82" s="615" t="s">
        <v>479</v>
      </c>
      <c r="B82" s="616" t="s">
        <v>3602</v>
      </c>
      <c r="C82" s="616" t="s">
        <v>3592</v>
      </c>
      <c r="D82" s="616" t="s">
        <v>3743</v>
      </c>
      <c r="E82" s="616" t="s">
        <v>3744</v>
      </c>
      <c r="F82" s="619">
        <v>7</v>
      </c>
      <c r="G82" s="619">
        <v>0</v>
      </c>
      <c r="H82" s="619"/>
      <c r="I82" s="619">
        <v>0</v>
      </c>
      <c r="J82" s="619">
        <v>9</v>
      </c>
      <c r="K82" s="619">
        <v>0</v>
      </c>
      <c r="L82" s="619"/>
      <c r="M82" s="619">
        <v>0</v>
      </c>
      <c r="N82" s="619">
        <v>25</v>
      </c>
      <c r="O82" s="619">
        <v>0</v>
      </c>
      <c r="P82" s="640"/>
      <c r="Q82" s="620">
        <v>0</v>
      </c>
    </row>
    <row r="83" spans="1:17" ht="14.4" customHeight="1" x14ac:dyDescent="0.3">
      <c r="A83" s="615" t="s">
        <v>479</v>
      </c>
      <c r="B83" s="616" t="s">
        <v>3602</v>
      </c>
      <c r="C83" s="616" t="s">
        <v>3592</v>
      </c>
      <c r="D83" s="616" t="s">
        <v>3745</v>
      </c>
      <c r="E83" s="616" t="s">
        <v>3746</v>
      </c>
      <c r="F83" s="619">
        <v>2</v>
      </c>
      <c r="G83" s="619">
        <v>0</v>
      </c>
      <c r="H83" s="619"/>
      <c r="I83" s="619">
        <v>0</v>
      </c>
      <c r="J83" s="619"/>
      <c r="K83" s="619"/>
      <c r="L83" s="619"/>
      <c r="M83" s="619"/>
      <c r="N83" s="619"/>
      <c r="O83" s="619"/>
      <c r="P83" s="640"/>
      <c r="Q83" s="620"/>
    </row>
    <row r="84" spans="1:17" ht="14.4" customHeight="1" x14ac:dyDescent="0.3">
      <c r="A84" s="615" t="s">
        <v>479</v>
      </c>
      <c r="B84" s="616" t="s">
        <v>3602</v>
      </c>
      <c r="C84" s="616" t="s">
        <v>3592</v>
      </c>
      <c r="D84" s="616" t="s">
        <v>3747</v>
      </c>
      <c r="E84" s="616" t="s">
        <v>3748</v>
      </c>
      <c r="F84" s="619"/>
      <c r="G84" s="619"/>
      <c r="H84" s="619"/>
      <c r="I84" s="619"/>
      <c r="J84" s="619">
        <v>1</v>
      </c>
      <c r="K84" s="619">
        <v>6118</v>
      </c>
      <c r="L84" s="619"/>
      <c r="M84" s="619">
        <v>6118</v>
      </c>
      <c r="N84" s="619">
        <v>2</v>
      </c>
      <c r="O84" s="619">
        <v>12600</v>
      </c>
      <c r="P84" s="640"/>
      <c r="Q84" s="620">
        <v>6300</v>
      </c>
    </row>
    <row r="85" spans="1:17" ht="14.4" customHeight="1" x14ac:dyDescent="0.3">
      <c r="A85" s="615" t="s">
        <v>479</v>
      </c>
      <c r="B85" s="616" t="s">
        <v>3602</v>
      </c>
      <c r="C85" s="616" t="s">
        <v>3592</v>
      </c>
      <c r="D85" s="616" t="s">
        <v>3749</v>
      </c>
      <c r="E85" s="616" t="s">
        <v>3750</v>
      </c>
      <c r="F85" s="619">
        <v>1</v>
      </c>
      <c r="G85" s="619">
        <v>4340</v>
      </c>
      <c r="H85" s="619">
        <v>1</v>
      </c>
      <c r="I85" s="619">
        <v>4340</v>
      </c>
      <c r="J85" s="619">
        <v>1</v>
      </c>
      <c r="K85" s="619">
        <v>4389</v>
      </c>
      <c r="L85" s="619">
        <v>1.0112903225806451</v>
      </c>
      <c r="M85" s="619">
        <v>4389</v>
      </c>
      <c r="N85" s="619">
        <v>3</v>
      </c>
      <c r="O85" s="619">
        <v>13710</v>
      </c>
      <c r="P85" s="640">
        <v>3.1589861751152073</v>
      </c>
      <c r="Q85" s="620">
        <v>4570</v>
      </c>
    </row>
    <row r="86" spans="1:17" ht="14.4" customHeight="1" x14ac:dyDescent="0.3">
      <c r="A86" s="615" t="s">
        <v>479</v>
      </c>
      <c r="B86" s="616" t="s">
        <v>3602</v>
      </c>
      <c r="C86" s="616" t="s">
        <v>3592</v>
      </c>
      <c r="D86" s="616" t="s">
        <v>3751</v>
      </c>
      <c r="E86" s="616" t="s">
        <v>3752</v>
      </c>
      <c r="F86" s="619"/>
      <c r="G86" s="619"/>
      <c r="H86" s="619"/>
      <c r="I86" s="619"/>
      <c r="J86" s="619">
        <v>1</v>
      </c>
      <c r="K86" s="619">
        <v>0</v>
      </c>
      <c r="L86" s="619"/>
      <c r="M86" s="619">
        <v>0</v>
      </c>
      <c r="N86" s="619">
        <v>1</v>
      </c>
      <c r="O86" s="619">
        <v>0</v>
      </c>
      <c r="P86" s="640"/>
      <c r="Q86" s="620">
        <v>0</v>
      </c>
    </row>
    <row r="87" spans="1:17" ht="14.4" customHeight="1" x14ac:dyDescent="0.3">
      <c r="A87" s="615" t="s">
        <v>479</v>
      </c>
      <c r="B87" s="616" t="s">
        <v>3602</v>
      </c>
      <c r="C87" s="616" t="s">
        <v>3592</v>
      </c>
      <c r="D87" s="616" t="s">
        <v>3753</v>
      </c>
      <c r="E87" s="616" t="s">
        <v>3754</v>
      </c>
      <c r="F87" s="619">
        <v>20</v>
      </c>
      <c r="G87" s="619">
        <v>64324</v>
      </c>
      <c r="H87" s="619">
        <v>1</v>
      </c>
      <c r="I87" s="619">
        <v>3216.2</v>
      </c>
      <c r="J87" s="619">
        <v>16</v>
      </c>
      <c r="K87" s="619">
        <v>51600</v>
      </c>
      <c r="L87" s="619">
        <v>0.80218891859958963</v>
      </c>
      <c r="M87" s="619">
        <v>3225</v>
      </c>
      <c r="N87" s="619">
        <v>16</v>
      </c>
      <c r="O87" s="619">
        <v>52752</v>
      </c>
      <c r="P87" s="640">
        <v>0.82009825259623159</v>
      </c>
      <c r="Q87" s="620">
        <v>3297</v>
      </c>
    </row>
    <row r="88" spans="1:17" ht="14.4" customHeight="1" x14ac:dyDescent="0.3">
      <c r="A88" s="615" t="s">
        <v>479</v>
      </c>
      <c r="B88" s="616" t="s">
        <v>3602</v>
      </c>
      <c r="C88" s="616" t="s">
        <v>3592</v>
      </c>
      <c r="D88" s="616" t="s">
        <v>3755</v>
      </c>
      <c r="E88" s="616" t="s">
        <v>3756</v>
      </c>
      <c r="F88" s="619"/>
      <c r="G88" s="619"/>
      <c r="H88" s="619"/>
      <c r="I88" s="619"/>
      <c r="J88" s="619">
        <v>1</v>
      </c>
      <c r="K88" s="619">
        <v>8924</v>
      </c>
      <c r="L88" s="619"/>
      <c r="M88" s="619">
        <v>8924</v>
      </c>
      <c r="N88" s="619"/>
      <c r="O88" s="619"/>
      <c r="P88" s="640"/>
      <c r="Q88" s="620"/>
    </row>
    <row r="89" spans="1:17" ht="14.4" customHeight="1" x14ac:dyDescent="0.3">
      <c r="A89" s="615" t="s">
        <v>479</v>
      </c>
      <c r="B89" s="616" t="s">
        <v>3602</v>
      </c>
      <c r="C89" s="616" t="s">
        <v>3592</v>
      </c>
      <c r="D89" s="616" t="s">
        <v>3757</v>
      </c>
      <c r="E89" s="616" t="s">
        <v>3758</v>
      </c>
      <c r="F89" s="619"/>
      <c r="G89" s="619"/>
      <c r="H89" s="619"/>
      <c r="I89" s="619"/>
      <c r="J89" s="619">
        <v>1</v>
      </c>
      <c r="K89" s="619">
        <v>0</v>
      </c>
      <c r="L89" s="619"/>
      <c r="M89" s="619">
        <v>0</v>
      </c>
      <c r="N89" s="619">
        <v>3</v>
      </c>
      <c r="O89" s="619">
        <v>0</v>
      </c>
      <c r="P89" s="640"/>
      <c r="Q89" s="620">
        <v>0</v>
      </c>
    </row>
    <row r="90" spans="1:17" ht="14.4" customHeight="1" x14ac:dyDescent="0.3">
      <c r="A90" s="615" t="s">
        <v>479</v>
      </c>
      <c r="B90" s="616" t="s">
        <v>3602</v>
      </c>
      <c r="C90" s="616" t="s">
        <v>3592</v>
      </c>
      <c r="D90" s="616" t="s">
        <v>3759</v>
      </c>
      <c r="E90" s="616" t="s">
        <v>3760</v>
      </c>
      <c r="F90" s="619">
        <v>5</v>
      </c>
      <c r="G90" s="619">
        <v>0</v>
      </c>
      <c r="H90" s="619"/>
      <c r="I90" s="619">
        <v>0</v>
      </c>
      <c r="J90" s="619">
        <v>6</v>
      </c>
      <c r="K90" s="619">
        <v>0</v>
      </c>
      <c r="L90" s="619"/>
      <c r="M90" s="619">
        <v>0</v>
      </c>
      <c r="N90" s="619">
        <v>13</v>
      </c>
      <c r="O90" s="619">
        <v>0</v>
      </c>
      <c r="P90" s="640"/>
      <c r="Q90" s="620">
        <v>0</v>
      </c>
    </row>
    <row r="91" spans="1:17" ht="14.4" customHeight="1" x14ac:dyDescent="0.3">
      <c r="A91" s="615" t="s">
        <v>479</v>
      </c>
      <c r="B91" s="616" t="s">
        <v>3602</v>
      </c>
      <c r="C91" s="616" t="s">
        <v>3592</v>
      </c>
      <c r="D91" s="616" t="s">
        <v>3761</v>
      </c>
      <c r="E91" s="616" t="s">
        <v>3762</v>
      </c>
      <c r="F91" s="619">
        <v>1</v>
      </c>
      <c r="G91" s="619">
        <v>0</v>
      </c>
      <c r="H91" s="619"/>
      <c r="I91" s="619">
        <v>0</v>
      </c>
      <c r="J91" s="619">
        <v>1</v>
      </c>
      <c r="K91" s="619">
        <v>0</v>
      </c>
      <c r="L91" s="619"/>
      <c r="M91" s="619">
        <v>0</v>
      </c>
      <c r="N91" s="619">
        <v>3</v>
      </c>
      <c r="O91" s="619">
        <v>0</v>
      </c>
      <c r="P91" s="640"/>
      <c r="Q91" s="620">
        <v>0</v>
      </c>
    </row>
    <row r="92" spans="1:17" ht="14.4" customHeight="1" x14ac:dyDescent="0.3">
      <c r="A92" s="615" t="s">
        <v>479</v>
      </c>
      <c r="B92" s="616" t="s">
        <v>3602</v>
      </c>
      <c r="C92" s="616" t="s">
        <v>3592</v>
      </c>
      <c r="D92" s="616" t="s">
        <v>3763</v>
      </c>
      <c r="E92" s="616" t="s">
        <v>3764</v>
      </c>
      <c r="F92" s="619"/>
      <c r="G92" s="619"/>
      <c r="H92" s="619"/>
      <c r="I92" s="619"/>
      <c r="J92" s="619"/>
      <c r="K92" s="619"/>
      <c r="L92" s="619"/>
      <c r="M92" s="619"/>
      <c r="N92" s="619">
        <v>1</v>
      </c>
      <c r="O92" s="619">
        <v>5432</v>
      </c>
      <c r="P92" s="640"/>
      <c r="Q92" s="620">
        <v>5432</v>
      </c>
    </row>
    <row r="93" spans="1:17" ht="14.4" customHeight="1" x14ac:dyDescent="0.3">
      <c r="A93" s="615" t="s">
        <v>479</v>
      </c>
      <c r="B93" s="616" t="s">
        <v>3602</v>
      </c>
      <c r="C93" s="616" t="s">
        <v>3592</v>
      </c>
      <c r="D93" s="616" t="s">
        <v>3765</v>
      </c>
      <c r="E93" s="616" t="s">
        <v>3766</v>
      </c>
      <c r="F93" s="619">
        <v>1</v>
      </c>
      <c r="G93" s="619">
        <v>3519</v>
      </c>
      <c r="H93" s="619">
        <v>1</v>
      </c>
      <c r="I93" s="619">
        <v>3519</v>
      </c>
      <c r="J93" s="619">
        <v>1</v>
      </c>
      <c r="K93" s="619">
        <v>3528</v>
      </c>
      <c r="L93" s="619">
        <v>1.0025575447570332</v>
      </c>
      <c r="M93" s="619">
        <v>3528</v>
      </c>
      <c r="N93" s="619"/>
      <c r="O93" s="619"/>
      <c r="P93" s="640"/>
      <c r="Q93" s="620"/>
    </row>
    <row r="94" spans="1:17" ht="14.4" customHeight="1" x14ac:dyDescent="0.3">
      <c r="A94" s="615" t="s">
        <v>479</v>
      </c>
      <c r="B94" s="616" t="s">
        <v>3602</v>
      </c>
      <c r="C94" s="616" t="s">
        <v>3592</v>
      </c>
      <c r="D94" s="616" t="s">
        <v>3767</v>
      </c>
      <c r="E94" s="616" t="s">
        <v>3768</v>
      </c>
      <c r="F94" s="619">
        <v>1</v>
      </c>
      <c r="G94" s="619">
        <v>2445</v>
      </c>
      <c r="H94" s="619">
        <v>1</v>
      </c>
      <c r="I94" s="619">
        <v>2445</v>
      </c>
      <c r="J94" s="619"/>
      <c r="K94" s="619"/>
      <c r="L94" s="619"/>
      <c r="M94" s="619"/>
      <c r="N94" s="619">
        <v>1</v>
      </c>
      <c r="O94" s="619">
        <v>2537</v>
      </c>
      <c r="P94" s="640">
        <v>1.0376278118609408</v>
      </c>
      <c r="Q94" s="620">
        <v>2537</v>
      </c>
    </row>
    <row r="95" spans="1:17" ht="14.4" customHeight="1" x14ac:dyDescent="0.3">
      <c r="A95" s="615" t="s">
        <v>479</v>
      </c>
      <c r="B95" s="616" t="s">
        <v>3602</v>
      </c>
      <c r="C95" s="616" t="s">
        <v>3592</v>
      </c>
      <c r="D95" s="616" t="s">
        <v>3769</v>
      </c>
      <c r="E95" s="616" t="s">
        <v>3770</v>
      </c>
      <c r="F95" s="619">
        <v>1</v>
      </c>
      <c r="G95" s="619">
        <v>8132</v>
      </c>
      <c r="H95" s="619">
        <v>1</v>
      </c>
      <c r="I95" s="619">
        <v>8132</v>
      </c>
      <c r="J95" s="619"/>
      <c r="K95" s="619"/>
      <c r="L95" s="619"/>
      <c r="M95" s="619"/>
      <c r="N95" s="619">
        <v>3</v>
      </c>
      <c r="O95" s="619">
        <v>25296</v>
      </c>
      <c r="P95" s="640">
        <v>3.1106738809640926</v>
      </c>
      <c r="Q95" s="620">
        <v>8432</v>
      </c>
    </row>
    <row r="96" spans="1:17" ht="14.4" customHeight="1" x14ac:dyDescent="0.3">
      <c r="A96" s="615" t="s">
        <v>479</v>
      </c>
      <c r="B96" s="616" t="s">
        <v>3602</v>
      </c>
      <c r="C96" s="616" t="s">
        <v>3592</v>
      </c>
      <c r="D96" s="616" t="s">
        <v>3771</v>
      </c>
      <c r="E96" s="616" t="s">
        <v>3772</v>
      </c>
      <c r="F96" s="619"/>
      <c r="G96" s="619"/>
      <c r="H96" s="619"/>
      <c r="I96" s="619"/>
      <c r="J96" s="619"/>
      <c r="K96" s="619"/>
      <c r="L96" s="619"/>
      <c r="M96" s="619"/>
      <c r="N96" s="619">
        <v>2</v>
      </c>
      <c r="O96" s="619">
        <v>0</v>
      </c>
      <c r="P96" s="640"/>
      <c r="Q96" s="620">
        <v>0</v>
      </c>
    </row>
    <row r="97" spans="1:17" ht="14.4" customHeight="1" x14ac:dyDescent="0.3">
      <c r="A97" s="615" t="s">
        <v>479</v>
      </c>
      <c r="B97" s="616" t="s">
        <v>3602</v>
      </c>
      <c r="C97" s="616" t="s">
        <v>3592</v>
      </c>
      <c r="D97" s="616" t="s">
        <v>3773</v>
      </c>
      <c r="E97" s="616" t="s">
        <v>3774</v>
      </c>
      <c r="F97" s="619"/>
      <c r="G97" s="619"/>
      <c r="H97" s="619"/>
      <c r="I97" s="619"/>
      <c r="J97" s="619">
        <v>1</v>
      </c>
      <c r="K97" s="619">
        <v>5589</v>
      </c>
      <c r="L97" s="619"/>
      <c r="M97" s="619">
        <v>5589</v>
      </c>
      <c r="N97" s="619"/>
      <c r="O97" s="619"/>
      <c r="P97" s="640"/>
      <c r="Q97" s="620"/>
    </row>
    <row r="98" spans="1:17" ht="14.4" customHeight="1" x14ac:dyDescent="0.3">
      <c r="A98" s="615" t="s">
        <v>479</v>
      </c>
      <c r="B98" s="616" t="s">
        <v>3602</v>
      </c>
      <c r="C98" s="616" t="s">
        <v>3592</v>
      </c>
      <c r="D98" s="616" t="s">
        <v>3775</v>
      </c>
      <c r="E98" s="616" t="s">
        <v>3776</v>
      </c>
      <c r="F98" s="619"/>
      <c r="G98" s="619"/>
      <c r="H98" s="619"/>
      <c r="I98" s="619"/>
      <c r="J98" s="619">
        <v>1</v>
      </c>
      <c r="K98" s="619">
        <v>3569</v>
      </c>
      <c r="L98" s="619"/>
      <c r="M98" s="619">
        <v>3569</v>
      </c>
      <c r="N98" s="619"/>
      <c r="O98" s="619"/>
      <c r="P98" s="640"/>
      <c r="Q98" s="620"/>
    </row>
    <row r="99" spans="1:17" ht="14.4" customHeight="1" x14ac:dyDescent="0.3">
      <c r="A99" s="615" t="s">
        <v>479</v>
      </c>
      <c r="B99" s="616" t="s">
        <v>3602</v>
      </c>
      <c r="C99" s="616" t="s">
        <v>3592</v>
      </c>
      <c r="D99" s="616" t="s">
        <v>3777</v>
      </c>
      <c r="E99" s="616" t="s">
        <v>3778</v>
      </c>
      <c r="F99" s="619">
        <v>2</v>
      </c>
      <c r="G99" s="619">
        <v>9314</v>
      </c>
      <c r="H99" s="619">
        <v>1</v>
      </c>
      <c r="I99" s="619">
        <v>4657</v>
      </c>
      <c r="J99" s="619">
        <v>8</v>
      </c>
      <c r="K99" s="619">
        <v>37400</v>
      </c>
      <c r="L99" s="619">
        <v>4.0154605969508266</v>
      </c>
      <c r="M99" s="619">
        <v>4675</v>
      </c>
      <c r="N99" s="619">
        <v>15</v>
      </c>
      <c r="O99" s="619">
        <v>70920</v>
      </c>
      <c r="P99" s="640">
        <v>7.6143439982821555</v>
      </c>
      <c r="Q99" s="620">
        <v>4728</v>
      </c>
    </row>
    <row r="100" spans="1:17" ht="14.4" customHeight="1" x14ac:dyDescent="0.3">
      <c r="A100" s="615" t="s">
        <v>479</v>
      </c>
      <c r="B100" s="616" t="s">
        <v>3602</v>
      </c>
      <c r="C100" s="616" t="s">
        <v>3592</v>
      </c>
      <c r="D100" s="616" t="s">
        <v>3779</v>
      </c>
      <c r="E100" s="616" t="s">
        <v>3780</v>
      </c>
      <c r="F100" s="619">
        <v>4</v>
      </c>
      <c r="G100" s="619">
        <v>18171</v>
      </c>
      <c r="H100" s="619">
        <v>1</v>
      </c>
      <c r="I100" s="619">
        <v>4542.75</v>
      </c>
      <c r="J100" s="619">
        <v>4</v>
      </c>
      <c r="K100" s="619">
        <v>18228</v>
      </c>
      <c r="L100" s="619">
        <v>1.0031368664355291</v>
      </c>
      <c r="M100" s="619">
        <v>4557</v>
      </c>
      <c r="N100" s="619">
        <v>3</v>
      </c>
      <c r="O100" s="619">
        <v>13998</v>
      </c>
      <c r="P100" s="640">
        <v>0.77034835727257722</v>
      </c>
      <c r="Q100" s="620">
        <v>4666</v>
      </c>
    </row>
    <row r="101" spans="1:17" ht="14.4" customHeight="1" x14ac:dyDescent="0.3">
      <c r="A101" s="615" t="s">
        <v>479</v>
      </c>
      <c r="B101" s="616" t="s">
        <v>3602</v>
      </c>
      <c r="C101" s="616" t="s">
        <v>3592</v>
      </c>
      <c r="D101" s="616" t="s">
        <v>3781</v>
      </c>
      <c r="E101" s="616" t="s">
        <v>3782</v>
      </c>
      <c r="F101" s="619">
        <v>1</v>
      </c>
      <c r="G101" s="619">
        <v>11811</v>
      </c>
      <c r="H101" s="619">
        <v>1</v>
      </c>
      <c r="I101" s="619">
        <v>11811</v>
      </c>
      <c r="J101" s="619">
        <v>1</v>
      </c>
      <c r="K101" s="619">
        <v>11958</v>
      </c>
      <c r="L101" s="619">
        <v>1.0124460248920497</v>
      </c>
      <c r="M101" s="619">
        <v>11958</v>
      </c>
      <c r="N101" s="619"/>
      <c r="O101" s="619"/>
      <c r="P101" s="640"/>
      <c r="Q101" s="620"/>
    </row>
    <row r="102" spans="1:17" ht="14.4" customHeight="1" x14ac:dyDescent="0.3">
      <c r="A102" s="615" t="s">
        <v>479</v>
      </c>
      <c r="B102" s="616" t="s">
        <v>3602</v>
      </c>
      <c r="C102" s="616" t="s">
        <v>3592</v>
      </c>
      <c r="D102" s="616" t="s">
        <v>3783</v>
      </c>
      <c r="E102" s="616" t="s">
        <v>3784</v>
      </c>
      <c r="F102" s="619">
        <v>3</v>
      </c>
      <c r="G102" s="619">
        <v>7035</v>
      </c>
      <c r="H102" s="619">
        <v>1</v>
      </c>
      <c r="I102" s="619">
        <v>2345</v>
      </c>
      <c r="J102" s="619"/>
      <c r="K102" s="619"/>
      <c r="L102" s="619"/>
      <c r="M102" s="619"/>
      <c r="N102" s="619"/>
      <c r="O102" s="619"/>
      <c r="P102" s="640"/>
      <c r="Q102" s="620"/>
    </row>
    <row r="103" spans="1:17" ht="14.4" customHeight="1" x14ac:dyDescent="0.3">
      <c r="A103" s="615" t="s">
        <v>479</v>
      </c>
      <c r="B103" s="616" t="s">
        <v>3602</v>
      </c>
      <c r="C103" s="616" t="s">
        <v>3592</v>
      </c>
      <c r="D103" s="616" t="s">
        <v>3785</v>
      </c>
      <c r="E103" s="616" t="s">
        <v>3786</v>
      </c>
      <c r="F103" s="619">
        <v>1</v>
      </c>
      <c r="G103" s="619">
        <v>6105</v>
      </c>
      <c r="H103" s="619">
        <v>1</v>
      </c>
      <c r="I103" s="619">
        <v>6105</v>
      </c>
      <c r="J103" s="619"/>
      <c r="K103" s="619"/>
      <c r="L103" s="619"/>
      <c r="M103" s="619"/>
      <c r="N103" s="619"/>
      <c r="O103" s="619"/>
      <c r="P103" s="640"/>
      <c r="Q103" s="620"/>
    </row>
    <row r="104" spans="1:17" ht="14.4" customHeight="1" x14ac:dyDescent="0.3">
      <c r="A104" s="615" t="s">
        <v>479</v>
      </c>
      <c r="B104" s="616" t="s">
        <v>3602</v>
      </c>
      <c r="C104" s="616" t="s">
        <v>3592</v>
      </c>
      <c r="D104" s="616" t="s">
        <v>3787</v>
      </c>
      <c r="E104" s="616" t="s">
        <v>3788</v>
      </c>
      <c r="F104" s="619"/>
      <c r="G104" s="619"/>
      <c r="H104" s="619"/>
      <c r="I104" s="619"/>
      <c r="J104" s="619"/>
      <c r="K104" s="619"/>
      <c r="L104" s="619"/>
      <c r="M104" s="619"/>
      <c r="N104" s="619">
        <v>3</v>
      </c>
      <c r="O104" s="619">
        <v>0</v>
      </c>
      <c r="P104" s="640"/>
      <c r="Q104" s="620">
        <v>0</v>
      </c>
    </row>
    <row r="105" spans="1:17" ht="14.4" customHeight="1" x14ac:dyDescent="0.3">
      <c r="A105" s="615" t="s">
        <v>479</v>
      </c>
      <c r="B105" s="616" t="s">
        <v>3602</v>
      </c>
      <c r="C105" s="616" t="s">
        <v>3592</v>
      </c>
      <c r="D105" s="616" t="s">
        <v>3789</v>
      </c>
      <c r="E105" s="616" t="s">
        <v>3790</v>
      </c>
      <c r="F105" s="619">
        <v>1</v>
      </c>
      <c r="G105" s="619">
        <v>5125</v>
      </c>
      <c r="H105" s="619">
        <v>1</v>
      </c>
      <c r="I105" s="619">
        <v>5125</v>
      </c>
      <c r="J105" s="619">
        <v>5</v>
      </c>
      <c r="K105" s="619">
        <v>25685</v>
      </c>
      <c r="L105" s="619">
        <v>5.0117073170731707</v>
      </c>
      <c r="M105" s="619">
        <v>5137</v>
      </c>
      <c r="N105" s="619">
        <v>4</v>
      </c>
      <c r="O105" s="619">
        <v>21128</v>
      </c>
      <c r="P105" s="640">
        <v>4.1225365853658538</v>
      </c>
      <c r="Q105" s="620">
        <v>5282</v>
      </c>
    </row>
    <row r="106" spans="1:17" ht="14.4" customHeight="1" x14ac:dyDescent="0.3">
      <c r="A106" s="615" t="s">
        <v>479</v>
      </c>
      <c r="B106" s="616" t="s">
        <v>3602</v>
      </c>
      <c r="C106" s="616" t="s">
        <v>3592</v>
      </c>
      <c r="D106" s="616" t="s">
        <v>3791</v>
      </c>
      <c r="E106" s="616" t="s">
        <v>3792</v>
      </c>
      <c r="F106" s="619"/>
      <c r="G106" s="619"/>
      <c r="H106" s="619"/>
      <c r="I106" s="619"/>
      <c r="J106" s="619">
        <v>3</v>
      </c>
      <c r="K106" s="619">
        <v>0</v>
      </c>
      <c r="L106" s="619"/>
      <c r="M106" s="619">
        <v>0</v>
      </c>
      <c r="N106" s="619"/>
      <c r="O106" s="619"/>
      <c r="P106" s="640"/>
      <c r="Q106" s="620"/>
    </row>
    <row r="107" spans="1:17" ht="14.4" customHeight="1" x14ac:dyDescent="0.3">
      <c r="A107" s="615" t="s">
        <v>479</v>
      </c>
      <c r="B107" s="616" t="s">
        <v>3602</v>
      </c>
      <c r="C107" s="616" t="s">
        <v>3592</v>
      </c>
      <c r="D107" s="616" t="s">
        <v>3793</v>
      </c>
      <c r="E107" s="616" t="s">
        <v>3794</v>
      </c>
      <c r="F107" s="619"/>
      <c r="G107" s="619"/>
      <c r="H107" s="619"/>
      <c r="I107" s="619"/>
      <c r="J107" s="619"/>
      <c r="K107" s="619"/>
      <c r="L107" s="619"/>
      <c r="M107" s="619"/>
      <c r="N107" s="619">
        <v>1</v>
      </c>
      <c r="O107" s="619">
        <v>1200</v>
      </c>
      <c r="P107" s="640"/>
      <c r="Q107" s="620">
        <v>1200</v>
      </c>
    </row>
    <row r="108" spans="1:17" ht="14.4" customHeight="1" x14ac:dyDescent="0.3">
      <c r="A108" s="615" t="s">
        <v>479</v>
      </c>
      <c r="B108" s="616" t="s">
        <v>3602</v>
      </c>
      <c r="C108" s="616" t="s">
        <v>3592</v>
      </c>
      <c r="D108" s="616" t="s">
        <v>3795</v>
      </c>
      <c r="E108" s="616" t="s">
        <v>3796</v>
      </c>
      <c r="F108" s="619">
        <v>1</v>
      </c>
      <c r="G108" s="619">
        <v>10597</v>
      </c>
      <c r="H108" s="619">
        <v>1</v>
      </c>
      <c r="I108" s="619">
        <v>10597</v>
      </c>
      <c r="J108" s="619"/>
      <c r="K108" s="619"/>
      <c r="L108" s="619"/>
      <c r="M108" s="619"/>
      <c r="N108" s="619">
        <v>2</v>
      </c>
      <c r="O108" s="619">
        <v>22008</v>
      </c>
      <c r="P108" s="640">
        <v>2.0768141926960459</v>
      </c>
      <c r="Q108" s="620">
        <v>11004</v>
      </c>
    </row>
    <row r="109" spans="1:17" ht="14.4" customHeight="1" x14ac:dyDescent="0.3">
      <c r="A109" s="615" t="s">
        <v>479</v>
      </c>
      <c r="B109" s="616" t="s">
        <v>3602</v>
      </c>
      <c r="C109" s="616" t="s">
        <v>3592</v>
      </c>
      <c r="D109" s="616" t="s">
        <v>3797</v>
      </c>
      <c r="E109" s="616" t="s">
        <v>3798</v>
      </c>
      <c r="F109" s="619"/>
      <c r="G109" s="619"/>
      <c r="H109" s="619"/>
      <c r="I109" s="619"/>
      <c r="J109" s="619">
        <v>1</v>
      </c>
      <c r="K109" s="619">
        <v>0</v>
      </c>
      <c r="L109" s="619"/>
      <c r="M109" s="619">
        <v>0</v>
      </c>
      <c r="N109" s="619"/>
      <c r="O109" s="619"/>
      <c r="P109" s="640"/>
      <c r="Q109" s="620"/>
    </row>
    <row r="110" spans="1:17" ht="14.4" customHeight="1" x14ac:dyDescent="0.3">
      <c r="A110" s="615" t="s">
        <v>479</v>
      </c>
      <c r="B110" s="616" t="s">
        <v>3602</v>
      </c>
      <c r="C110" s="616" t="s">
        <v>3592</v>
      </c>
      <c r="D110" s="616" t="s">
        <v>3799</v>
      </c>
      <c r="E110" s="616" t="s">
        <v>3800</v>
      </c>
      <c r="F110" s="619">
        <v>1</v>
      </c>
      <c r="G110" s="619">
        <v>0</v>
      </c>
      <c r="H110" s="619"/>
      <c r="I110" s="619">
        <v>0</v>
      </c>
      <c r="J110" s="619">
        <v>1</v>
      </c>
      <c r="K110" s="619">
        <v>0</v>
      </c>
      <c r="L110" s="619"/>
      <c r="M110" s="619">
        <v>0</v>
      </c>
      <c r="N110" s="619"/>
      <c r="O110" s="619"/>
      <c r="P110" s="640"/>
      <c r="Q110" s="620"/>
    </row>
    <row r="111" spans="1:17" ht="14.4" customHeight="1" x14ac:dyDescent="0.3">
      <c r="A111" s="615" t="s">
        <v>479</v>
      </c>
      <c r="B111" s="616" t="s">
        <v>3602</v>
      </c>
      <c r="C111" s="616" t="s">
        <v>3592</v>
      </c>
      <c r="D111" s="616" t="s">
        <v>3801</v>
      </c>
      <c r="E111" s="616" t="s">
        <v>3802</v>
      </c>
      <c r="F111" s="619"/>
      <c r="G111" s="619"/>
      <c r="H111" s="619"/>
      <c r="I111" s="619"/>
      <c r="J111" s="619">
        <v>1</v>
      </c>
      <c r="K111" s="619">
        <v>8875</v>
      </c>
      <c r="L111" s="619"/>
      <c r="M111" s="619">
        <v>8875</v>
      </c>
      <c r="N111" s="619"/>
      <c r="O111" s="619"/>
      <c r="P111" s="640"/>
      <c r="Q111" s="620"/>
    </row>
    <row r="112" spans="1:17" ht="14.4" customHeight="1" x14ac:dyDescent="0.3">
      <c r="A112" s="615" t="s">
        <v>479</v>
      </c>
      <c r="B112" s="616" t="s">
        <v>3602</v>
      </c>
      <c r="C112" s="616" t="s">
        <v>3592</v>
      </c>
      <c r="D112" s="616" t="s">
        <v>3803</v>
      </c>
      <c r="E112" s="616" t="s">
        <v>3804</v>
      </c>
      <c r="F112" s="619">
        <v>1</v>
      </c>
      <c r="G112" s="619">
        <v>3996</v>
      </c>
      <c r="H112" s="619">
        <v>1</v>
      </c>
      <c r="I112" s="619">
        <v>3996</v>
      </c>
      <c r="J112" s="619">
        <v>1</v>
      </c>
      <c r="K112" s="619">
        <v>4005</v>
      </c>
      <c r="L112" s="619">
        <v>1.0022522522522523</v>
      </c>
      <c r="M112" s="619">
        <v>4005</v>
      </c>
      <c r="N112" s="619">
        <v>3</v>
      </c>
      <c r="O112" s="619">
        <v>12342</v>
      </c>
      <c r="P112" s="640">
        <v>3.0885885885885886</v>
      </c>
      <c r="Q112" s="620">
        <v>4114</v>
      </c>
    </row>
    <row r="113" spans="1:17" ht="14.4" customHeight="1" x14ac:dyDescent="0.3">
      <c r="A113" s="615" t="s">
        <v>479</v>
      </c>
      <c r="B113" s="616" t="s">
        <v>3602</v>
      </c>
      <c r="C113" s="616" t="s">
        <v>3592</v>
      </c>
      <c r="D113" s="616" t="s">
        <v>3805</v>
      </c>
      <c r="E113" s="616" t="s">
        <v>3806</v>
      </c>
      <c r="F113" s="619">
        <v>1</v>
      </c>
      <c r="G113" s="619">
        <v>0</v>
      </c>
      <c r="H113" s="619"/>
      <c r="I113" s="619">
        <v>0</v>
      </c>
      <c r="J113" s="619"/>
      <c r="K113" s="619"/>
      <c r="L113" s="619"/>
      <c r="M113" s="619"/>
      <c r="N113" s="619"/>
      <c r="O113" s="619"/>
      <c r="P113" s="640"/>
      <c r="Q113" s="620"/>
    </row>
    <row r="114" spans="1:17" ht="14.4" customHeight="1" x14ac:dyDescent="0.3">
      <c r="A114" s="615" t="s">
        <v>479</v>
      </c>
      <c r="B114" s="616" t="s">
        <v>3602</v>
      </c>
      <c r="C114" s="616" t="s">
        <v>3592</v>
      </c>
      <c r="D114" s="616" t="s">
        <v>3807</v>
      </c>
      <c r="E114" s="616" t="s">
        <v>3808</v>
      </c>
      <c r="F114" s="619">
        <v>1</v>
      </c>
      <c r="G114" s="619">
        <v>249</v>
      </c>
      <c r="H114" s="619">
        <v>1</v>
      </c>
      <c r="I114" s="619">
        <v>249</v>
      </c>
      <c r="J114" s="619">
        <v>1</v>
      </c>
      <c r="K114" s="619">
        <v>254</v>
      </c>
      <c r="L114" s="619">
        <v>1.0200803212851406</v>
      </c>
      <c r="M114" s="619">
        <v>254</v>
      </c>
      <c r="N114" s="619"/>
      <c r="O114" s="619"/>
      <c r="P114" s="640"/>
      <c r="Q114" s="620"/>
    </row>
    <row r="115" spans="1:17" ht="14.4" customHeight="1" x14ac:dyDescent="0.3">
      <c r="A115" s="615" t="s">
        <v>479</v>
      </c>
      <c r="B115" s="616" t="s">
        <v>3602</v>
      </c>
      <c r="C115" s="616" t="s">
        <v>3592</v>
      </c>
      <c r="D115" s="616" t="s">
        <v>3809</v>
      </c>
      <c r="E115" s="616" t="s">
        <v>3810</v>
      </c>
      <c r="F115" s="619"/>
      <c r="G115" s="619"/>
      <c r="H115" s="619"/>
      <c r="I115" s="619"/>
      <c r="J115" s="619">
        <v>2</v>
      </c>
      <c r="K115" s="619">
        <v>7114</v>
      </c>
      <c r="L115" s="619"/>
      <c r="M115" s="619">
        <v>3557</v>
      </c>
      <c r="N115" s="619"/>
      <c r="O115" s="619"/>
      <c r="P115" s="640"/>
      <c r="Q115" s="620"/>
    </row>
    <row r="116" spans="1:17" ht="14.4" customHeight="1" x14ac:dyDescent="0.3">
      <c r="A116" s="615" t="s">
        <v>479</v>
      </c>
      <c r="B116" s="616" t="s">
        <v>3602</v>
      </c>
      <c r="C116" s="616" t="s">
        <v>3592</v>
      </c>
      <c r="D116" s="616" t="s">
        <v>3811</v>
      </c>
      <c r="E116" s="616" t="s">
        <v>3812</v>
      </c>
      <c r="F116" s="619">
        <v>1</v>
      </c>
      <c r="G116" s="619">
        <v>0</v>
      </c>
      <c r="H116" s="619"/>
      <c r="I116" s="619">
        <v>0</v>
      </c>
      <c r="J116" s="619"/>
      <c r="K116" s="619"/>
      <c r="L116" s="619"/>
      <c r="M116" s="619"/>
      <c r="N116" s="619"/>
      <c r="O116" s="619"/>
      <c r="P116" s="640"/>
      <c r="Q116" s="620"/>
    </row>
    <row r="117" spans="1:17" ht="14.4" customHeight="1" x14ac:dyDescent="0.3">
      <c r="A117" s="615" t="s">
        <v>479</v>
      </c>
      <c r="B117" s="616" t="s">
        <v>3602</v>
      </c>
      <c r="C117" s="616" t="s">
        <v>3592</v>
      </c>
      <c r="D117" s="616" t="s">
        <v>3813</v>
      </c>
      <c r="E117" s="616" t="s">
        <v>3814</v>
      </c>
      <c r="F117" s="619"/>
      <c r="G117" s="619"/>
      <c r="H117" s="619"/>
      <c r="I117" s="619"/>
      <c r="J117" s="619">
        <v>1</v>
      </c>
      <c r="K117" s="619">
        <v>0</v>
      </c>
      <c r="L117" s="619"/>
      <c r="M117" s="619">
        <v>0</v>
      </c>
      <c r="N117" s="619">
        <v>3</v>
      </c>
      <c r="O117" s="619">
        <v>0</v>
      </c>
      <c r="P117" s="640"/>
      <c r="Q117" s="620">
        <v>0</v>
      </c>
    </row>
    <row r="118" spans="1:17" ht="14.4" customHeight="1" x14ac:dyDescent="0.3">
      <c r="A118" s="615" t="s">
        <v>479</v>
      </c>
      <c r="B118" s="616" t="s">
        <v>3602</v>
      </c>
      <c r="C118" s="616" t="s">
        <v>3592</v>
      </c>
      <c r="D118" s="616" t="s">
        <v>3815</v>
      </c>
      <c r="E118" s="616" t="s">
        <v>3816</v>
      </c>
      <c r="F118" s="619"/>
      <c r="G118" s="619"/>
      <c r="H118" s="619"/>
      <c r="I118" s="619"/>
      <c r="J118" s="619">
        <v>1</v>
      </c>
      <c r="K118" s="619">
        <v>6056</v>
      </c>
      <c r="L118" s="619"/>
      <c r="M118" s="619">
        <v>6056</v>
      </c>
      <c r="N118" s="619">
        <v>2</v>
      </c>
      <c r="O118" s="619">
        <v>12404</v>
      </c>
      <c r="P118" s="640"/>
      <c r="Q118" s="620">
        <v>6202</v>
      </c>
    </row>
    <row r="119" spans="1:17" ht="14.4" customHeight="1" x14ac:dyDescent="0.3">
      <c r="A119" s="615" t="s">
        <v>479</v>
      </c>
      <c r="B119" s="616" t="s">
        <v>3602</v>
      </c>
      <c r="C119" s="616" t="s">
        <v>3592</v>
      </c>
      <c r="D119" s="616" t="s">
        <v>3817</v>
      </c>
      <c r="E119" s="616" t="s">
        <v>3818</v>
      </c>
      <c r="F119" s="619"/>
      <c r="G119" s="619"/>
      <c r="H119" s="619"/>
      <c r="I119" s="619"/>
      <c r="J119" s="619"/>
      <c r="K119" s="619"/>
      <c r="L119" s="619"/>
      <c r="M119" s="619"/>
      <c r="N119" s="619">
        <v>1</v>
      </c>
      <c r="O119" s="619">
        <v>1966</v>
      </c>
      <c r="P119" s="640"/>
      <c r="Q119" s="620">
        <v>1966</v>
      </c>
    </row>
    <row r="120" spans="1:17" ht="14.4" customHeight="1" x14ac:dyDescent="0.3">
      <c r="A120" s="615" t="s">
        <v>479</v>
      </c>
      <c r="B120" s="616" t="s">
        <v>3602</v>
      </c>
      <c r="C120" s="616" t="s">
        <v>3592</v>
      </c>
      <c r="D120" s="616" t="s">
        <v>3819</v>
      </c>
      <c r="E120" s="616" t="s">
        <v>3820</v>
      </c>
      <c r="F120" s="619"/>
      <c r="G120" s="619"/>
      <c r="H120" s="619"/>
      <c r="I120" s="619"/>
      <c r="J120" s="619"/>
      <c r="K120" s="619"/>
      <c r="L120" s="619"/>
      <c r="M120" s="619"/>
      <c r="N120" s="619">
        <v>1</v>
      </c>
      <c r="O120" s="619">
        <v>0</v>
      </c>
      <c r="P120" s="640"/>
      <c r="Q120" s="620">
        <v>0</v>
      </c>
    </row>
    <row r="121" spans="1:17" ht="14.4" customHeight="1" x14ac:dyDescent="0.3">
      <c r="A121" s="615" t="s">
        <v>479</v>
      </c>
      <c r="B121" s="616" t="s">
        <v>3602</v>
      </c>
      <c r="C121" s="616" t="s">
        <v>3592</v>
      </c>
      <c r="D121" s="616" t="s">
        <v>3821</v>
      </c>
      <c r="E121" s="616" t="s">
        <v>3822</v>
      </c>
      <c r="F121" s="619"/>
      <c r="G121" s="619"/>
      <c r="H121" s="619"/>
      <c r="I121" s="619"/>
      <c r="J121" s="619">
        <v>1</v>
      </c>
      <c r="K121" s="619">
        <v>3432</v>
      </c>
      <c r="L121" s="619"/>
      <c r="M121" s="619">
        <v>3432</v>
      </c>
      <c r="N121" s="619"/>
      <c r="O121" s="619"/>
      <c r="P121" s="640"/>
      <c r="Q121" s="620"/>
    </row>
    <row r="122" spans="1:17" ht="14.4" customHeight="1" x14ac:dyDescent="0.3">
      <c r="A122" s="615" t="s">
        <v>479</v>
      </c>
      <c r="B122" s="616" t="s">
        <v>3602</v>
      </c>
      <c r="C122" s="616" t="s">
        <v>3592</v>
      </c>
      <c r="D122" s="616" t="s">
        <v>3823</v>
      </c>
      <c r="E122" s="616" t="s">
        <v>3824</v>
      </c>
      <c r="F122" s="619">
        <v>3</v>
      </c>
      <c r="G122" s="619">
        <v>24152</v>
      </c>
      <c r="H122" s="619">
        <v>1</v>
      </c>
      <c r="I122" s="619">
        <v>8050.666666666667</v>
      </c>
      <c r="J122" s="619">
        <v>1</v>
      </c>
      <c r="K122" s="619">
        <v>8126</v>
      </c>
      <c r="L122" s="619">
        <v>0.33645246770453791</v>
      </c>
      <c r="M122" s="619">
        <v>8126</v>
      </c>
      <c r="N122" s="619"/>
      <c r="O122" s="619"/>
      <c r="P122" s="640"/>
      <c r="Q122" s="620"/>
    </row>
    <row r="123" spans="1:17" ht="14.4" customHeight="1" x14ac:dyDescent="0.3">
      <c r="A123" s="615" t="s">
        <v>479</v>
      </c>
      <c r="B123" s="616" t="s">
        <v>3602</v>
      </c>
      <c r="C123" s="616" t="s">
        <v>3592</v>
      </c>
      <c r="D123" s="616" t="s">
        <v>3825</v>
      </c>
      <c r="E123" s="616" t="s">
        <v>3826</v>
      </c>
      <c r="F123" s="619">
        <v>1</v>
      </c>
      <c r="G123" s="619">
        <v>6138</v>
      </c>
      <c r="H123" s="619">
        <v>1</v>
      </c>
      <c r="I123" s="619">
        <v>6138</v>
      </c>
      <c r="J123" s="619">
        <v>1</v>
      </c>
      <c r="K123" s="619">
        <v>6154</v>
      </c>
      <c r="L123" s="619">
        <v>1.0026067122841316</v>
      </c>
      <c r="M123" s="619">
        <v>6154</v>
      </c>
      <c r="N123" s="619"/>
      <c r="O123" s="619"/>
      <c r="P123" s="640"/>
      <c r="Q123" s="620"/>
    </row>
    <row r="124" spans="1:17" ht="14.4" customHeight="1" x14ac:dyDescent="0.3">
      <c r="A124" s="615" t="s">
        <v>479</v>
      </c>
      <c r="B124" s="616" t="s">
        <v>3602</v>
      </c>
      <c r="C124" s="616" t="s">
        <v>3592</v>
      </c>
      <c r="D124" s="616" t="s">
        <v>3827</v>
      </c>
      <c r="E124" s="616" t="s">
        <v>3828</v>
      </c>
      <c r="F124" s="619"/>
      <c r="G124" s="619"/>
      <c r="H124" s="619"/>
      <c r="I124" s="619"/>
      <c r="J124" s="619">
        <v>1</v>
      </c>
      <c r="K124" s="619">
        <v>0</v>
      </c>
      <c r="L124" s="619"/>
      <c r="M124" s="619">
        <v>0</v>
      </c>
      <c r="N124" s="619">
        <v>2</v>
      </c>
      <c r="O124" s="619">
        <v>0</v>
      </c>
      <c r="P124" s="640"/>
      <c r="Q124" s="620">
        <v>0</v>
      </c>
    </row>
    <row r="125" spans="1:17" ht="14.4" customHeight="1" x14ac:dyDescent="0.3">
      <c r="A125" s="615" t="s">
        <v>479</v>
      </c>
      <c r="B125" s="616" t="s">
        <v>3602</v>
      </c>
      <c r="C125" s="616" t="s">
        <v>3592</v>
      </c>
      <c r="D125" s="616" t="s">
        <v>3829</v>
      </c>
      <c r="E125" s="616" t="s">
        <v>3830</v>
      </c>
      <c r="F125" s="619">
        <v>1</v>
      </c>
      <c r="G125" s="619">
        <v>0</v>
      </c>
      <c r="H125" s="619"/>
      <c r="I125" s="619">
        <v>0</v>
      </c>
      <c r="J125" s="619"/>
      <c r="K125" s="619"/>
      <c r="L125" s="619"/>
      <c r="M125" s="619"/>
      <c r="N125" s="619"/>
      <c r="O125" s="619"/>
      <c r="P125" s="640"/>
      <c r="Q125" s="620"/>
    </row>
    <row r="126" spans="1:17" ht="14.4" customHeight="1" x14ac:dyDescent="0.3">
      <c r="A126" s="615" t="s">
        <v>479</v>
      </c>
      <c r="B126" s="616" t="s">
        <v>3602</v>
      </c>
      <c r="C126" s="616" t="s">
        <v>3592</v>
      </c>
      <c r="D126" s="616" t="s">
        <v>3831</v>
      </c>
      <c r="E126" s="616" t="s">
        <v>3832</v>
      </c>
      <c r="F126" s="619">
        <v>1</v>
      </c>
      <c r="G126" s="619">
        <v>6437</v>
      </c>
      <c r="H126" s="619">
        <v>1</v>
      </c>
      <c r="I126" s="619">
        <v>6437</v>
      </c>
      <c r="J126" s="619"/>
      <c r="K126" s="619"/>
      <c r="L126" s="619"/>
      <c r="M126" s="619"/>
      <c r="N126" s="619"/>
      <c r="O126" s="619"/>
      <c r="P126" s="640"/>
      <c r="Q126" s="620"/>
    </row>
    <row r="127" spans="1:17" ht="14.4" customHeight="1" x14ac:dyDescent="0.3">
      <c r="A127" s="615" t="s">
        <v>479</v>
      </c>
      <c r="B127" s="616" t="s">
        <v>3602</v>
      </c>
      <c r="C127" s="616" t="s">
        <v>3592</v>
      </c>
      <c r="D127" s="616" t="s">
        <v>3833</v>
      </c>
      <c r="E127" s="616" t="s">
        <v>3834</v>
      </c>
      <c r="F127" s="619">
        <v>2</v>
      </c>
      <c r="G127" s="619">
        <v>3434</v>
      </c>
      <c r="H127" s="619">
        <v>1</v>
      </c>
      <c r="I127" s="619">
        <v>1717</v>
      </c>
      <c r="J127" s="619"/>
      <c r="K127" s="619"/>
      <c r="L127" s="619"/>
      <c r="M127" s="619"/>
      <c r="N127" s="619"/>
      <c r="O127" s="619"/>
      <c r="P127" s="640"/>
      <c r="Q127" s="620"/>
    </row>
    <row r="128" spans="1:17" ht="14.4" customHeight="1" x14ac:dyDescent="0.3">
      <c r="A128" s="615" t="s">
        <v>479</v>
      </c>
      <c r="B128" s="616" t="s">
        <v>3602</v>
      </c>
      <c r="C128" s="616" t="s">
        <v>3592</v>
      </c>
      <c r="D128" s="616" t="s">
        <v>3835</v>
      </c>
      <c r="E128" s="616" t="s">
        <v>3836</v>
      </c>
      <c r="F128" s="619"/>
      <c r="G128" s="619"/>
      <c r="H128" s="619"/>
      <c r="I128" s="619"/>
      <c r="J128" s="619"/>
      <c r="K128" s="619"/>
      <c r="L128" s="619"/>
      <c r="M128" s="619"/>
      <c r="N128" s="619">
        <v>1</v>
      </c>
      <c r="O128" s="619">
        <v>0</v>
      </c>
      <c r="P128" s="640"/>
      <c r="Q128" s="620">
        <v>0</v>
      </c>
    </row>
    <row r="129" spans="1:17" ht="14.4" customHeight="1" x14ac:dyDescent="0.3">
      <c r="A129" s="615" t="s">
        <v>479</v>
      </c>
      <c r="B129" s="616" t="s">
        <v>3602</v>
      </c>
      <c r="C129" s="616" t="s">
        <v>3592</v>
      </c>
      <c r="D129" s="616" t="s">
        <v>3837</v>
      </c>
      <c r="E129" s="616" t="s">
        <v>3838</v>
      </c>
      <c r="F129" s="619">
        <v>1</v>
      </c>
      <c r="G129" s="619">
        <v>0</v>
      </c>
      <c r="H129" s="619"/>
      <c r="I129" s="619">
        <v>0</v>
      </c>
      <c r="J129" s="619"/>
      <c r="K129" s="619"/>
      <c r="L129" s="619"/>
      <c r="M129" s="619"/>
      <c r="N129" s="619"/>
      <c r="O129" s="619"/>
      <c r="P129" s="640"/>
      <c r="Q129" s="620"/>
    </row>
    <row r="130" spans="1:17" ht="14.4" customHeight="1" x14ac:dyDescent="0.3">
      <c r="A130" s="615" t="s">
        <v>479</v>
      </c>
      <c r="B130" s="616" t="s">
        <v>3602</v>
      </c>
      <c r="C130" s="616" t="s">
        <v>3592</v>
      </c>
      <c r="D130" s="616" t="s">
        <v>3839</v>
      </c>
      <c r="E130" s="616" t="s">
        <v>3840</v>
      </c>
      <c r="F130" s="619"/>
      <c r="G130" s="619"/>
      <c r="H130" s="619"/>
      <c r="I130" s="619"/>
      <c r="J130" s="619"/>
      <c r="K130" s="619"/>
      <c r="L130" s="619"/>
      <c r="M130" s="619"/>
      <c r="N130" s="619">
        <v>1</v>
      </c>
      <c r="O130" s="619">
        <v>0</v>
      </c>
      <c r="P130" s="640"/>
      <c r="Q130" s="620">
        <v>0</v>
      </c>
    </row>
    <row r="131" spans="1:17" ht="14.4" customHeight="1" x14ac:dyDescent="0.3">
      <c r="A131" s="615" t="s">
        <v>479</v>
      </c>
      <c r="B131" s="616" t="s">
        <v>3602</v>
      </c>
      <c r="C131" s="616" t="s">
        <v>3592</v>
      </c>
      <c r="D131" s="616" t="s">
        <v>3841</v>
      </c>
      <c r="E131" s="616" t="s">
        <v>3842</v>
      </c>
      <c r="F131" s="619"/>
      <c r="G131" s="619"/>
      <c r="H131" s="619"/>
      <c r="I131" s="619"/>
      <c r="J131" s="619"/>
      <c r="K131" s="619"/>
      <c r="L131" s="619"/>
      <c r="M131" s="619"/>
      <c r="N131" s="619">
        <v>1</v>
      </c>
      <c r="O131" s="619">
        <v>0</v>
      </c>
      <c r="P131" s="640"/>
      <c r="Q131" s="620">
        <v>0</v>
      </c>
    </row>
    <row r="132" spans="1:17" ht="14.4" customHeight="1" x14ac:dyDescent="0.3">
      <c r="A132" s="615" t="s">
        <v>479</v>
      </c>
      <c r="B132" s="616" t="s">
        <v>3602</v>
      </c>
      <c r="C132" s="616" t="s">
        <v>3592</v>
      </c>
      <c r="D132" s="616" t="s">
        <v>3843</v>
      </c>
      <c r="E132" s="616" t="s">
        <v>3844</v>
      </c>
      <c r="F132" s="619"/>
      <c r="G132" s="619"/>
      <c r="H132" s="619"/>
      <c r="I132" s="619"/>
      <c r="J132" s="619"/>
      <c r="K132" s="619"/>
      <c r="L132" s="619"/>
      <c r="M132" s="619"/>
      <c r="N132" s="619">
        <v>1</v>
      </c>
      <c r="O132" s="619">
        <v>0</v>
      </c>
      <c r="P132" s="640"/>
      <c r="Q132" s="620">
        <v>0</v>
      </c>
    </row>
    <row r="133" spans="1:17" ht="14.4" customHeight="1" x14ac:dyDescent="0.3">
      <c r="A133" s="615" t="s">
        <v>479</v>
      </c>
      <c r="B133" s="616" t="s">
        <v>3602</v>
      </c>
      <c r="C133" s="616" t="s">
        <v>3592</v>
      </c>
      <c r="D133" s="616" t="s">
        <v>3845</v>
      </c>
      <c r="E133" s="616" t="s">
        <v>3846</v>
      </c>
      <c r="F133" s="619"/>
      <c r="G133" s="619"/>
      <c r="H133" s="619"/>
      <c r="I133" s="619"/>
      <c r="J133" s="619"/>
      <c r="K133" s="619"/>
      <c r="L133" s="619"/>
      <c r="M133" s="619"/>
      <c r="N133" s="619">
        <v>1</v>
      </c>
      <c r="O133" s="619">
        <v>0</v>
      </c>
      <c r="P133" s="640"/>
      <c r="Q133" s="620">
        <v>0</v>
      </c>
    </row>
    <row r="134" spans="1:17" ht="14.4" customHeight="1" x14ac:dyDescent="0.3">
      <c r="A134" s="615" t="s">
        <v>479</v>
      </c>
      <c r="B134" s="616" t="s">
        <v>3602</v>
      </c>
      <c r="C134" s="616" t="s">
        <v>3592</v>
      </c>
      <c r="D134" s="616" t="s">
        <v>3847</v>
      </c>
      <c r="E134" s="616" t="s">
        <v>3677</v>
      </c>
      <c r="F134" s="619"/>
      <c r="G134" s="619"/>
      <c r="H134" s="619"/>
      <c r="I134" s="619"/>
      <c r="J134" s="619"/>
      <c r="K134" s="619"/>
      <c r="L134" s="619"/>
      <c r="M134" s="619"/>
      <c r="N134" s="619">
        <v>1</v>
      </c>
      <c r="O134" s="619">
        <v>0</v>
      </c>
      <c r="P134" s="640"/>
      <c r="Q134" s="620">
        <v>0</v>
      </c>
    </row>
    <row r="135" spans="1:17" ht="14.4" customHeight="1" x14ac:dyDescent="0.3">
      <c r="A135" s="615" t="s">
        <v>479</v>
      </c>
      <c r="B135" s="616" t="s">
        <v>3848</v>
      </c>
      <c r="C135" s="616" t="s">
        <v>3592</v>
      </c>
      <c r="D135" s="616" t="s">
        <v>3624</v>
      </c>
      <c r="E135" s="616" t="s">
        <v>3625</v>
      </c>
      <c r="F135" s="619">
        <v>2</v>
      </c>
      <c r="G135" s="619">
        <v>3234</v>
      </c>
      <c r="H135" s="619">
        <v>1</v>
      </c>
      <c r="I135" s="619">
        <v>1617</v>
      </c>
      <c r="J135" s="619"/>
      <c r="K135" s="619"/>
      <c r="L135" s="619"/>
      <c r="M135" s="619"/>
      <c r="N135" s="619"/>
      <c r="O135" s="619"/>
      <c r="P135" s="640"/>
      <c r="Q135" s="620"/>
    </row>
    <row r="136" spans="1:17" ht="14.4" customHeight="1" x14ac:dyDescent="0.3">
      <c r="A136" s="615" t="s">
        <v>479</v>
      </c>
      <c r="B136" s="616" t="s">
        <v>3848</v>
      </c>
      <c r="C136" s="616" t="s">
        <v>3592</v>
      </c>
      <c r="D136" s="616" t="s">
        <v>3628</v>
      </c>
      <c r="E136" s="616" t="s">
        <v>3629</v>
      </c>
      <c r="F136" s="619"/>
      <c r="G136" s="619"/>
      <c r="H136" s="619"/>
      <c r="I136" s="619"/>
      <c r="J136" s="619">
        <v>1</v>
      </c>
      <c r="K136" s="619">
        <v>2697</v>
      </c>
      <c r="L136" s="619"/>
      <c r="M136" s="619">
        <v>2697</v>
      </c>
      <c r="N136" s="619"/>
      <c r="O136" s="619"/>
      <c r="P136" s="640"/>
      <c r="Q136" s="620"/>
    </row>
    <row r="137" spans="1:17" ht="14.4" customHeight="1" x14ac:dyDescent="0.3">
      <c r="A137" s="615" t="s">
        <v>479</v>
      </c>
      <c r="B137" s="616" t="s">
        <v>3848</v>
      </c>
      <c r="C137" s="616" t="s">
        <v>3592</v>
      </c>
      <c r="D137" s="616" t="s">
        <v>3634</v>
      </c>
      <c r="E137" s="616" t="s">
        <v>3635</v>
      </c>
      <c r="F137" s="619">
        <v>11</v>
      </c>
      <c r="G137" s="619">
        <v>7561</v>
      </c>
      <c r="H137" s="619">
        <v>1</v>
      </c>
      <c r="I137" s="619">
        <v>687.36363636363637</v>
      </c>
      <c r="J137" s="619">
        <v>14</v>
      </c>
      <c r="K137" s="619">
        <v>9744</v>
      </c>
      <c r="L137" s="619">
        <v>1.2887184234889564</v>
      </c>
      <c r="M137" s="619">
        <v>696</v>
      </c>
      <c r="N137" s="619">
        <v>22</v>
      </c>
      <c r="O137" s="619">
        <v>15598</v>
      </c>
      <c r="P137" s="640">
        <v>2.0629546356302075</v>
      </c>
      <c r="Q137" s="620">
        <v>709</v>
      </c>
    </row>
    <row r="138" spans="1:17" ht="14.4" customHeight="1" x14ac:dyDescent="0.3">
      <c r="A138" s="615" t="s">
        <v>479</v>
      </c>
      <c r="B138" s="616" t="s">
        <v>3848</v>
      </c>
      <c r="C138" s="616" t="s">
        <v>3592</v>
      </c>
      <c r="D138" s="616" t="s">
        <v>3849</v>
      </c>
      <c r="E138" s="616" t="s">
        <v>3850</v>
      </c>
      <c r="F138" s="619">
        <v>1</v>
      </c>
      <c r="G138" s="619">
        <v>200</v>
      </c>
      <c r="H138" s="619">
        <v>1</v>
      </c>
      <c r="I138" s="619">
        <v>200</v>
      </c>
      <c r="J138" s="619">
        <v>1</v>
      </c>
      <c r="K138" s="619">
        <v>201</v>
      </c>
      <c r="L138" s="619">
        <v>1.0049999999999999</v>
      </c>
      <c r="M138" s="619">
        <v>201</v>
      </c>
      <c r="N138" s="619"/>
      <c r="O138" s="619"/>
      <c r="P138" s="640"/>
      <c r="Q138" s="620"/>
    </row>
    <row r="139" spans="1:17" ht="14.4" customHeight="1" x14ac:dyDescent="0.3">
      <c r="A139" s="615" t="s">
        <v>479</v>
      </c>
      <c r="B139" s="616" t="s">
        <v>3848</v>
      </c>
      <c r="C139" s="616" t="s">
        <v>3592</v>
      </c>
      <c r="D139" s="616" t="s">
        <v>3851</v>
      </c>
      <c r="E139" s="616" t="s">
        <v>3852</v>
      </c>
      <c r="F139" s="619">
        <v>1</v>
      </c>
      <c r="G139" s="619">
        <v>300</v>
      </c>
      <c r="H139" s="619">
        <v>1</v>
      </c>
      <c r="I139" s="619">
        <v>300</v>
      </c>
      <c r="J139" s="619">
        <v>2</v>
      </c>
      <c r="K139" s="619">
        <v>602</v>
      </c>
      <c r="L139" s="619">
        <v>2.0066666666666668</v>
      </c>
      <c r="M139" s="619">
        <v>301</v>
      </c>
      <c r="N139" s="619">
        <v>3</v>
      </c>
      <c r="O139" s="619">
        <v>927</v>
      </c>
      <c r="P139" s="640">
        <v>3.09</v>
      </c>
      <c r="Q139" s="620">
        <v>309</v>
      </c>
    </row>
    <row r="140" spans="1:17" ht="14.4" customHeight="1" x14ac:dyDescent="0.3">
      <c r="A140" s="615" t="s">
        <v>479</v>
      </c>
      <c r="B140" s="616" t="s">
        <v>3848</v>
      </c>
      <c r="C140" s="616" t="s">
        <v>3592</v>
      </c>
      <c r="D140" s="616" t="s">
        <v>3853</v>
      </c>
      <c r="E140" s="616" t="s">
        <v>3854</v>
      </c>
      <c r="F140" s="619"/>
      <c r="G140" s="619"/>
      <c r="H140" s="619"/>
      <c r="I140" s="619"/>
      <c r="J140" s="619"/>
      <c r="K140" s="619"/>
      <c r="L140" s="619"/>
      <c r="M140" s="619"/>
      <c r="N140" s="619">
        <v>3</v>
      </c>
      <c r="O140" s="619">
        <v>1464</v>
      </c>
      <c r="P140" s="640"/>
      <c r="Q140" s="620">
        <v>488</v>
      </c>
    </row>
    <row r="141" spans="1:17" ht="14.4" customHeight="1" x14ac:dyDescent="0.3">
      <c r="A141" s="615" t="s">
        <v>479</v>
      </c>
      <c r="B141" s="616" t="s">
        <v>3848</v>
      </c>
      <c r="C141" s="616" t="s">
        <v>3592</v>
      </c>
      <c r="D141" s="616" t="s">
        <v>3855</v>
      </c>
      <c r="E141" s="616" t="s">
        <v>3856</v>
      </c>
      <c r="F141" s="619">
        <v>2</v>
      </c>
      <c r="G141" s="619">
        <v>6932</v>
      </c>
      <c r="H141" s="619">
        <v>1</v>
      </c>
      <c r="I141" s="619">
        <v>3466</v>
      </c>
      <c r="J141" s="619">
        <v>2</v>
      </c>
      <c r="K141" s="619">
        <v>7010</v>
      </c>
      <c r="L141" s="619">
        <v>1.0112521638776688</v>
      </c>
      <c r="M141" s="619">
        <v>3505</v>
      </c>
      <c r="N141" s="619">
        <v>4</v>
      </c>
      <c r="O141" s="619">
        <v>14600</v>
      </c>
      <c r="P141" s="640">
        <v>2.1061742642815928</v>
      </c>
      <c r="Q141" s="620">
        <v>3650</v>
      </c>
    </row>
    <row r="142" spans="1:17" ht="14.4" customHeight="1" x14ac:dyDescent="0.3">
      <c r="A142" s="615" t="s">
        <v>479</v>
      </c>
      <c r="B142" s="616" t="s">
        <v>3848</v>
      </c>
      <c r="C142" s="616" t="s">
        <v>3592</v>
      </c>
      <c r="D142" s="616" t="s">
        <v>3857</v>
      </c>
      <c r="E142" s="616" t="s">
        <v>3858</v>
      </c>
      <c r="F142" s="619"/>
      <c r="G142" s="619"/>
      <c r="H142" s="619"/>
      <c r="I142" s="619"/>
      <c r="J142" s="619">
        <v>1</v>
      </c>
      <c r="K142" s="619">
        <v>4688</v>
      </c>
      <c r="L142" s="619"/>
      <c r="M142" s="619">
        <v>4688</v>
      </c>
      <c r="N142" s="619">
        <v>3</v>
      </c>
      <c r="O142" s="619">
        <v>14712</v>
      </c>
      <c r="P142" s="640"/>
      <c r="Q142" s="620">
        <v>4904</v>
      </c>
    </row>
    <row r="143" spans="1:17" ht="14.4" customHeight="1" x14ac:dyDescent="0.3">
      <c r="A143" s="615" t="s">
        <v>479</v>
      </c>
      <c r="B143" s="616" t="s">
        <v>3848</v>
      </c>
      <c r="C143" s="616" t="s">
        <v>3592</v>
      </c>
      <c r="D143" s="616" t="s">
        <v>3859</v>
      </c>
      <c r="E143" s="616" t="s">
        <v>3860</v>
      </c>
      <c r="F143" s="619"/>
      <c r="G143" s="619"/>
      <c r="H143" s="619"/>
      <c r="I143" s="619"/>
      <c r="J143" s="619"/>
      <c r="K143" s="619"/>
      <c r="L143" s="619"/>
      <c r="M143" s="619"/>
      <c r="N143" s="619">
        <v>2</v>
      </c>
      <c r="O143" s="619">
        <v>8680</v>
      </c>
      <c r="P143" s="640"/>
      <c r="Q143" s="620">
        <v>4340</v>
      </c>
    </row>
    <row r="144" spans="1:17" ht="14.4" customHeight="1" x14ac:dyDescent="0.3">
      <c r="A144" s="615" t="s">
        <v>479</v>
      </c>
      <c r="B144" s="616" t="s">
        <v>3848</v>
      </c>
      <c r="C144" s="616" t="s">
        <v>3592</v>
      </c>
      <c r="D144" s="616" t="s">
        <v>3861</v>
      </c>
      <c r="E144" s="616" t="s">
        <v>3862</v>
      </c>
      <c r="F144" s="619"/>
      <c r="G144" s="619"/>
      <c r="H144" s="619"/>
      <c r="I144" s="619"/>
      <c r="J144" s="619">
        <v>1</v>
      </c>
      <c r="K144" s="619">
        <v>114</v>
      </c>
      <c r="L144" s="619"/>
      <c r="M144" s="619">
        <v>114</v>
      </c>
      <c r="N144" s="619">
        <v>3</v>
      </c>
      <c r="O144" s="619">
        <v>360</v>
      </c>
      <c r="P144" s="640"/>
      <c r="Q144" s="620">
        <v>120</v>
      </c>
    </row>
    <row r="145" spans="1:17" ht="14.4" customHeight="1" x14ac:dyDescent="0.3">
      <c r="A145" s="615" t="s">
        <v>479</v>
      </c>
      <c r="B145" s="616" t="s">
        <v>3848</v>
      </c>
      <c r="C145" s="616" t="s">
        <v>3592</v>
      </c>
      <c r="D145" s="616" t="s">
        <v>3863</v>
      </c>
      <c r="E145" s="616" t="s">
        <v>3864</v>
      </c>
      <c r="F145" s="619"/>
      <c r="G145" s="619"/>
      <c r="H145" s="619"/>
      <c r="I145" s="619"/>
      <c r="J145" s="619"/>
      <c r="K145" s="619"/>
      <c r="L145" s="619"/>
      <c r="M145" s="619"/>
      <c r="N145" s="619">
        <v>5</v>
      </c>
      <c r="O145" s="619">
        <v>1795</v>
      </c>
      <c r="P145" s="640"/>
      <c r="Q145" s="620">
        <v>359</v>
      </c>
    </row>
    <row r="146" spans="1:17" ht="14.4" customHeight="1" x14ac:dyDescent="0.3">
      <c r="A146" s="615" t="s">
        <v>479</v>
      </c>
      <c r="B146" s="616" t="s">
        <v>3848</v>
      </c>
      <c r="C146" s="616" t="s">
        <v>3592</v>
      </c>
      <c r="D146" s="616" t="s">
        <v>3865</v>
      </c>
      <c r="E146" s="616" t="s">
        <v>3866</v>
      </c>
      <c r="F146" s="619">
        <v>1</v>
      </c>
      <c r="G146" s="619">
        <v>4311</v>
      </c>
      <c r="H146" s="619">
        <v>1</v>
      </c>
      <c r="I146" s="619">
        <v>4311</v>
      </c>
      <c r="J146" s="619">
        <v>2</v>
      </c>
      <c r="K146" s="619">
        <v>8646</v>
      </c>
      <c r="L146" s="619">
        <v>2.0055671537926236</v>
      </c>
      <c r="M146" s="619">
        <v>4323</v>
      </c>
      <c r="N146" s="619">
        <v>2</v>
      </c>
      <c r="O146" s="619">
        <v>8936</v>
      </c>
      <c r="P146" s="640">
        <v>2.0728369287868245</v>
      </c>
      <c r="Q146" s="620">
        <v>4468</v>
      </c>
    </row>
    <row r="147" spans="1:17" ht="14.4" customHeight="1" x14ac:dyDescent="0.3">
      <c r="A147" s="615" t="s">
        <v>479</v>
      </c>
      <c r="B147" s="616" t="s">
        <v>3848</v>
      </c>
      <c r="C147" s="616" t="s">
        <v>3592</v>
      </c>
      <c r="D147" s="616" t="s">
        <v>3867</v>
      </c>
      <c r="E147" s="616" t="s">
        <v>3868</v>
      </c>
      <c r="F147" s="619"/>
      <c r="G147" s="619"/>
      <c r="H147" s="619"/>
      <c r="I147" s="619"/>
      <c r="J147" s="619"/>
      <c r="K147" s="619"/>
      <c r="L147" s="619"/>
      <c r="M147" s="619"/>
      <c r="N147" s="619">
        <v>3</v>
      </c>
      <c r="O147" s="619">
        <v>7398</v>
      </c>
      <c r="P147" s="640"/>
      <c r="Q147" s="620">
        <v>2466</v>
      </c>
    </row>
    <row r="148" spans="1:17" ht="14.4" customHeight="1" x14ac:dyDescent="0.3">
      <c r="A148" s="615" t="s">
        <v>479</v>
      </c>
      <c r="B148" s="616" t="s">
        <v>3848</v>
      </c>
      <c r="C148" s="616" t="s">
        <v>3592</v>
      </c>
      <c r="D148" s="616" t="s">
        <v>3869</v>
      </c>
      <c r="E148" s="616" t="s">
        <v>3870</v>
      </c>
      <c r="F148" s="619"/>
      <c r="G148" s="619"/>
      <c r="H148" s="619"/>
      <c r="I148" s="619"/>
      <c r="J148" s="619">
        <v>3</v>
      </c>
      <c r="K148" s="619">
        <v>16086</v>
      </c>
      <c r="L148" s="619"/>
      <c r="M148" s="619">
        <v>5362</v>
      </c>
      <c r="N148" s="619">
        <v>10</v>
      </c>
      <c r="O148" s="619">
        <v>55070</v>
      </c>
      <c r="P148" s="640"/>
      <c r="Q148" s="620">
        <v>5507</v>
      </c>
    </row>
    <row r="149" spans="1:17" ht="14.4" customHeight="1" x14ac:dyDescent="0.3">
      <c r="A149" s="615" t="s">
        <v>479</v>
      </c>
      <c r="B149" s="616" t="s">
        <v>3848</v>
      </c>
      <c r="C149" s="616" t="s">
        <v>3592</v>
      </c>
      <c r="D149" s="616" t="s">
        <v>3871</v>
      </c>
      <c r="E149" s="616" t="s">
        <v>3872</v>
      </c>
      <c r="F149" s="619">
        <v>1</v>
      </c>
      <c r="G149" s="619">
        <v>8843</v>
      </c>
      <c r="H149" s="619">
        <v>1</v>
      </c>
      <c r="I149" s="619">
        <v>8843</v>
      </c>
      <c r="J149" s="619"/>
      <c r="K149" s="619"/>
      <c r="L149" s="619"/>
      <c r="M149" s="619"/>
      <c r="N149" s="619">
        <v>1</v>
      </c>
      <c r="O149" s="619">
        <v>9211</v>
      </c>
      <c r="P149" s="640">
        <v>1.0416148365939162</v>
      </c>
      <c r="Q149" s="620">
        <v>9211</v>
      </c>
    </row>
    <row r="150" spans="1:17" ht="14.4" customHeight="1" x14ac:dyDescent="0.3">
      <c r="A150" s="615" t="s">
        <v>479</v>
      </c>
      <c r="B150" s="616" t="s">
        <v>3848</v>
      </c>
      <c r="C150" s="616" t="s">
        <v>3592</v>
      </c>
      <c r="D150" s="616" t="s">
        <v>3873</v>
      </c>
      <c r="E150" s="616" t="s">
        <v>3874</v>
      </c>
      <c r="F150" s="619"/>
      <c r="G150" s="619"/>
      <c r="H150" s="619"/>
      <c r="I150" s="619"/>
      <c r="J150" s="619"/>
      <c r="K150" s="619"/>
      <c r="L150" s="619"/>
      <c r="M150" s="619"/>
      <c r="N150" s="619">
        <v>1</v>
      </c>
      <c r="O150" s="619">
        <v>1596</v>
      </c>
      <c r="P150" s="640"/>
      <c r="Q150" s="620">
        <v>1596</v>
      </c>
    </row>
    <row r="151" spans="1:17" ht="14.4" customHeight="1" x14ac:dyDescent="0.3">
      <c r="A151" s="615" t="s">
        <v>479</v>
      </c>
      <c r="B151" s="616" t="s">
        <v>3848</v>
      </c>
      <c r="C151" s="616" t="s">
        <v>3592</v>
      </c>
      <c r="D151" s="616" t="s">
        <v>3875</v>
      </c>
      <c r="E151" s="616" t="s">
        <v>3876</v>
      </c>
      <c r="F151" s="619"/>
      <c r="G151" s="619"/>
      <c r="H151" s="619"/>
      <c r="I151" s="619"/>
      <c r="J151" s="619"/>
      <c r="K151" s="619"/>
      <c r="L151" s="619"/>
      <c r="M151" s="619"/>
      <c r="N151" s="619">
        <v>1</v>
      </c>
      <c r="O151" s="619">
        <v>1309</v>
      </c>
      <c r="P151" s="640"/>
      <c r="Q151" s="620">
        <v>1309</v>
      </c>
    </row>
    <row r="152" spans="1:17" ht="14.4" customHeight="1" x14ac:dyDescent="0.3">
      <c r="A152" s="615" t="s">
        <v>479</v>
      </c>
      <c r="B152" s="616" t="s">
        <v>3848</v>
      </c>
      <c r="C152" s="616" t="s">
        <v>3592</v>
      </c>
      <c r="D152" s="616" t="s">
        <v>3877</v>
      </c>
      <c r="E152" s="616" t="s">
        <v>3878</v>
      </c>
      <c r="F152" s="619">
        <v>5</v>
      </c>
      <c r="G152" s="619">
        <v>20267</v>
      </c>
      <c r="H152" s="619">
        <v>1</v>
      </c>
      <c r="I152" s="619">
        <v>4053.4</v>
      </c>
      <c r="J152" s="619">
        <v>4</v>
      </c>
      <c r="K152" s="619">
        <v>16328</v>
      </c>
      <c r="L152" s="619">
        <v>0.80564464400256575</v>
      </c>
      <c r="M152" s="619">
        <v>4082</v>
      </c>
      <c r="N152" s="619">
        <v>11</v>
      </c>
      <c r="O152" s="619">
        <v>46893</v>
      </c>
      <c r="P152" s="640">
        <v>2.3137612868209403</v>
      </c>
      <c r="Q152" s="620">
        <v>4263</v>
      </c>
    </row>
    <row r="153" spans="1:17" ht="14.4" customHeight="1" x14ac:dyDescent="0.3">
      <c r="A153" s="615" t="s">
        <v>479</v>
      </c>
      <c r="B153" s="616" t="s">
        <v>3848</v>
      </c>
      <c r="C153" s="616" t="s">
        <v>3592</v>
      </c>
      <c r="D153" s="616" t="s">
        <v>3879</v>
      </c>
      <c r="E153" s="616" t="s">
        <v>3880</v>
      </c>
      <c r="F153" s="619">
        <v>2</v>
      </c>
      <c r="G153" s="619">
        <v>1884</v>
      </c>
      <c r="H153" s="619">
        <v>1</v>
      </c>
      <c r="I153" s="619">
        <v>942</v>
      </c>
      <c r="J153" s="619">
        <v>2</v>
      </c>
      <c r="K153" s="619">
        <v>1892</v>
      </c>
      <c r="L153" s="619">
        <v>1.0042462845010616</v>
      </c>
      <c r="M153" s="619">
        <v>946</v>
      </c>
      <c r="N153" s="619">
        <v>4</v>
      </c>
      <c r="O153" s="619">
        <v>3884</v>
      </c>
      <c r="P153" s="640">
        <v>2.061571125265393</v>
      </c>
      <c r="Q153" s="620">
        <v>971</v>
      </c>
    </row>
    <row r="154" spans="1:17" ht="14.4" customHeight="1" x14ac:dyDescent="0.3">
      <c r="A154" s="615" t="s">
        <v>479</v>
      </c>
      <c r="B154" s="616" t="s">
        <v>3848</v>
      </c>
      <c r="C154" s="616" t="s">
        <v>3592</v>
      </c>
      <c r="D154" s="616" t="s">
        <v>3881</v>
      </c>
      <c r="E154" s="616" t="s">
        <v>3882</v>
      </c>
      <c r="F154" s="619"/>
      <c r="G154" s="619"/>
      <c r="H154" s="619"/>
      <c r="I154" s="619"/>
      <c r="J154" s="619"/>
      <c r="K154" s="619"/>
      <c r="L154" s="619"/>
      <c r="M154" s="619"/>
      <c r="N154" s="619">
        <v>1</v>
      </c>
      <c r="O154" s="619">
        <v>930</v>
      </c>
      <c r="P154" s="640"/>
      <c r="Q154" s="620">
        <v>930</v>
      </c>
    </row>
    <row r="155" spans="1:17" ht="14.4" customHeight="1" x14ac:dyDescent="0.3">
      <c r="A155" s="615" t="s">
        <v>479</v>
      </c>
      <c r="B155" s="616" t="s">
        <v>3848</v>
      </c>
      <c r="C155" s="616" t="s">
        <v>3592</v>
      </c>
      <c r="D155" s="616" t="s">
        <v>3638</v>
      </c>
      <c r="E155" s="616" t="s">
        <v>3639</v>
      </c>
      <c r="F155" s="619">
        <v>4</v>
      </c>
      <c r="G155" s="619">
        <v>3242</v>
      </c>
      <c r="H155" s="619">
        <v>1</v>
      </c>
      <c r="I155" s="619">
        <v>810.5</v>
      </c>
      <c r="J155" s="619">
        <v>3</v>
      </c>
      <c r="K155" s="619">
        <v>2457</v>
      </c>
      <c r="L155" s="619">
        <v>0.75786551511412703</v>
      </c>
      <c r="M155" s="619">
        <v>819</v>
      </c>
      <c r="N155" s="619">
        <v>1</v>
      </c>
      <c r="O155" s="619">
        <v>836</v>
      </c>
      <c r="P155" s="640">
        <v>0.25786551511412709</v>
      </c>
      <c r="Q155" s="620">
        <v>836</v>
      </c>
    </row>
    <row r="156" spans="1:17" ht="14.4" customHeight="1" x14ac:dyDescent="0.3">
      <c r="A156" s="615" t="s">
        <v>479</v>
      </c>
      <c r="B156" s="616" t="s">
        <v>3848</v>
      </c>
      <c r="C156" s="616" t="s">
        <v>3592</v>
      </c>
      <c r="D156" s="616" t="s">
        <v>3883</v>
      </c>
      <c r="E156" s="616" t="s">
        <v>3884</v>
      </c>
      <c r="F156" s="619">
        <v>1</v>
      </c>
      <c r="G156" s="619">
        <v>3943</v>
      </c>
      <c r="H156" s="619">
        <v>1</v>
      </c>
      <c r="I156" s="619">
        <v>3943</v>
      </c>
      <c r="J156" s="619">
        <v>3</v>
      </c>
      <c r="K156" s="619">
        <v>11874</v>
      </c>
      <c r="L156" s="619">
        <v>3.0114126299771748</v>
      </c>
      <c r="M156" s="619">
        <v>3958</v>
      </c>
      <c r="N156" s="619">
        <v>2</v>
      </c>
      <c r="O156" s="619">
        <v>8278</v>
      </c>
      <c r="P156" s="640">
        <v>2.0994166878011664</v>
      </c>
      <c r="Q156" s="620">
        <v>4139</v>
      </c>
    </row>
    <row r="157" spans="1:17" ht="14.4" customHeight="1" x14ac:dyDescent="0.3">
      <c r="A157" s="615" t="s">
        <v>479</v>
      </c>
      <c r="B157" s="616" t="s">
        <v>3848</v>
      </c>
      <c r="C157" s="616" t="s">
        <v>3592</v>
      </c>
      <c r="D157" s="616" t="s">
        <v>3885</v>
      </c>
      <c r="E157" s="616" t="s">
        <v>3886</v>
      </c>
      <c r="F157" s="619"/>
      <c r="G157" s="619"/>
      <c r="H157" s="619"/>
      <c r="I157" s="619"/>
      <c r="J157" s="619"/>
      <c r="K157" s="619"/>
      <c r="L157" s="619"/>
      <c r="M157" s="619"/>
      <c r="N157" s="619">
        <v>1</v>
      </c>
      <c r="O157" s="619">
        <v>394</v>
      </c>
      <c r="P157" s="640"/>
      <c r="Q157" s="620">
        <v>394</v>
      </c>
    </row>
    <row r="158" spans="1:17" ht="14.4" customHeight="1" x14ac:dyDescent="0.3">
      <c r="A158" s="615" t="s">
        <v>479</v>
      </c>
      <c r="B158" s="616" t="s">
        <v>3848</v>
      </c>
      <c r="C158" s="616" t="s">
        <v>3592</v>
      </c>
      <c r="D158" s="616" t="s">
        <v>3887</v>
      </c>
      <c r="E158" s="616" t="s">
        <v>3888</v>
      </c>
      <c r="F158" s="619">
        <v>2</v>
      </c>
      <c r="G158" s="619">
        <v>5682</v>
      </c>
      <c r="H158" s="619">
        <v>1</v>
      </c>
      <c r="I158" s="619">
        <v>2841</v>
      </c>
      <c r="J158" s="619">
        <v>5</v>
      </c>
      <c r="K158" s="619">
        <v>14265</v>
      </c>
      <c r="L158" s="619">
        <v>2.510559662090813</v>
      </c>
      <c r="M158" s="619">
        <v>2853</v>
      </c>
      <c r="N158" s="619">
        <v>9</v>
      </c>
      <c r="O158" s="619">
        <v>26550</v>
      </c>
      <c r="P158" s="640">
        <v>4.6726504751847937</v>
      </c>
      <c r="Q158" s="620">
        <v>2950</v>
      </c>
    </row>
    <row r="159" spans="1:17" ht="14.4" customHeight="1" x14ac:dyDescent="0.3">
      <c r="A159" s="615" t="s">
        <v>479</v>
      </c>
      <c r="B159" s="616" t="s">
        <v>3848</v>
      </c>
      <c r="C159" s="616" t="s">
        <v>3592</v>
      </c>
      <c r="D159" s="616" t="s">
        <v>3708</v>
      </c>
      <c r="E159" s="616" t="s">
        <v>3709</v>
      </c>
      <c r="F159" s="619">
        <v>3</v>
      </c>
      <c r="G159" s="619">
        <v>1301</v>
      </c>
      <c r="H159" s="619">
        <v>1</v>
      </c>
      <c r="I159" s="619">
        <v>433.66666666666669</v>
      </c>
      <c r="J159" s="619">
        <v>1</v>
      </c>
      <c r="K159" s="619">
        <v>436</v>
      </c>
      <c r="L159" s="619">
        <v>0.33512682551883166</v>
      </c>
      <c r="M159" s="619">
        <v>436</v>
      </c>
      <c r="N159" s="619">
        <v>3</v>
      </c>
      <c r="O159" s="619">
        <v>1332</v>
      </c>
      <c r="P159" s="640">
        <v>1.0238278247501922</v>
      </c>
      <c r="Q159" s="620">
        <v>444</v>
      </c>
    </row>
    <row r="160" spans="1:17" ht="14.4" customHeight="1" x14ac:dyDescent="0.3">
      <c r="A160" s="615" t="s">
        <v>479</v>
      </c>
      <c r="B160" s="616" t="s">
        <v>3848</v>
      </c>
      <c r="C160" s="616" t="s">
        <v>3592</v>
      </c>
      <c r="D160" s="616" t="s">
        <v>3889</v>
      </c>
      <c r="E160" s="616" t="s">
        <v>3890</v>
      </c>
      <c r="F160" s="619">
        <v>1</v>
      </c>
      <c r="G160" s="619">
        <v>113</v>
      </c>
      <c r="H160" s="619">
        <v>1</v>
      </c>
      <c r="I160" s="619">
        <v>113</v>
      </c>
      <c r="J160" s="619">
        <v>1</v>
      </c>
      <c r="K160" s="619">
        <v>114</v>
      </c>
      <c r="L160" s="619">
        <v>1.0088495575221239</v>
      </c>
      <c r="M160" s="619">
        <v>114</v>
      </c>
      <c r="N160" s="619"/>
      <c r="O160" s="619"/>
      <c r="P160" s="640"/>
      <c r="Q160" s="620"/>
    </row>
    <row r="161" spans="1:17" ht="14.4" customHeight="1" x14ac:dyDescent="0.3">
      <c r="A161" s="615" t="s">
        <v>479</v>
      </c>
      <c r="B161" s="616" t="s">
        <v>3848</v>
      </c>
      <c r="C161" s="616" t="s">
        <v>3592</v>
      </c>
      <c r="D161" s="616" t="s">
        <v>3710</v>
      </c>
      <c r="E161" s="616" t="s">
        <v>3711</v>
      </c>
      <c r="F161" s="619">
        <v>12</v>
      </c>
      <c r="G161" s="619">
        <v>10175</v>
      </c>
      <c r="H161" s="619">
        <v>1</v>
      </c>
      <c r="I161" s="619">
        <v>847.91666666666663</v>
      </c>
      <c r="J161" s="619">
        <v>16</v>
      </c>
      <c r="K161" s="619">
        <v>13632</v>
      </c>
      <c r="L161" s="619">
        <v>1.3397542997542997</v>
      </c>
      <c r="M161" s="619">
        <v>852</v>
      </c>
      <c r="N161" s="619">
        <v>23</v>
      </c>
      <c r="O161" s="619">
        <v>19895</v>
      </c>
      <c r="P161" s="640">
        <v>1.9552825552825552</v>
      </c>
      <c r="Q161" s="620">
        <v>865</v>
      </c>
    </row>
    <row r="162" spans="1:17" ht="14.4" customHeight="1" x14ac:dyDescent="0.3">
      <c r="A162" s="615" t="s">
        <v>479</v>
      </c>
      <c r="B162" s="616" t="s">
        <v>3848</v>
      </c>
      <c r="C162" s="616" t="s">
        <v>3592</v>
      </c>
      <c r="D162" s="616" t="s">
        <v>3891</v>
      </c>
      <c r="E162" s="616" t="s">
        <v>3892</v>
      </c>
      <c r="F162" s="619">
        <v>11</v>
      </c>
      <c r="G162" s="619">
        <v>1239</v>
      </c>
      <c r="H162" s="619">
        <v>1</v>
      </c>
      <c r="I162" s="619">
        <v>112.63636363636364</v>
      </c>
      <c r="J162" s="619">
        <v>12</v>
      </c>
      <c r="K162" s="619">
        <v>1368</v>
      </c>
      <c r="L162" s="619">
        <v>1.1041162227602905</v>
      </c>
      <c r="M162" s="619">
        <v>114</v>
      </c>
      <c r="N162" s="619">
        <v>28</v>
      </c>
      <c r="O162" s="619">
        <v>3360</v>
      </c>
      <c r="P162" s="640">
        <v>2.7118644067796609</v>
      </c>
      <c r="Q162" s="620">
        <v>120</v>
      </c>
    </row>
    <row r="163" spans="1:17" ht="14.4" customHeight="1" x14ac:dyDescent="0.3">
      <c r="A163" s="615" t="s">
        <v>479</v>
      </c>
      <c r="B163" s="616" t="s">
        <v>3848</v>
      </c>
      <c r="C163" s="616" t="s">
        <v>3592</v>
      </c>
      <c r="D163" s="616" t="s">
        <v>3720</v>
      </c>
      <c r="E163" s="616" t="s">
        <v>3721</v>
      </c>
      <c r="F163" s="619">
        <v>1</v>
      </c>
      <c r="G163" s="619">
        <v>177</v>
      </c>
      <c r="H163" s="619">
        <v>1</v>
      </c>
      <c r="I163" s="619">
        <v>177</v>
      </c>
      <c r="J163" s="619"/>
      <c r="K163" s="619"/>
      <c r="L163" s="619"/>
      <c r="M163" s="619"/>
      <c r="N163" s="619"/>
      <c r="O163" s="619"/>
      <c r="P163" s="640"/>
      <c r="Q163" s="620"/>
    </row>
    <row r="164" spans="1:17" ht="14.4" customHeight="1" x14ac:dyDescent="0.3">
      <c r="A164" s="615" t="s">
        <v>479</v>
      </c>
      <c r="B164" s="616" t="s">
        <v>3848</v>
      </c>
      <c r="C164" s="616" t="s">
        <v>3592</v>
      </c>
      <c r="D164" s="616" t="s">
        <v>3893</v>
      </c>
      <c r="E164" s="616" t="s">
        <v>3894</v>
      </c>
      <c r="F164" s="619">
        <v>3</v>
      </c>
      <c r="G164" s="619">
        <v>930</v>
      </c>
      <c r="H164" s="619">
        <v>1</v>
      </c>
      <c r="I164" s="619">
        <v>310</v>
      </c>
      <c r="J164" s="619">
        <v>3</v>
      </c>
      <c r="K164" s="619">
        <v>933</v>
      </c>
      <c r="L164" s="619">
        <v>1.0032258064516129</v>
      </c>
      <c r="M164" s="619">
        <v>311</v>
      </c>
      <c r="N164" s="619">
        <v>3</v>
      </c>
      <c r="O164" s="619">
        <v>957</v>
      </c>
      <c r="P164" s="640">
        <v>1.0290322580645161</v>
      </c>
      <c r="Q164" s="620">
        <v>319</v>
      </c>
    </row>
    <row r="165" spans="1:17" ht="14.4" customHeight="1" x14ac:dyDescent="0.3">
      <c r="A165" s="615" t="s">
        <v>479</v>
      </c>
      <c r="B165" s="616" t="s">
        <v>3848</v>
      </c>
      <c r="C165" s="616" t="s">
        <v>3592</v>
      </c>
      <c r="D165" s="616" t="s">
        <v>3895</v>
      </c>
      <c r="E165" s="616" t="s">
        <v>3896</v>
      </c>
      <c r="F165" s="619">
        <v>1</v>
      </c>
      <c r="G165" s="619">
        <v>2510</v>
      </c>
      <c r="H165" s="619">
        <v>1</v>
      </c>
      <c r="I165" s="619">
        <v>2510</v>
      </c>
      <c r="J165" s="619">
        <v>2</v>
      </c>
      <c r="K165" s="619">
        <v>5080</v>
      </c>
      <c r="L165" s="619">
        <v>2.0239043824701195</v>
      </c>
      <c r="M165" s="619">
        <v>2540</v>
      </c>
      <c r="N165" s="619"/>
      <c r="O165" s="619"/>
      <c r="P165" s="640"/>
      <c r="Q165" s="620"/>
    </row>
    <row r="166" spans="1:17" ht="14.4" customHeight="1" x14ac:dyDescent="0.3">
      <c r="A166" s="615" t="s">
        <v>479</v>
      </c>
      <c r="B166" s="616" t="s">
        <v>3848</v>
      </c>
      <c r="C166" s="616" t="s">
        <v>3592</v>
      </c>
      <c r="D166" s="616" t="s">
        <v>3897</v>
      </c>
      <c r="E166" s="616" t="s">
        <v>3898</v>
      </c>
      <c r="F166" s="619">
        <v>1</v>
      </c>
      <c r="G166" s="619">
        <v>5461</v>
      </c>
      <c r="H166" s="619">
        <v>1</v>
      </c>
      <c r="I166" s="619">
        <v>5461</v>
      </c>
      <c r="J166" s="619"/>
      <c r="K166" s="619"/>
      <c r="L166" s="619"/>
      <c r="M166" s="619"/>
      <c r="N166" s="619">
        <v>10</v>
      </c>
      <c r="O166" s="619">
        <v>57060</v>
      </c>
      <c r="P166" s="640">
        <v>10.448635780992491</v>
      </c>
      <c r="Q166" s="620">
        <v>5706</v>
      </c>
    </row>
    <row r="167" spans="1:17" ht="14.4" customHeight="1" x14ac:dyDescent="0.3">
      <c r="A167" s="615" t="s">
        <v>479</v>
      </c>
      <c r="B167" s="616" t="s">
        <v>3848</v>
      </c>
      <c r="C167" s="616" t="s">
        <v>3592</v>
      </c>
      <c r="D167" s="616" t="s">
        <v>3899</v>
      </c>
      <c r="E167" s="616" t="s">
        <v>3900</v>
      </c>
      <c r="F167" s="619"/>
      <c r="G167" s="619"/>
      <c r="H167" s="619"/>
      <c r="I167" s="619"/>
      <c r="J167" s="619"/>
      <c r="K167" s="619"/>
      <c r="L167" s="619"/>
      <c r="M167" s="619"/>
      <c r="N167" s="619">
        <v>1</v>
      </c>
      <c r="O167" s="619">
        <v>2548</v>
      </c>
      <c r="P167" s="640"/>
      <c r="Q167" s="620">
        <v>2548</v>
      </c>
    </row>
    <row r="168" spans="1:17" ht="14.4" customHeight="1" x14ac:dyDescent="0.3">
      <c r="A168" s="615" t="s">
        <v>479</v>
      </c>
      <c r="B168" s="616" t="s">
        <v>3848</v>
      </c>
      <c r="C168" s="616" t="s">
        <v>3592</v>
      </c>
      <c r="D168" s="616" t="s">
        <v>3749</v>
      </c>
      <c r="E168" s="616" t="s">
        <v>3750</v>
      </c>
      <c r="F168" s="619">
        <v>1</v>
      </c>
      <c r="G168" s="619">
        <v>4374</v>
      </c>
      <c r="H168" s="619">
        <v>1</v>
      </c>
      <c r="I168" s="619">
        <v>4374</v>
      </c>
      <c r="J168" s="619">
        <v>4</v>
      </c>
      <c r="K168" s="619">
        <v>17556</v>
      </c>
      <c r="L168" s="619">
        <v>4.0137174211248281</v>
      </c>
      <c r="M168" s="619">
        <v>4389</v>
      </c>
      <c r="N168" s="619">
        <v>5</v>
      </c>
      <c r="O168" s="619">
        <v>22850</v>
      </c>
      <c r="P168" s="640">
        <v>5.2240512117055324</v>
      </c>
      <c r="Q168" s="620">
        <v>4570</v>
      </c>
    </row>
    <row r="169" spans="1:17" ht="14.4" customHeight="1" x14ac:dyDescent="0.3">
      <c r="A169" s="615" t="s">
        <v>479</v>
      </c>
      <c r="B169" s="616" t="s">
        <v>3848</v>
      </c>
      <c r="C169" s="616" t="s">
        <v>3592</v>
      </c>
      <c r="D169" s="616" t="s">
        <v>3901</v>
      </c>
      <c r="E169" s="616" t="s">
        <v>3902</v>
      </c>
      <c r="F169" s="619">
        <v>1</v>
      </c>
      <c r="G169" s="619">
        <v>2819</v>
      </c>
      <c r="H169" s="619">
        <v>1</v>
      </c>
      <c r="I169" s="619">
        <v>2819</v>
      </c>
      <c r="J169" s="619">
        <v>2</v>
      </c>
      <c r="K169" s="619">
        <v>5662</v>
      </c>
      <c r="L169" s="619">
        <v>2.0085136573252926</v>
      </c>
      <c r="M169" s="619">
        <v>2831</v>
      </c>
      <c r="N169" s="619"/>
      <c r="O169" s="619"/>
      <c r="P169" s="640"/>
      <c r="Q169" s="620"/>
    </row>
    <row r="170" spans="1:17" ht="14.4" customHeight="1" x14ac:dyDescent="0.3">
      <c r="A170" s="615" t="s">
        <v>479</v>
      </c>
      <c r="B170" s="616" t="s">
        <v>3848</v>
      </c>
      <c r="C170" s="616" t="s">
        <v>3592</v>
      </c>
      <c r="D170" s="616" t="s">
        <v>3903</v>
      </c>
      <c r="E170" s="616" t="s">
        <v>3904</v>
      </c>
      <c r="F170" s="619"/>
      <c r="G170" s="619"/>
      <c r="H170" s="619"/>
      <c r="I170" s="619"/>
      <c r="J170" s="619">
        <v>1</v>
      </c>
      <c r="K170" s="619">
        <v>3795</v>
      </c>
      <c r="L170" s="619"/>
      <c r="M170" s="619">
        <v>3795</v>
      </c>
      <c r="N170" s="619"/>
      <c r="O170" s="619"/>
      <c r="P170" s="640"/>
      <c r="Q170" s="620"/>
    </row>
    <row r="171" spans="1:17" ht="14.4" customHeight="1" x14ac:dyDescent="0.3">
      <c r="A171" s="615" t="s">
        <v>479</v>
      </c>
      <c r="B171" s="616" t="s">
        <v>3848</v>
      </c>
      <c r="C171" s="616" t="s">
        <v>3592</v>
      </c>
      <c r="D171" s="616" t="s">
        <v>3905</v>
      </c>
      <c r="E171" s="616" t="s">
        <v>3906</v>
      </c>
      <c r="F171" s="619"/>
      <c r="G171" s="619"/>
      <c r="H171" s="619"/>
      <c r="I171" s="619"/>
      <c r="J171" s="619">
        <v>2</v>
      </c>
      <c r="K171" s="619">
        <v>16100</v>
      </c>
      <c r="L171" s="619"/>
      <c r="M171" s="619">
        <v>8050</v>
      </c>
      <c r="N171" s="619">
        <v>3</v>
      </c>
      <c r="O171" s="619">
        <v>24918</v>
      </c>
      <c r="P171" s="640"/>
      <c r="Q171" s="620">
        <v>8306</v>
      </c>
    </row>
    <row r="172" spans="1:17" ht="14.4" customHeight="1" x14ac:dyDescent="0.3">
      <c r="A172" s="615" t="s">
        <v>479</v>
      </c>
      <c r="B172" s="616" t="s">
        <v>3848</v>
      </c>
      <c r="C172" s="616" t="s">
        <v>3592</v>
      </c>
      <c r="D172" s="616" t="s">
        <v>3907</v>
      </c>
      <c r="E172" s="616" t="s">
        <v>3908</v>
      </c>
      <c r="F172" s="619">
        <v>2</v>
      </c>
      <c r="G172" s="619">
        <v>1372</v>
      </c>
      <c r="H172" s="619">
        <v>1</v>
      </c>
      <c r="I172" s="619">
        <v>686</v>
      </c>
      <c r="J172" s="619"/>
      <c r="K172" s="619"/>
      <c r="L172" s="619"/>
      <c r="M172" s="619"/>
      <c r="N172" s="619">
        <v>6</v>
      </c>
      <c r="O172" s="619">
        <v>4260</v>
      </c>
      <c r="P172" s="640">
        <v>3.1049562682215743</v>
      </c>
      <c r="Q172" s="620">
        <v>710</v>
      </c>
    </row>
    <row r="173" spans="1:17" ht="14.4" customHeight="1" x14ac:dyDescent="0.3">
      <c r="A173" s="615" t="s">
        <v>479</v>
      </c>
      <c r="B173" s="616" t="s">
        <v>3848</v>
      </c>
      <c r="C173" s="616" t="s">
        <v>3592</v>
      </c>
      <c r="D173" s="616" t="s">
        <v>3909</v>
      </c>
      <c r="E173" s="616" t="s">
        <v>3910</v>
      </c>
      <c r="F173" s="619">
        <v>4</v>
      </c>
      <c r="G173" s="619">
        <v>1254</v>
      </c>
      <c r="H173" s="619">
        <v>1</v>
      </c>
      <c r="I173" s="619">
        <v>313.5</v>
      </c>
      <c r="J173" s="619">
        <v>2</v>
      </c>
      <c r="K173" s="619">
        <v>636</v>
      </c>
      <c r="L173" s="619">
        <v>0.50717703349282295</v>
      </c>
      <c r="M173" s="619">
        <v>318</v>
      </c>
      <c r="N173" s="619">
        <v>2</v>
      </c>
      <c r="O173" s="619">
        <v>662</v>
      </c>
      <c r="P173" s="640">
        <v>0.52791068580542266</v>
      </c>
      <c r="Q173" s="620">
        <v>331</v>
      </c>
    </row>
    <row r="174" spans="1:17" ht="14.4" customHeight="1" x14ac:dyDescent="0.3">
      <c r="A174" s="615" t="s">
        <v>479</v>
      </c>
      <c r="B174" s="616" t="s">
        <v>3848</v>
      </c>
      <c r="C174" s="616" t="s">
        <v>3592</v>
      </c>
      <c r="D174" s="616" t="s">
        <v>3773</v>
      </c>
      <c r="E174" s="616" t="s">
        <v>3774</v>
      </c>
      <c r="F174" s="619"/>
      <c r="G174" s="619"/>
      <c r="H174" s="619"/>
      <c r="I174" s="619"/>
      <c r="J174" s="619">
        <v>1</v>
      </c>
      <c r="K174" s="619">
        <v>5589</v>
      </c>
      <c r="L174" s="619"/>
      <c r="M174" s="619">
        <v>5589</v>
      </c>
      <c r="N174" s="619"/>
      <c r="O174" s="619"/>
      <c r="P174" s="640"/>
      <c r="Q174" s="620"/>
    </row>
    <row r="175" spans="1:17" ht="14.4" customHeight="1" x14ac:dyDescent="0.3">
      <c r="A175" s="615" t="s">
        <v>479</v>
      </c>
      <c r="B175" s="616" t="s">
        <v>3848</v>
      </c>
      <c r="C175" s="616" t="s">
        <v>3592</v>
      </c>
      <c r="D175" s="616" t="s">
        <v>3911</v>
      </c>
      <c r="E175" s="616" t="s">
        <v>3912</v>
      </c>
      <c r="F175" s="619">
        <v>1</v>
      </c>
      <c r="G175" s="619">
        <v>1324</v>
      </c>
      <c r="H175" s="619">
        <v>1</v>
      </c>
      <c r="I175" s="619">
        <v>1324</v>
      </c>
      <c r="J175" s="619">
        <v>1</v>
      </c>
      <c r="K175" s="619">
        <v>1330</v>
      </c>
      <c r="L175" s="619">
        <v>1.0045317220543806</v>
      </c>
      <c r="M175" s="619">
        <v>1330</v>
      </c>
      <c r="N175" s="619"/>
      <c r="O175" s="619"/>
      <c r="P175" s="640"/>
      <c r="Q175" s="620"/>
    </row>
    <row r="176" spans="1:17" ht="14.4" customHeight="1" x14ac:dyDescent="0.3">
      <c r="A176" s="615" t="s">
        <v>479</v>
      </c>
      <c r="B176" s="616" t="s">
        <v>3848</v>
      </c>
      <c r="C176" s="616" t="s">
        <v>3592</v>
      </c>
      <c r="D176" s="616" t="s">
        <v>3913</v>
      </c>
      <c r="E176" s="616" t="s">
        <v>3914</v>
      </c>
      <c r="F176" s="619"/>
      <c r="G176" s="619"/>
      <c r="H176" s="619"/>
      <c r="I176" s="619"/>
      <c r="J176" s="619">
        <v>1</v>
      </c>
      <c r="K176" s="619">
        <v>1071</v>
      </c>
      <c r="L176" s="619"/>
      <c r="M176" s="619">
        <v>1071</v>
      </c>
      <c r="N176" s="619">
        <v>1</v>
      </c>
      <c r="O176" s="619">
        <v>1109</v>
      </c>
      <c r="P176" s="640"/>
      <c r="Q176" s="620">
        <v>1109</v>
      </c>
    </row>
    <row r="177" spans="1:17" ht="14.4" customHeight="1" x14ac:dyDescent="0.3">
      <c r="A177" s="615" t="s">
        <v>479</v>
      </c>
      <c r="B177" s="616" t="s">
        <v>3848</v>
      </c>
      <c r="C177" s="616" t="s">
        <v>3592</v>
      </c>
      <c r="D177" s="616" t="s">
        <v>3915</v>
      </c>
      <c r="E177" s="616" t="s">
        <v>3916</v>
      </c>
      <c r="F177" s="619"/>
      <c r="G177" s="619"/>
      <c r="H177" s="619"/>
      <c r="I177" s="619"/>
      <c r="J177" s="619"/>
      <c r="K177" s="619"/>
      <c r="L177" s="619"/>
      <c r="M177" s="619"/>
      <c r="N177" s="619">
        <v>1</v>
      </c>
      <c r="O177" s="619">
        <v>1238</v>
      </c>
      <c r="P177" s="640"/>
      <c r="Q177" s="620">
        <v>1238</v>
      </c>
    </row>
    <row r="178" spans="1:17" ht="14.4" customHeight="1" x14ac:dyDescent="0.3">
      <c r="A178" s="615" t="s">
        <v>479</v>
      </c>
      <c r="B178" s="616" t="s">
        <v>3848</v>
      </c>
      <c r="C178" s="616" t="s">
        <v>3592</v>
      </c>
      <c r="D178" s="616" t="s">
        <v>3917</v>
      </c>
      <c r="E178" s="616" t="s">
        <v>3918</v>
      </c>
      <c r="F178" s="619">
        <v>1</v>
      </c>
      <c r="G178" s="619">
        <v>1796</v>
      </c>
      <c r="H178" s="619">
        <v>1</v>
      </c>
      <c r="I178" s="619">
        <v>1796</v>
      </c>
      <c r="J178" s="619"/>
      <c r="K178" s="619"/>
      <c r="L178" s="619"/>
      <c r="M178" s="619"/>
      <c r="N178" s="619"/>
      <c r="O178" s="619"/>
      <c r="P178" s="640"/>
      <c r="Q178" s="620"/>
    </row>
    <row r="179" spans="1:17" ht="14.4" customHeight="1" x14ac:dyDescent="0.3">
      <c r="A179" s="615" t="s">
        <v>479</v>
      </c>
      <c r="B179" s="616" t="s">
        <v>3848</v>
      </c>
      <c r="C179" s="616" t="s">
        <v>3592</v>
      </c>
      <c r="D179" s="616" t="s">
        <v>3919</v>
      </c>
      <c r="E179" s="616" t="s">
        <v>3920</v>
      </c>
      <c r="F179" s="619"/>
      <c r="G179" s="619"/>
      <c r="H179" s="619"/>
      <c r="I179" s="619"/>
      <c r="J179" s="619"/>
      <c r="K179" s="619"/>
      <c r="L179" s="619"/>
      <c r="M179" s="619"/>
      <c r="N179" s="619">
        <v>1</v>
      </c>
      <c r="O179" s="619">
        <v>2387</v>
      </c>
      <c r="P179" s="640"/>
      <c r="Q179" s="620">
        <v>2387</v>
      </c>
    </row>
    <row r="180" spans="1:17" ht="14.4" customHeight="1" x14ac:dyDescent="0.3">
      <c r="A180" s="615" t="s">
        <v>479</v>
      </c>
      <c r="B180" s="616" t="s">
        <v>3848</v>
      </c>
      <c r="C180" s="616" t="s">
        <v>3592</v>
      </c>
      <c r="D180" s="616" t="s">
        <v>3921</v>
      </c>
      <c r="E180" s="616" t="s">
        <v>3870</v>
      </c>
      <c r="F180" s="619"/>
      <c r="G180" s="619"/>
      <c r="H180" s="619"/>
      <c r="I180" s="619"/>
      <c r="J180" s="619"/>
      <c r="K180" s="619"/>
      <c r="L180" s="619"/>
      <c r="M180" s="619"/>
      <c r="N180" s="619">
        <v>2</v>
      </c>
      <c r="O180" s="619">
        <v>1186</v>
      </c>
      <c r="P180" s="640"/>
      <c r="Q180" s="620">
        <v>593</v>
      </c>
    </row>
    <row r="181" spans="1:17" ht="14.4" customHeight="1" x14ac:dyDescent="0.3">
      <c r="A181" s="615" t="s">
        <v>479</v>
      </c>
      <c r="B181" s="616" t="s">
        <v>3848</v>
      </c>
      <c r="C181" s="616" t="s">
        <v>3592</v>
      </c>
      <c r="D181" s="616" t="s">
        <v>3922</v>
      </c>
      <c r="E181" s="616" t="s">
        <v>3923</v>
      </c>
      <c r="F181" s="619"/>
      <c r="G181" s="619"/>
      <c r="H181" s="619"/>
      <c r="I181" s="619"/>
      <c r="J181" s="619"/>
      <c r="K181" s="619"/>
      <c r="L181" s="619"/>
      <c r="M181" s="619"/>
      <c r="N181" s="619">
        <v>1</v>
      </c>
      <c r="O181" s="619">
        <v>1299</v>
      </c>
      <c r="P181" s="640"/>
      <c r="Q181" s="620">
        <v>1299</v>
      </c>
    </row>
    <row r="182" spans="1:17" ht="14.4" customHeight="1" x14ac:dyDescent="0.3">
      <c r="A182" s="615" t="s">
        <v>479</v>
      </c>
      <c r="B182" s="616" t="s">
        <v>3848</v>
      </c>
      <c r="C182" s="616" t="s">
        <v>3592</v>
      </c>
      <c r="D182" s="616" t="s">
        <v>3817</v>
      </c>
      <c r="E182" s="616" t="s">
        <v>3818</v>
      </c>
      <c r="F182" s="619">
        <v>1</v>
      </c>
      <c r="G182" s="619">
        <v>1934</v>
      </c>
      <c r="H182" s="619">
        <v>1</v>
      </c>
      <c r="I182" s="619">
        <v>1934</v>
      </c>
      <c r="J182" s="619"/>
      <c r="K182" s="619"/>
      <c r="L182" s="619"/>
      <c r="M182" s="619"/>
      <c r="N182" s="619"/>
      <c r="O182" s="619"/>
      <c r="P182" s="640"/>
      <c r="Q182" s="620"/>
    </row>
    <row r="183" spans="1:17" ht="14.4" customHeight="1" x14ac:dyDescent="0.3">
      <c r="A183" s="615" t="s">
        <v>479</v>
      </c>
      <c r="B183" s="616" t="s">
        <v>3848</v>
      </c>
      <c r="C183" s="616" t="s">
        <v>3592</v>
      </c>
      <c r="D183" s="616" t="s">
        <v>3924</v>
      </c>
      <c r="E183" s="616" t="s">
        <v>3925</v>
      </c>
      <c r="F183" s="619"/>
      <c r="G183" s="619"/>
      <c r="H183" s="619"/>
      <c r="I183" s="619"/>
      <c r="J183" s="619"/>
      <c r="K183" s="619"/>
      <c r="L183" s="619"/>
      <c r="M183" s="619"/>
      <c r="N183" s="619">
        <v>1</v>
      </c>
      <c r="O183" s="619">
        <v>3713</v>
      </c>
      <c r="P183" s="640"/>
      <c r="Q183" s="620">
        <v>3713</v>
      </c>
    </row>
    <row r="184" spans="1:17" ht="14.4" customHeight="1" x14ac:dyDescent="0.3">
      <c r="A184" s="615" t="s">
        <v>479</v>
      </c>
      <c r="B184" s="616" t="s">
        <v>3848</v>
      </c>
      <c r="C184" s="616" t="s">
        <v>3592</v>
      </c>
      <c r="D184" s="616" t="s">
        <v>3926</v>
      </c>
      <c r="E184" s="616" t="s">
        <v>3927</v>
      </c>
      <c r="F184" s="619"/>
      <c r="G184" s="619"/>
      <c r="H184" s="619"/>
      <c r="I184" s="619"/>
      <c r="J184" s="619"/>
      <c r="K184" s="619"/>
      <c r="L184" s="619"/>
      <c r="M184" s="619"/>
      <c r="N184" s="619">
        <v>1</v>
      </c>
      <c r="O184" s="619">
        <v>2758</v>
      </c>
      <c r="P184" s="640"/>
      <c r="Q184" s="620">
        <v>2758</v>
      </c>
    </row>
    <row r="185" spans="1:17" ht="14.4" customHeight="1" x14ac:dyDescent="0.3">
      <c r="A185" s="615" t="s">
        <v>479</v>
      </c>
      <c r="B185" s="616" t="s">
        <v>3928</v>
      </c>
      <c r="C185" s="616" t="s">
        <v>3592</v>
      </c>
      <c r="D185" s="616" t="s">
        <v>3929</v>
      </c>
      <c r="E185" s="616" t="s">
        <v>3930</v>
      </c>
      <c r="F185" s="619"/>
      <c r="G185" s="619"/>
      <c r="H185" s="619"/>
      <c r="I185" s="619"/>
      <c r="J185" s="619">
        <v>1</v>
      </c>
      <c r="K185" s="619">
        <v>5482</v>
      </c>
      <c r="L185" s="619"/>
      <c r="M185" s="619">
        <v>5482</v>
      </c>
      <c r="N185" s="619"/>
      <c r="O185" s="619"/>
      <c r="P185" s="640"/>
      <c r="Q185" s="620"/>
    </row>
    <row r="186" spans="1:17" ht="14.4" customHeight="1" x14ac:dyDescent="0.3">
      <c r="A186" s="615" t="s">
        <v>479</v>
      </c>
      <c r="B186" s="616" t="s">
        <v>3928</v>
      </c>
      <c r="C186" s="616" t="s">
        <v>3592</v>
      </c>
      <c r="D186" s="616" t="s">
        <v>3931</v>
      </c>
      <c r="E186" s="616" t="s">
        <v>3932</v>
      </c>
      <c r="F186" s="619"/>
      <c r="G186" s="619"/>
      <c r="H186" s="619"/>
      <c r="I186" s="619"/>
      <c r="J186" s="619">
        <v>2</v>
      </c>
      <c r="K186" s="619">
        <v>4476</v>
      </c>
      <c r="L186" s="619"/>
      <c r="M186" s="619">
        <v>2238</v>
      </c>
      <c r="N186" s="619"/>
      <c r="O186" s="619"/>
      <c r="P186" s="640"/>
      <c r="Q186" s="620"/>
    </row>
    <row r="187" spans="1:17" ht="14.4" customHeight="1" x14ac:dyDescent="0.3">
      <c r="A187" s="615" t="s">
        <v>479</v>
      </c>
      <c r="B187" s="616" t="s">
        <v>3928</v>
      </c>
      <c r="C187" s="616" t="s">
        <v>3592</v>
      </c>
      <c r="D187" s="616" t="s">
        <v>3933</v>
      </c>
      <c r="E187" s="616" t="s">
        <v>3934</v>
      </c>
      <c r="F187" s="619">
        <v>3</v>
      </c>
      <c r="G187" s="619">
        <v>519</v>
      </c>
      <c r="H187" s="619">
        <v>1</v>
      </c>
      <c r="I187" s="619">
        <v>173</v>
      </c>
      <c r="J187" s="619">
        <v>46</v>
      </c>
      <c r="K187" s="619">
        <v>8004</v>
      </c>
      <c r="L187" s="619">
        <v>15.421965317919074</v>
      </c>
      <c r="M187" s="619">
        <v>174</v>
      </c>
      <c r="N187" s="619">
        <v>4</v>
      </c>
      <c r="O187" s="619">
        <v>696</v>
      </c>
      <c r="P187" s="640">
        <v>1.3410404624277457</v>
      </c>
      <c r="Q187" s="620">
        <v>174</v>
      </c>
    </row>
    <row r="188" spans="1:17" ht="14.4" customHeight="1" x14ac:dyDescent="0.3">
      <c r="A188" s="615" t="s">
        <v>479</v>
      </c>
      <c r="B188" s="616" t="s">
        <v>3928</v>
      </c>
      <c r="C188" s="616" t="s">
        <v>3592</v>
      </c>
      <c r="D188" s="616" t="s">
        <v>3935</v>
      </c>
      <c r="E188" s="616" t="s">
        <v>3936</v>
      </c>
      <c r="F188" s="619"/>
      <c r="G188" s="619"/>
      <c r="H188" s="619"/>
      <c r="I188" s="619"/>
      <c r="J188" s="619">
        <v>12</v>
      </c>
      <c r="K188" s="619">
        <v>63780</v>
      </c>
      <c r="L188" s="619"/>
      <c r="M188" s="619">
        <v>5315</v>
      </c>
      <c r="N188" s="619"/>
      <c r="O188" s="619"/>
      <c r="P188" s="640"/>
      <c r="Q188" s="620"/>
    </row>
    <row r="189" spans="1:17" ht="14.4" customHeight="1" x14ac:dyDescent="0.3">
      <c r="A189" s="615" t="s">
        <v>479</v>
      </c>
      <c r="B189" s="616" t="s">
        <v>3928</v>
      </c>
      <c r="C189" s="616" t="s">
        <v>3592</v>
      </c>
      <c r="D189" s="616" t="s">
        <v>3937</v>
      </c>
      <c r="E189" s="616" t="s">
        <v>3938</v>
      </c>
      <c r="F189" s="619">
        <v>3</v>
      </c>
      <c r="G189" s="619">
        <v>10833</v>
      </c>
      <c r="H189" s="619">
        <v>1</v>
      </c>
      <c r="I189" s="619">
        <v>3611</v>
      </c>
      <c r="J189" s="619">
        <v>3</v>
      </c>
      <c r="K189" s="619">
        <v>10887</v>
      </c>
      <c r="L189" s="619">
        <v>1.0049847687621158</v>
      </c>
      <c r="M189" s="619">
        <v>3629</v>
      </c>
      <c r="N189" s="619">
        <v>3</v>
      </c>
      <c r="O189" s="619">
        <v>11460</v>
      </c>
      <c r="P189" s="640">
        <v>1.0578787039601218</v>
      </c>
      <c r="Q189" s="620">
        <v>3820</v>
      </c>
    </row>
    <row r="190" spans="1:17" ht="14.4" customHeight="1" x14ac:dyDescent="0.3">
      <c r="A190" s="615" t="s">
        <v>479</v>
      </c>
      <c r="B190" s="616" t="s">
        <v>3928</v>
      </c>
      <c r="C190" s="616" t="s">
        <v>3592</v>
      </c>
      <c r="D190" s="616" t="s">
        <v>3939</v>
      </c>
      <c r="E190" s="616" t="s">
        <v>3940</v>
      </c>
      <c r="F190" s="619">
        <v>1</v>
      </c>
      <c r="G190" s="619">
        <v>1505</v>
      </c>
      <c r="H190" s="619">
        <v>1</v>
      </c>
      <c r="I190" s="619">
        <v>1505</v>
      </c>
      <c r="J190" s="619">
        <v>1</v>
      </c>
      <c r="K190" s="619">
        <v>1512</v>
      </c>
      <c r="L190" s="619">
        <v>1.0046511627906978</v>
      </c>
      <c r="M190" s="619">
        <v>1512</v>
      </c>
      <c r="N190" s="619">
        <v>1</v>
      </c>
      <c r="O190" s="619">
        <v>1592</v>
      </c>
      <c r="P190" s="640">
        <v>1.0578073089700997</v>
      </c>
      <c r="Q190" s="620">
        <v>1592</v>
      </c>
    </row>
    <row r="191" spans="1:17" ht="14.4" customHeight="1" x14ac:dyDescent="0.3">
      <c r="A191" s="615" t="s">
        <v>479</v>
      </c>
      <c r="B191" s="616" t="s">
        <v>3928</v>
      </c>
      <c r="C191" s="616" t="s">
        <v>3592</v>
      </c>
      <c r="D191" s="616" t="s">
        <v>3941</v>
      </c>
      <c r="E191" s="616" t="s">
        <v>3942</v>
      </c>
      <c r="F191" s="619">
        <v>1</v>
      </c>
      <c r="G191" s="619">
        <v>2708</v>
      </c>
      <c r="H191" s="619">
        <v>1</v>
      </c>
      <c r="I191" s="619">
        <v>2708</v>
      </c>
      <c r="J191" s="619">
        <v>1</v>
      </c>
      <c r="K191" s="619">
        <v>2722</v>
      </c>
      <c r="L191" s="619">
        <v>1.0051698670605613</v>
      </c>
      <c r="M191" s="619">
        <v>2722</v>
      </c>
      <c r="N191" s="619">
        <v>1</v>
      </c>
      <c r="O191" s="619">
        <v>2865</v>
      </c>
      <c r="P191" s="640">
        <v>1.0579763663220088</v>
      </c>
      <c r="Q191" s="620">
        <v>2865</v>
      </c>
    </row>
    <row r="192" spans="1:17" ht="14.4" customHeight="1" x14ac:dyDescent="0.3">
      <c r="A192" s="615" t="s">
        <v>479</v>
      </c>
      <c r="B192" s="616" t="s">
        <v>3928</v>
      </c>
      <c r="C192" s="616" t="s">
        <v>3592</v>
      </c>
      <c r="D192" s="616" t="s">
        <v>3943</v>
      </c>
      <c r="E192" s="616" t="s">
        <v>3944</v>
      </c>
      <c r="F192" s="619">
        <v>1</v>
      </c>
      <c r="G192" s="619">
        <v>1121</v>
      </c>
      <c r="H192" s="619">
        <v>1</v>
      </c>
      <c r="I192" s="619">
        <v>1121</v>
      </c>
      <c r="J192" s="619">
        <v>1</v>
      </c>
      <c r="K192" s="619">
        <v>1128</v>
      </c>
      <c r="L192" s="619">
        <v>1.0062444246208742</v>
      </c>
      <c r="M192" s="619">
        <v>1128</v>
      </c>
      <c r="N192" s="619">
        <v>1</v>
      </c>
      <c r="O192" s="619">
        <v>1189</v>
      </c>
      <c r="P192" s="640">
        <v>1.0606601248884924</v>
      </c>
      <c r="Q192" s="620">
        <v>1189</v>
      </c>
    </row>
    <row r="193" spans="1:17" ht="14.4" customHeight="1" x14ac:dyDescent="0.3">
      <c r="A193" s="615" t="s">
        <v>479</v>
      </c>
      <c r="B193" s="616" t="s">
        <v>3928</v>
      </c>
      <c r="C193" s="616" t="s">
        <v>3592</v>
      </c>
      <c r="D193" s="616" t="s">
        <v>3945</v>
      </c>
      <c r="E193" s="616" t="s">
        <v>3946</v>
      </c>
      <c r="F193" s="619">
        <v>2</v>
      </c>
      <c r="G193" s="619">
        <v>7686</v>
      </c>
      <c r="H193" s="619">
        <v>1</v>
      </c>
      <c r="I193" s="619">
        <v>3843</v>
      </c>
      <c r="J193" s="619">
        <v>2</v>
      </c>
      <c r="K193" s="619">
        <v>7716</v>
      </c>
      <c r="L193" s="619">
        <v>1.0039032006245121</v>
      </c>
      <c r="M193" s="619">
        <v>3858</v>
      </c>
      <c r="N193" s="619">
        <v>1</v>
      </c>
      <c r="O193" s="619">
        <v>3979</v>
      </c>
      <c r="P193" s="640">
        <v>0.51769450949778817</v>
      </c>
      <c r="Q193" s="620">
        <v>3979</v>
      </c>
    </row>
    <row r="194" spans="1:17" ht="14.4" customHeight="1" x14ac:dyDescent="0.3">
      <c r="A194" s="615" t="s">
        <v>479</v>
      </c>
      <c r="B194" s="616" t="s">
        <v>3928</v>
      </c>
      <c r="C194" s="616" t="s">
        <v>3592</v>
      </c>
      <c r="D194" s="616" t="s">
        <v>3947</v>
      </c>
      <c r="E194" s="616" t="s">
        <v>3948</v>
      </c>
      <c r="F194" s="619">
        <v>1</v>
      </c>
      <c r="G194" s="619">
        <v>5338</v>
      </c>
      <c r="H194" s="619">
        <v>1</v>
      </c>
      <c r="I194" s="619">
        <v>5338</v>
      </c>
      <c r="J194" s="619">
        <v>1</v>
      </c>
      <c r="K194" s="619">
        <v>5356</v>
      </c>
      <c r="L194" s="619">
        <v>1.0033720494567253</v>
      </c>
      <c r="M194" s="619">
        <v>5356</v>
      </c>
      <c r="N194" s="619">
        <v>1</v>
      </c>
      <c r="O194" s="619">
        <v>5547</v>
      </c>
      <c r="P194" s="640">
        <v>1.0391532409142001</v>
      </c>
      <c r="Q194" s="620">
        <v>5547</v>
      </c>
    </row>
    <row r="195" spans="1:17" ht="14.4" customHeight="1" x14ac:dyDescent="0.3">
      <c r="A195" s="615" t="s">
        <v>479</v>
      </c>
      <c r="B195" s="616" t="s">
        <v>3928</v>
      </c>
      <c r="C195" s="616" t="s">
        <v>3592</v>
      </c>
      <c r="D195" s="616" t="s">
        <v>3949</v>
      </c>
      <c r="E195" s="616" t="s">
        <v>3950</v>
      </c>
      <c r="F195" s="619">
        <v>6</v>
      </c>
      <c r="G195" s="619">
        <v>7518</v>
      </c>
      <c r="H195" s="619">
        <v>1</v>
      </c>
      <c r="I195" s="619">
        <v>1253</v>
      </c>
      <c r="J195" s="619">
        <v>5</v>
      </c>
      <c r="K195" s="619">
        <v>6295</v>
      </c>
      <c r="L195" s="619">
        <v>0.83732375631816969</v>
      </c>
      <c r="M195" s="619">
        <v>1259</v>
      </c>
      <c r="N195" s="619">
        <v>2</v>
      </c>
      <c r="O195" s="619">
        <v>2644</v>
      </c>
      <c r="P195" s="640">
        <v>0.35168927906358072</v>
      </c>
      <c r="Q195" s="620">
        <v>1322</v>
      </c>
    </row>
    <row r="196" spans="1:17" ht="14.4" customHeight="1" x14ac:dyDescent="0.3">
      <c r="A196" s="615" t="s">
        <v>479</v>
      </c>
      <c r="B196" s="616" t="s">
        <v>3928</v>
      </c>
      <c r="C196" s="616" t="s">
        <v>3592</v>
      </c>
      <c r="D196" s="616" t="s">
        <v>3951</v>
      </c>
      <c r="E196" s="616" t="s">
        <v>3952</v>
      </c>
      <c r="F196" s="619">
        <v>2</v>
      </c>
      <c r="G196" s="619">
        <v>896</v>
      </c>
      <c r="H196" s="619">
        <v>1</v>
      </c>
      <c r="I196" s="619">
        <v>448</v>
      </c>
      <c r="J196" s="619">
        <v>2</v>
      </c>
      <c r="K196" s="619">
        <v>902</v>
      </c>
      <c r="L196" s="619">
        <v>1.0066964285714286</v>
      </c>
      <c r="M196" s="619">
        <v>451</v>
      </c>
      <c r="N196" s="619">
        <v>2</v>
      </c>
      <c r="O196" s="619">
        <v>950</v>
      </c>
      <c r="P196" s="640">
        <v>1.0602678571428572</v>
      </c>
      <c r="Q196" s="620">
        <v>475</v>
      </c>
    </row>
    <row r="197" spans="1:17" ht="14.4" customHeight="1" x14ac:dyDescent="0.3">
      <c r="A197" s="615" t="s">
        <v>479</v>
      </c>
      <c r="B197" s="616" t="s">
        <v>3928</v>
      </c>
      <c r="C197" s="616" t="s">
        <v>3592</v>
      </c>
      <c r="D197" s="616" t="s">
        <v>3953</v>
      </c>
      <c r="E197" s="616" t="s">
        <v>3954</v>
      </c>
      <c r="F197" s="619"/>
      <c r="G197" s="619"/>
      <c r="H197" s="619"/>
      <c r="I197" s="619"/>
      <c r="J197" s="619">
        <v>2</v>
      </c>
      <c r="K197" s="619">
        <v>7934</v>
      </c>
      <c r="L197" s="619"/>
      <c r="M197" s="619">
        <v>3967</v>
      </c>
      <c r="N197" s="619"/>
      <c r="O197" s="619"/>
      <c r="P197" s="640"/>
      <c r="Q197" s="620"/>
    </row>
    <row r="198" spans="1:17" ht="14.4" customHeight="1" x14ac:dyDescent="0.3">
      <c r="A198" s="615" t="s">
        <v>479</v>
      </c>
      <c r="B198" s="616" t="s">
        <v>3928</v>
      </c>
      <c r="C198" s="616" t="s">
        <v>3592</v>
      </c>
      <c r="D198" s="616" t="s">
        <v>3955</v>
      </c>
      <c r="E198" s="616" t="s">
        <v>3956</v>
      </c>
      <c r="F198" s="619">
        <v>6</v>
      </c>
      <c r="G198" s="619">
        <v>2016</v>
      </c>
      <c r="H198" s="619">
        <v>1</v>
      </c>
      <c r="I198" s="619">
        <v>336</v>
      </c>
      <c r="J198" s="619">
        <v>6</v>
      </c>
      <c r="K198" s="619">
        <v>2028</v>
      </c>
      <c r="L198" s="619">
        <v>1.0059523809523809</v>
      </c>
      <c r="M198" s="619">
        <v>338</v>
      </c>
      <c r="N198" s="619">
        <v>2</v>
      </c>
      <c r="O198" s="619">
        <v>714</v>
      </c>
      <c r="P198" s="640">
        <v>0.35416666666666669</v>
      </c>
      <c r="Q198" s="620">
        <v>357</v>
      </c>
    </row>
    <row r="199" spans="1:17" ht="14.4" customHeight="1" x14ac:dyDescent="0.3">
      <c r="A199" s="615" t="s">
        <v>479</v>
      </c>
      <c r="B199" s="616" t="s">
        <v>3928</v>
      </c>
      <c r="C199" s="616" t="s">
        <v>3592</v>
      </c>
      <c r="D199" s="616" t="s">
        <v>3957</v>
      </c>
      <c r="E199" s="616" t="s">
        <v>3958</v>
      </c>
      <c r="F199" s="619"/>
      <c r="G199" s="619"/>
      <c r="H199" s="619"/>
      <c r="I199" s="619"/>
      <c r="J199" s="619">
        <v>1</v>
      </c>
      <c r="K199" s="619">
        <v>4834</v>
      </c>
      <c r="L199" s="619"/>
      <c r="M199" s="619">
        <v>4834</v>
      </c>
      <c r="N199" s="619"/>
      <c r="O199" s="619"/>
      <c r="P199" s="640"/>
      <c r="Q199" s="620"/>
    </row>
    <row r="200" spans="1:17" ht="14.4" customHeight="1" x14ac:dyDescent="0.3">
      <c r="A200" s="615" t="s">
        <v>479</v>
      </c>
      <c r="B200" s="616" t="s">
        <v>3928</v>
      </c>
      <c r="C200" s="616" t="s">
        <v>3592</v>
      </c>
      <c r="D200" s="616" t="s">
        <v>3959</v>
      </c>
      <c r="E200" s="616" t="s">
        <v>3960</v>
      </c>
      <c r="F200" s="619"/>
      <c r="G200" s="619"/>
      <c r="H200" s="619"/>
      <c r="I200" s="619"/>
      <c r="J200" s="619">
        <v>1</v>
      </c>
      <c r="K200" s="619">
        <v>4266</v>
      </c>
      <c r="L200" s="619"/>
      <c r="M200" s="619">
        <v>4266</v>
      </c>
      <c r="N200" s="619"/>
      <c r="O200" s="619"/>
      <c r="P200" s="640"/>
      <c r="Q200" s="620"/>
    </row>
    <row r="201" spans="1:17" ht="14.4" customHeight="1" x14ac:dyDescent="0.3">
      <c r="A201" s="615" t="s">
        <v>479</v>
      </c>
      <c r="B201" s="616" t="s">
        <v>3928</v>
      </c>
      <c r="C201" s="616" t="s">
        <v>3592</v>
      </c>
      <c r="D201" s="616" t="s">
        <v>3961</v>
      </c>
      <c r="E201" s="616" t="s">
        <v>3962</v>
      </c>
      <c r="F201" s="619"/>
      <c r="G201" s="619"/>
      <c r="H201" s="619"/>
      <c r="I201" s="619"/>
      <c r="J201" s="619">
        <v>3</v>
      </c>
      <c r="K201" s="619">
        <v>37620</v>
      </c>
      <c r="L201" s="619"/>
      <c r="M201" s="619">
        <v>12540</v>
      </c>
      <c r="N201" s="619"/>
      <c r="O201" s="619"/>
      <c r="P201" s="640"/>
      <c r="Q201" s="620"/>
    </row>
    <row r="202" spans="1:17" ht="14.4" customHeight="1" x14ac:dyDescent="0.3">
      <c r="A202" s="615" t="s">
        <v>479</v>
      </c>
      <c r="B202" s="616" t="s">
        <v>3928</v>
      </c>
      <c r="C202" s="616" t="s">
        <v>3592</v>
      </c>
      <c r="D202" s="616" t="s">
        <v>3963</v>
      </c>
      <c r="E202" s="616" t="s">
        <v>3964</v>
      </c>
      <c r="F202" s="619">
        <v>1</v>
      </c>
      <c r="G202" s="619">
        <v>2369</v>
      </c>
      <c r="H202" s="619">
        <v>1</v>
      </c>
      <c r="I202" s="619">
        <v>2369</v>
      </c>
      <c r="J202" s="619">
        <v>1</v>
      </c>
      <c r="K202" s="619">
        <v>2383</v>
      </c>
      <c r="L202" s="619">
        <v>1.0059096665259604</v>
      </c>
      <c r="M202" s="619">
        <v>2383</v>
      </c>
      <c r="N202" s="619">
        <v>1</v>
      </c>
      <c r="O202" s="619">
        <v>2492</v>
      </c>
      <c r="P202" s="640">
        <v>1.051920641620937</v>
      </c>
      <c r="Q202" s="620">
        <v>2492</v>
      </c>
    </row>
    <row r="203" spans="1:17" ht="14.4" customHeight="1" x14ac:dyDescent="0.3">
      <c r="A203" s="615" t="s">
        <v>479</v>
      </c>
      <c r="B203" s="616" t="s">
        <v>3928</v>
      </c>
      <c r="C203" s="616" t="s">
        <v>3592</v>
      </c>
      <c r="D203" s="616" t="s">
        <v>3965</v>
      </c>
      <c r="E203" s="616" t="s">
        <v>3966</v>
      </c>
      <c r="F203" s="619">
        <v>2</v>
      </c>
      <c r="G203" s="619">
        <v>1344</v>
      </c>
      <c r="H203" s="619">
        <v>1</v>
      </c>
      <c r="I203" s="619">
        <v>672</v>
      </c>
      <c r="J203" s="619">
        <v>2</v>
      </c>
      <c r="K203" s="619">
        <v>1354</v>
      </c>
      <c r="L203" s="619">
        <v>1.0074404761904763</v>
      </c>
      <c r="M203" s="619">
        <v>677</v>
      </c>
      <c r="N203" s="619">
        <v>1</v>
      </c>
      <c r="O203" s="619">
        <v>713</v>
      </c>
      <c r="P203" s="640">
        <v>0.53050595238095233</v>
      </c>
      <c r="Q203" s="620">
        <v>713</v>
      </c>
    </row>
    <row r="204" spans="1:17" ht="14.4" customHeight="1" x14ac:dyDescent="0.3">
      <c r="A204" s="615" t="s">
        <v>479</v>
      </c>
      <c r="B204" s="616" t="s">
        <v>3928</v>
      </c>
      <c r="C204" s="616" t="s">
        <v>3592</v>
      </c>
      <c r="D204" s="616" t="s">
        <v>3967</v>
      </c>
      <c r="E204" s="616" t="s">
        <v>3968</v>
      </c>
      <c r="F204" s="619">
        <v>2</v>
      </c>
      <c r="G204" s="619">
        <v>2734</v>
      </c>
      <c r="H204" s="619">
        <v>1</v>
      </c>
      <c r="I204" s="619">
        <v>1367</v>
      </c>
      <c r="J204" s="619">
        <v>1</v>
      </c>
      <c r="K204" s="619">
        <v>1373</v>
      </c>
      <c r="L204" s="619">
        <v>0.50219458668617412</v>
      </c>
      <c r="M204" s="619">
        <v>1373</v>
      </c>
      <c r="N204" s="619"/>
      <c r="O204" s="619"/>
      <c r="P204" s="640"/>
      <c r="Q204" s="620"/>
    </row>
    <row r="205" spans="1:17" ht="14.4" customHeight="1" x14ac:dyDescent="0.3">
      <c r="A205" s="615" t="s">
        <v>479</v>
      </c>
      <c r="B205" s="616" t="s">
        <v>3928</v>
      </c>
      <c r="C205" s="616" t="s">
        <v>3592</v>
      </c>
      <c r="D205" s="616" t="s">
        <v>3969</v>
      </c>
      <c r="E205" s="616" t="s">
        <v>3970</v>
      </c>
      <c r="F205" s="619"/>
      <c r="G205" s="619"/>
      <c r="H205" s="619"/>
      <c r="I205" s="619"/>
      <c r="J205" s="619">
        <v>3</v>
      </c>
      <c r="K205" s="619">
        <v>13305</v>
      </c>
      <c r="L205" s="619"/>
      <c r="M205" s="619">
        <v>4435</v>
      </c>
      <c r="N205" s="619"/>
      <c r="O205" s="619"/>
      <c r="P205" s="640"/>
      <c r="Q205" s="620"/>
    </row>
    <row r="206" spans="1:17" ht="14.4" customHeight="1" x14ac:dyDescent="0.3">
      <c r="A206" s="615" t="s">
        <v>479</v>
      </c>
      <c r="B206" s="616" t="s">
        <v>3591</v>
      </c>
      <c r="C206" s="616" t="s">
        <v>3971</v>
      </c>
      <c r="D206" s="616" t="s">
        <v>3972</v>
      </c>
      <c r="E206" s="616" t="s">
        <v>3973</v>
      </c>
      <c r="F206" s="619">
        <v>1.1000000000000001</v>
      </c>
      <c r="G206" s="619">
        <v>13286.84</v>
      </c>
      <c r="H206" s="619">
        <v>1</v>
      </c>
      <c r="I206" s="619">
        <v>12078.945454545454</v>
      </c>
      <c r="J206" s="619">
        <v>0.8</v>
      </c>
      <c r="K206" s="619">
        <v>9035.0600000000013</v>
      </c>
      <c r="L206" s="619">
        <v>0.6800006623094732</v>
      </c>
      <c r="M206" s="619">
        <v>11293.825000000001</v>
      </c>
      <c r="N206" s="619">
        <v>1</v>
      </c>
      <c r="O206" s="619">
        <v>11293.82</v>
      </c>
      <c r="P206" s="640">
        <v>0.85000045157464077</v>
      </c>
      <c r="Q206" s="620">
        <v>11293.82</v>
      </c>
    </row>
    <row r="207" spans="1:17" ht="14.4" customHeight="1" x14ac:dyDescent="0.3">
      <c r="A207" s="615" t="s">
        <v>479</v>
      </c>
      <c r="B207" s="616" t="s">
        <v>3591</v>
      </c>
      <c r="C207" s="616" t="s">
        <v>3971</v>
      </c>
      <c r="D207" s="616" t="s">
        <v>3974</v>
      </c>
      <c r="E207" s="616" t="s">
        <v>2738</v>
      </c>
      <c r="F207" s="619">
        <v>51</v>
      </c>
      <c r="G207" s="619">
        <v>4897.9800000000005</v>
      </c>
      <c r="H207" s="619">
        <v>1</v>
      </c>
      <c r="I207" s="619">
        <v>96.038823529411772</v>
      </c>
      <c r="J207" s="619">
        <v>130</v>
      </c>
      <c r="K207" s="619">
        <v>12267.890000000001</v>
      </c>
      <c r="L207" s="619">
        <v>2.504683563428189</v>
      </c>
      <c r="M207" s="619">
        <v>94.368384615384628</v>
      </c>
      <c r="N207" s="619">
        <v>34</v>
      </c>
      <c r="O207" s="619">
        <v>1697.6200000000001</v>
      </c>
      <c r="P207" s="640">
        <v>0.34659594363390622</v>
      </c>
      <c r="Q207" s="620">
        <v>49.930000000000007</v>
      </c>
    </row>
    <row r="208" spans="1:17" ht="14.4" customHeight="1" x14ac:dyDescent="0.3">
      <c r="A208" s="615" t="s">
        <v>479</v>
      </c>
      <c r="B208" s="616" t="s">
        <v>3591</v>
      </c>
      <c r="C208" s="616" t="s">
        <v>3971</v>
      </c>
      <c r="D208" s="616" t="s">
        <v>3975</v>
      </c>
      <c r="E208" s="616" t="s">
        <v>3976</v>
      </c>
      <c r="F208" s="619">
        <v>9</v>
      </c>
      <c r="G208" s="619">
        <v>746.28</v>
      </c>
      <c r="H208" s="619">
        <v>1</v>
      </c>
      <c r="I208" s="619">
        <v>82.92</v>
      </c>
      <c r="J208" s="619"/>
      <c r="K208" s="619"/>
      <c r="L208" s="619"/>
      <c r="M208" s="619"/>
      <c r="N208" s="619"/>
      <c r="O208" s="619"/>
      <c r="P208" s="640"/>
      <c r="Q208" s="620"/>
    </row>
    <row r="209" spans="1:17" ht="14.4" customHeight="1" x14ac:dyDescent="0.3">
      <c r="A209" s="615" t="s">
        <v>479</v>
      </c>
      <c r="B209" s="616" t="s">
        <v>3591</v>
      </c>
      <c r="C209" s="616" t="s">
        <v>3971</v>
      </c>
      <c r="D209" s="616" t="s">
        <v>3977</v>
      </c>
      <c r="E209" s="616" t="s">
        <v>3978</v>
      </c>
      <c r="F209" s="619">
        <v>6</v>
      </c>
      <c r="G209" s="619">
        <v>5765.6399999999994</v>
      </c>
      <c r="H209" s="619">
        <v>1</v>
      </c>
      <c r="I209" s="619">
        <v>960.93999999999994</v>
      </c>
      <c r="J209" s="619">
        <v>3</v>
      </c>
      <c r="K209" s="619">
        <v>2609.16</v>
      </c>
      <c r="L209" s="619">
        <v>0.45253605844277478</v>
      </c>
      <c r="M209" s="619">
        <v>869.71999999999991</v>
      </c>
      <c r="N209" s="619">
        <v>7</v>
      </c>
      <c r="O209" s="619">
        <v>6039.39</v>
      </c>
      <c r="P209" s="640">
        <v>1.0474795512727122</v>
      </c>
      <c r="Q209" s="620">
        <v>862.7700000000001</v>
      </c>
    </row>
    <row r="210" spans="1:17" ht="14.4" customHeight="1" x14ac:dyDescent="0.3">
      <c r="A210" s="615" t="s">
        <v>479</v>
      </c>
      <c r="B210" s="616" t="s">
        <v>3591</v>
      </c>
      <c r="C210" s="616" t="s">
        <v>3971</v>
      </c>
      <c r="D210" s="616" t="s">
        <v>3979</v>
      </c>
      <c r="E210" s="616" t="s">
        <v>3980</v>
      </c>
      <c r="F210" s="619">
        <v>15</v>
      </c>
      <c r="G210" s="619">
        <v>78222.299999999988</v>
      </c>
      <c r="H210" s="619">
        <v>1</v>
      </c>
      <c r="I210" s="619">
        <v>5214.8199999999988</v>
      </c>
      <c r="J210" s="619">
        <v>44</v>
      </c>
      <c r="K210" s="619">
        <v>219476.36000000002</v>
      </c>
      <c r="L210" s="619">
        <v>2.8058029487754776</v>
      </c>
      <c r="M210" s="619">
        <v>4988.0990909090915</v>
      </c>
      <c r="N210" s="619">
        <v>84</v>
      </c>
      <c r="O210" s="619">
        <v>419001.76</v>
      </c>
      <c r="P210" s="640">
        <v>5.3565512647927775</v>
      </c>
      <c r="Q210" s="620">
        <v>4988.1161904761902</v>
      </c>
    </row>
    <row r="211" spans="1:17" ht="14.4" customHeight="1" x14ac:dyDescent="0.3">
      <c r="A211" s="615" t="s">
        <v>479</v>
      </c>
      <c r="B211" s="616" t="s">
        <v>3591</v>
      </c>
      <c r="C211" s="616" t="s">
        <v>3971</v>
      </c>
      <c r="D211" s="616" t="s">
        <v>3981</v>
      </c>
      <c r="E211" s="616" t="s">
        <v>3976</v>
      </c>
      <c r="F211" s="619">
        <v>206</v>
      </c>
      <c r="G211" s="619">
        <v>24299.760000000002</v>
      </c>
      <c r="H211" s="619">
        <v>1</v>
      </c>
      <c r="I211" s="619">
        <v>117.96000000000001</v>
      </c>
      <c r="J211" s="619">
        <v>48</v>
      </c>
      <c r="K211" s="619">
        <v>5415.84</v>
      </c>
      <c r="L211" s="619">
        <v>0.22287627532123772</v>
      </c>
      <c r="M211" s="619">
        <v>112.83</v>
      </c>
      <c r="N211" s="619"/>
      <c r="O211" s="619"/>
      <c r="P211" s="640"/>
      <c r="Q211" s="620"/>
    </row>
    <row r="212" spans="1:17" ht="14.4" customHeight="1" x14ac:dyDescent="0.3">
      <c r="A212" s="615" t="s">
        <v>479</v>
      </c>
      <c r="B212" s="616" t="s">
        <v>3591</v>
      </c>
      <c r="C212" s="616" t="s">
        <v>3971</v>
      </c>
      <c r="D212" s="616" t="s">
        <v>3982</v>
      </c>
      <c r="E212" s="616" t="s">
        <v>3976</v>
      </c>
      <c r="F212" s="619">
        <v>41</v>
      </c>
      <c r="G212" s="619">
        <v>3263.19</v>
      </c>
      <c r="H212" s="619">
        <v>1</v>
      </c>
      <c r="I212" s="619">
        <v>79.59</v>
      </c>
      <c r="J212" s="619">
        <v>21.1</v>
      </c>
      <c r="K212" s="619">
        <v>1606.3400000000001</v>
      </c>
      <c r="L212" s="619">
        <v>0.49226064066143871</v>
      </c>
      <c r="M212" s="619">
        <v>76.129857819905212</v>
      </c>
      <c r="N212" s="619"/>
      <c r="O212" s="619"/>
      <c r="P212" s="640"/>
      <c r="Q212" s="620"/>
    </row>
    <row r="213" spans="1:17" ht="14.4" customHeight="1" x14ac:dyDescent="0.3">
      <c r="A213" s="615" t="s">
        <v>479</v>
      </c>
      <c r="B213" s="616" t="s">
        <v>3591</v>
      </c>
      <c r="C213" s="616" t="s">
        <v>3971</v>
      </c>
      <c r="D213" s="616" t="s">
        <v>3983</v>
      </c>
      <c r="E213" s="616" t="s">
        <v>3984</v>
      </c>
      <c r="F213" s="619">
        <v>120.54999999999998</v>
      </c>
      <c r="G213" s="619">
        <v>75722.389999999985</v>
      </c>
      <c r="H213" s="619">
        <v>1</v>
      </c>
      <c r="I213" s="619">
        <v>628.1409373703857</v>
      </c>
      <c r="J213" s="619">
        <v>43.2</v>
      </c>
      <c r="K213" s="619">
        <v>26612.239999999998</v>
      </c>
      <c r="L213" s="619">
        <v>0.35144479723896727</v>
      </c>
      <c r="M213" s="619">
        <v>616.02407407407395</v>
      </c>
      <c r="N213" s="619"/>
      <c r="O213" s="619"/>
      <c r="P213" s="640"/>
      <c r="Q213" s="620"/>
    </row>
    <row r="214" spans="1:17" ht="14.4" customHeight="1" x14ac:dyDescent="0.3">
      <c r="A214" s="615" t="s">
        <v>479</v>
      </c>
      <c r="B214" s="616" t="s">
        <v>3591</v>
      </c>
      <c r="C214" s="616" t="s">
        <v>3971</v>
      </c>
      <c r="D214" s="616" t="s">
        <v>3985</v>
      </c>
      <c r="E214" s="616" t="s">
        <v>3986</v>
      </c>
      <c r="F214" s="619">
        <v>78.5</v>
      </c>
      <c r="G214" s="619">
        <v>6600.2800000000007</v>
      </c>
      <c r="H214" s="619">
        <v>1</v>
      </c>
      <c r="I214" s="619">
        <v>84.080000000000013</v>
      </c>
      <c r="J214" s="619">
        <v>67</v>
      </c>
      <c r="K214" s="619">
        <v>5388.76</v>
      </c>
      <c r="L214" s="619">
        <v>0.81644415085420619</v>
      </c>
      <c r="M214" s="619">
        <v>80.42925373134328</v>
      </c>
      <c r="N214" s="619">
        <v>21</v>
      </c>
      <c r="O214" s="619">
        <v>1689.0299999999997</v>
      </c>
      <c r="P214" s="640">
        <v>0.25590277988206556</v>
      </c>
      <c r="Q214" s="620">
        <v>80.429999999999993</v>
      </c>
    </row>
    <row r="215" spans="1:17" ht="14.4" customHeight="1" x14ac:dyDescent="0.3">
      <c r="A215" s="615" t="s">
        <v>479</v>
      </c>
      <c r="B215" s="616" t="s">
        <v>3591</v>
      </c>
      <c r="C215" s="616" t="s">
        <v>3971</v>
      </c>
      <c r="D215" s="616" t="s">
        <v>3985</v>
      </c>
      <c r="E215" s="616"/>
      <c r="F215" s="619">
        <v>30</v>
      </c>
      <c r="G215" s="619">
        <v>2522.3999999999996</v>
      </c>
      <c r="H215" s="619">
        <v>1</v>
      </c>
      <c r="I215" s="619">
        <v>84.079999999999984</v>
      </c>
      <c r="J215" s="619">
        <v>39</v>
      </c>
      <c r="K215" s="619">
        <v>3136.7700000000004</v>
      </c>
      <c r="L215" s="619">
        <v>1.2435656517602287</v>
      </c>
      <c r="M215" s="619">
        <v>80.430000000000007</v>
      </c>
      <c r="N215" s="619"/>
      <c r="O215" s="619"/>
      <c r="P215" s="640"/>
      <c r="Q215" s="620"/>
    </row>
    <row r="216" spans="1:17" ht="14.4" customHeight="1" x14ac:dyDescent="0.3">
      <c r="A216" s="615" t="s">
        <v>479</v>
      </c>
      <c r="B216" s="616" t="s">
        <v>3591</v>
      </c>
      <c r="C216" s="616" t="s">
        <v>3971</v>
      </c>
      <c r="D216" s="616" t="s">
        <v>3987</v>
      </c>
      <c r="E216" s="616" t="s">
        <v>1278</v>
      </c>
      <c r="F216" s="619">
        <v>1</v>
      </c>
      <c r="G216" s="619">
        <v>724.4</v>
      </c>
      <c r="H216" s="619">
        <v>1</v>
      </c>
      <c r="I216" s="619">
        <v>724.4</v>
      </c>
      <c r="J216" s="619">
        <v>1.5</v>
      </c>
      <c r="K216" s="619">
        <v>1039.3499999999999</v>
      </c>
      <c r="L216" s="619">
        <v>1.4347736057426834</v>
      </c>
      <c r="M216" s="619">
        <v>692.9</v>
      </c>
      <c r="N216" s="619">
        <v>2</v>
      </c>
      <c r="O216" s="619">
        <v>1380.92</v>
      </c>
      <c r="P216" s="640">
        <v>1.9062948647156268</v>
      </c>
      <c r="Q216" s="620">
        <v>690.46</v>
      </c>
    </row>
    <row r="217" spans="1:17" ht="14.4" customHeight="1" x14ac:dyDescent="0.3">
      <c r="A217" s="615" t="s">
        <v>479</v>
      </c>
      <c r="B217" s="616" t="s">
        <v>3591</v>
      </c>
      <c r="C217" s="616" t="s">
        <v>3971</v>
      </c>
      <c r="D217" s="616" t="s">
        <v>3988</v>
      </c>
      <c r="E217" s="616" t="s">
        <v>2228</v>
      </c>
      <c r="F217" s="619">
        <v>710</v>
      </c>
      <c r="G217" s="619">
        <v>43345.499999999993</v>
      </c>
      <c r="H217" s="619">
        <v>1</v>
      </c>
      <c r="I217" s="619">
        <v>61.04999999999999</v>
      </c>
      <c r="J217" s="619">
        <v>507</v>
      </c>
      <c r="K217" s="619">
        <v>29608.800000000003</v>
      </c>
      <c r="L217" s="619">
        <v>0.68308820984877339</v>
      </c>
      <c r="M217" s="619">
        <v>58.400000000000006</v>
      </c>
      <c r="N217" s="619">
        <v>500</v>
      </c>
      <c r="O217" s="619">
        <v>29200</v>
      </c>
      <c r="P217" s="640">
        <v>0.67365701168518077</v>
      </c>
      <c r="Q217" s="620">
        <v>58.4</v>
      </c>
    </row>
    <row r="218" spans="1:17" ht="14.4" customHeight="1" x14ac:dyDescent="0.3">
      <c r="A218" s="615" t="s">
        <v>479</v>
      </c>
      <c r="B218" s="616" t="s">
        <v>3591</v>
      </c>
      <c r="C218" s="616" t="s">
        <v>3971</v>
      </c>
      <c r="D218" s="616" t="s">
        <v>3989</v>
      </c>
      <c r="E218" s="616" t="s">
        <v>2259</v>
      </c>
      <c r="F218" s="619">
        <v>24</v>
      </c>
      <c r="G218" s="619">
        <v>2658.48</v>
      </c>
      <c r="H218" s="619">
        <v>1</v>
      </c>
      <c r="I218" s="619">
        <v>110.77</v>
      </c>
      <c r="J218" s="619"/>
      <c r="K218" s="619"/>
      <c r="L218" s="619"/>
      <c r="M218" s="619"/>
      <c r="N218" s="619">
        <v>6</v>
      </c>
      <c r="O218" s="619">
        <v>635.76</v>
      </c>
      <c r="P218" s="640">
        <v>0.23914417260991241</v>
      </c>
      <c r="Q218" s="620">
        <v>105.96</v>
      </c>
    </row>
    <row r="219" spans="1:17" ht="14.4" customHeight="1" x14ac:dyDescent="0.3">
      <c r="A219" s="615" t="s">
        <v>479</v>
      </c>
      <c r="B219" s="616" t="s">
        <v>3591</v>
      </c>
      <c r="C219" s="616" t="s">
        <v>3971</v>
      </c>
      <c r="D219" s="616" t="s">
        <v>3990</v>
      </c>
      <c r="E219" s="616" t="s">
        <v>2747</v>
      </c>
      <c r="F219" s="619">
        <v>52.469999999999992</v>
      </c>
      <c r="G219" s="619">
        <v>37974.86</v>
      </c>
      <c r="H219" s="619">
        <v>1</v>
      </c>
      <c r="I219" s="619">
        <v>723.74423480083874</v>
      </c>
      <c r="J219" s="619">
        <v>54.9</v>
      </c>
      <c r="K219" s="619">
        <v>38004.519999999997</v>
      </c>
      <c r="L219" s="619">
        <v>1.00078104303742</v>
      </c>
      <c r="M219" s="619">
        <v>692.24990892531878</v>
      </c>
      <c r="N219" s="619">
        <v>35.700000000000003</v>
      </c>
      <c r="O219" s="619">
        <v>24713.199999999997</v>
      </c>
      <c r="P219" s="640">
        <v>0.65077790938531432</v>
      </c>
      <c r="Q219" s="620">
        <v>692.24649859943963</v>
      </c>
    </row>
    <row r="220" spans="1:17" ht="14.4" customHeight="1" x14ac:dyDescent="0.3">
      <c r="A220" s="615" t="s">
        <v>479</v>
      </c>
      <c r="B220" s="616" t="s">
        <v>3591</v>
      </c>
      <c r="C220" s="616" t="s">
        <v>3971</v>
      </c>
      <c r="D220" s="616" t="s">
        <v>3991</v>
      </c>
      <c r="E220" s="616" t="s">
        <v>3992</v>
      </c>
      <c r="F220" s="619">
        <v>3</v>
      </c>
      <c r="G220" s="619">
        <v>3471.33</v>
      </c>
      <c r="H220" s="619">
        <v>1</v>
      </c>
      <c r="I220" s="619">
        <v>1157.1099999999999</v>
      </c>
      <c r="J220" s="619">
        <v>8</v>
      </c>
      <c r="K220" s="619">
        <v>8854.4</v>
      </c>
      <c r="L220" s="619">
        <v>2.5507226336879523</v>
      </c>
      <c r="M220" s="619">
        <v>1106.8</v>
      </c>
      <c r="N220" s="619"/>
      <c r="O220" s="619"/>
      <c r="P220" s="640"/>
      <c r="Q220" s="620"/>
    </row>
    <row r="221" spans="1:17" ht="14.4" customHeight="1" x14ac:dyDescent="0.3">
      <c r="A221" s="615" t="s">
        <v>479</v>
      </c>
      <c r="B221" s="616" t="s">
        <v>3591</v>
      </c>
      <c r="C221" s="616" t="s">
        <v>3971</v>
      </c>
      <c r="D221" s="616" t="s">
        <v>3993</v>
      </c>
      <c r="E221" s="616" t="s">
        <v>3994</v>
      </c>
      <c r="F221" s="619"/>
      <c r="G221" s="619"/>
      <c r="H221" s="619"/>
      <c r="I221" s="619"/>
      <c r="J221" s="619"/>
      <c r="K221" s="619"/>
      <c r="L221" s="619"/>
      <c r="M221" s="619"/>
      <c r="N221" s="619">
        <v>2</v>
      </c>
      <c r="O221" s="619">
        <v>24754.86</v>
      </c>
      <c r="P221" s="640"/>
      <c r="Q221" s="620">
        <v>12377.43</v>
      </c>
    </row>
    <row r="222" spans="1:17" ht="14.4" customHeight="1" x14ac:dyDescent="0.3">
      <c r="A222" s="615" t="s">
        <v>479</v>
      </c>
      <c r="B222" s="616" t="s">
        <v>3591</v>
      </c>
      <c r="C222" s="616" t="s">
        <v>3971</v>
      </c>
      <c r="D222" s="616" t="s">
        <v>3995</v>
      </c>
      <c r="E222" s="616" t="s">
        <v>2385</v>
      </c>
      <c r="F222" s="619">
        <v>23.65</v>
      </c>
      <c r="G222" s="619">
        <v>311425.96000000002</v>
      </c>
      <c r="H222" s="619">
        <v>1</v>
      </c>
      <c r="I222" s="619">
        <v>13168.116701902751</v>
      </c>
      <c r="J222" s="619">
        <v>40.599999999999994</v>
      </c>
      <c r="K222" s="619">
        <v>487744.04000000004</v>
      </c>
      <c r="L222" s="619">
        <v>1.5661637199416516</v>
      </c>
      <c r="M222" s="619">
        <v>12013.400000000003</v>
      </c>
      <c r="N222" s="619">
        <v>51.3</v>
      </c>
      <c r="O222" s="619">
        <v>616287.41999999993</v>
      </c>
      <c r="P222" s="640">
        <v>1.9789211535223328</v>
      </c>
      <c r="Q222" s="620">
        <v>12013.4</v>
      </c>
    </row>
    <row r="223" spans="1:17" ht="14.4" customHeight="1" x14ac:dyDescent="0.3">
      <c r="A223" s="615" t="s">
        <v>479</v>
      </c>
      <c r="B223" s="616" t="s">
        <v>3591</v>
      </c>
      <c r="C223" s="616" t="s">
        <v>3971</v>
      </c>
      <c r="D223" s="616" t="s">
        <v>3996</v>
      </c>
      <c r="E223" s="616" t="s">
        <v>2397</v>
      </c>
      <c r="F223" s="619">
        <v>88</v>
      </c>
      <c r="G223" s="619">
        <v>308212.07</v>
      </c>
      <c r="H223" s="619">
        <v>1</v>
      </c>
      <c r="I223" s="619">
        <v>3502.4098863636364</v>
      </c>
      <c r="J223" s="619">
        <v>128</v>
      </c>
      <c r="K223" s="619">
        <v>428816.63</v>
      </c>
      <c r="L223" s="619">
        <v>1.3913038188283802</v>
      </c>
      <c r="M223" s="619">
        <v>3350.129921875</v>
      </c>
      <c r="N223" s="619">
        <v>205</v>
      </c>
      <c r="O223" s="619">
        <v>686776.64</v>
      </c>
      <c r="P223" s="640">
        <v>2.2282600418601386</v>
      </c>
      <c r="Q223" s="620">
        <v>3350.1299512195123</v>
      </c>
    </row>
    <row r="224" spans="1:17" ht="14.4" customHeight="1" x14ac:dyDescent="0.3">
      <c r="A224" s="615" t="s">
        <v>479</v>
      </c>
      <c r="B224" s="616" t="s">
        <v>3591</v>
      </c>
      <c r="C224" s="616" t="s">
        <v>3971</v>
      </c>
      <c r="D224" s="616" t="s">
        <v>3997</v>
      </c>
      <c r="E224" s="616" t="s">
        <v>3998</v>
      </c>
      <c r="F224" s="619"/>
      <c r="G224" s="619"/>
      <c r="H224" s="619"/>
      <c r="I224" s="619"/>
      <c r="J224" s="619"/>
      <c r="K224" s="619"/>
      <c r="L224" s="619"/>
      <c r="M224" s="619"/>
      <c r="N224" s="619">
        <v>1</v>
      </c>
      <c r="O224" s="619">
        <v>5710.43</v>
      </c>
      <c r="P224" s="640"/>
      <c r="Q224" s="620">
        <v>5710.43</v>
      </c>
    </row>
    <row r="225" spans="1:17" ht="14.4" customHeight="1" x14ac:dyDescent="0.3">
      <c r="A225" s="615" t="s">
        <v>479</v>
      </c>
      <c r="B225" s="616" t="s">
        <v>3591</v>
      </c>
      <c r="C225" s="616" t="s">
        <v>3971</v>
      </c>
      <c r="D225" s="616" t="s">
        <v>3999</v>
      </c>
      <c r="E225" s="616" t="s">
        <v>3998</v>
      </c>
      <c r="F225" s="619"/>
      <c r="G225" s="619"/>
      <c r="H225" s="619"/>
      <c r="I225" s="619"/>
      <c r="J225" s="619">
        <v>4</v>
      </c>
      <c r="K225" s="619">
        <v>45683.48</v>
      </c>
      <c r="L225" s="619"/>
      <c r="M225" s="619">
        <v>11420.87</v>
      </c>
      <c r="N225" s="619">
        <v>4</v>
      </c>
      <c r="O225" s="619">
        <v>45683.48</v>
      </c>
      <c r="P225" s="640"/>
      <c r="Q225" s="620">
        <v>11420.87</v>
      </c>
    </row>
    <row r="226" spans="1:17" ht="14.4" customHeight="1" x14ac:dyDescent="0.3">
      <c r="A226" s="615" t="s">
        <v>479</v>
      </c>
      <c r="B226" s="616" t="s">
        <v>3591</v>
      </c>
      <c r="C226" s="616" t="s">
        <v>3971</v>
      </c>
      <c r="D226" s="616" t="s">
        <v>4000</v>
      </c>
      <c r="E226" s="616" t="s">
        <v>4001</v>
      </c>
      <c r="F226" s="619"/>
      <c r="G226" s="619"/>
      <c r="H226" s="619"/>
      <c r="I226" s="619"/>
      <c r="J226" s="619">
        <v>0.7</v>
      </c>
      <c r="K226" s="619">
        <v>3460.75</v>
      </c>
      <c r="L226" s="619"/>
      <c r="M226" s="619">
        <v>4943.9285714285716</v>
      </c>
      <c r="N226" s="619">
        <v>0.7</v>
      </c>
      <c r="O226" s="619">
        <v>3460.7599999999998</v>
      </c>
      <c r="P226" s="640"/>
      <c r="Q226" s="620">
        <v>4943.9428571428571</v>
      </c>
    </row>
    <row r="227" spans="1:17" ht="14.4" customHeight="1" x14ac:dyDescent="0.3">
      <c r="A227" s="615" t="s">
        <v>479</v>
      </c>
      <c r="B227" s="616" t="s">
        <v>3591</v>
      </c>
      <c r="C227" s="616" t="s">
        <v>3971</v>
      </c>
      <c r="D227" s="616" t="s">
        <v>4002</v>
      </c>
      <c r="E227" s="616" t="s">
        <v>4003</v>
      </c>
      <c r="F227" s="619">
        <v>389</v>
      </c>
      <c r="G227" s="619">
        <v>15700.04</v>
      </c>
      <c r="H227" s="619">
        <v>1</v>
      </c>
      <c r="I227" s="619">
        <v>40.36</v>
      </c>
      <c r="J227" s="619">
        <v>110</v>
      </c>
      <c r="K227" s="619">
        <v>4247.1000000000004</v>
      </c>
      <c r="L227" s="619">
        <v>0.27051523435609082</v>
      </c>
      <c r="M227" s="619">
        <v>38.610000000000007</v>
      </c>
      <c r="N227" s="619">
        <v>2</v>
      </c>
      <c r="O227" s="619">
        <v>77.22</v>
      </c>
      <c r="P227" s="640">
        <v>4.9184588064743783E-3</v>
      </c>
      <c r="Q227" s="620">
        <v>38.61</v>
      </c>
    </row>
    <row r="228" spans="1:17" ht="14.4" customHeight="1" x14ac:dyDescent="0.3">
      <c r="A228" s="615" t="s">
        <v>479</v>
      </c>
      <c r="B228" s="616" t="s">
        <v>3591</v>
      </c>
      <c r="C228" s="616" t="s">
        <v>3971</v>
      </c>
      <c r="D228" s="616" t="s">
        <v>4002</v>
      </c>
      <c r="E228" s="616"/>
      <c r="F228" s="619">
        <v>8</v>
      </c>
      <c r="G228" s="619">
        <v>322.88</v>
      </c>
      <c r="H228" s="619">
        <v>1</v>
      </c>
      <c r="I228" s="619">
        <v>40.36</v>
      </c>
      <c r="J228" s="619">
        <v>2</v>
      </c>
      <c r="K228" s="619">
        <v>77.22</v>
      </c>
      <c r="L228" s="619">
        <v>0.23916005946481664</v>
      </c>
      <c r="M228" s="619">
        <v>38.61</v>
      </c>
      <c r="N228" s="619"/>
      <c r="O228" s="619"/>
      <c r="P228" s="640"/>
      <c r="Q228" s="620"/>
    </row>
    <row r="229" spans="1:17" ht="14.4" customHeight="1" x14ac:dyDescent="0.3">
      <c r="A229" s="615" t="s">
        <v>479</v>
      </c>
      <c r="B229" s="616" t="s">
        <v>3591</v>
      </c>
      <c r="C229" s="616" t="s">
        <v>3971</v>
      </c>
      <c r="D229" s="616" t="s">
        <v>4004</v>
      </c>
      <c r="E229" s="616" t="s">
        <v>4005</v>
      </c>
      <c r="F229" s="619">
        <v>35.699999999999996</v>
      </c>
      <c r="G229" s="619">
        <v>14429.939999999999</v>
      </c>
      <c r="H229" s="619">
        <v>1</v>
      </c>
      <c r="I229" s="619">
        <v>404.2</v>
      </c>
      <c r="J229" s="619">
        <v>16.600000000000001</v>
      </c>
      <c r="K229" s="619">
        <v>6417.5700000000006</v>
      </c>
      <c r="L229" s="619">
        <v>0.44473989496837835</v>
      </c>
      <c r="M229" s="619">
        <v>386.60060240963855</v>
      </c>
      <c r="N229" s="619">
        <v>0.1</v>
      </c>
      <c r="O229" s="619">
        <v>38.659999999999997</v>
      </c>
      <c r="P229" s="640">
        <v>2.679151819065083E-3</v>
      </c>
      <c r="Q229" s="620">
        <v>386.59999999999997</v>
      </c>
    </row>
    <row r="230" spans="1:17" ht="14.4" customHeight="1" x14ac:dyDescent="0.3">
      <c r="A230" s="615" t="s">
        <v>479</v>
      </c>
      <c r="B230" s="616" t="s">
        <v>3591</v>
      </c>
      <c r="C230" s="616" t="s">
        <v>3971</v>
      </c>
      <c r="D230" s="616" t="s">
        <v>4006</v>
      </c>
      <c r="E230" s="616" t="s">
        <v>4007</v>
      </c>
      <c r="F230" s="619">
        <v>4</v>
      </c>
      <c r="G230" s="619">
        <v>161.44</v>
      </c>
      <c r="H230" s="619">
        <v>1</v>
      </c>
      <c r="I230" s="619">
        <v>40.36</v>
      </c>
      <c r="J230" s="619"/>
      <c r="K230" s="619"/>
      <c r="L230" s="619"/>
      <c r="M230" s="619"/>
      <c r="N230" s="619"/>
      <c r="O230" s="619"/>
      <c r="P230" s="640"/>
      <c r="Q230" s="620"/>
    </row>
    <row r="231" spans="1:17" ht="14.4" customHeight="1" x14ac:dyDescent="0.3">
      <c r="A231" s="615" t="s">
        <v>479</v>
      </c>
      <c r="B231" s="616" t="s">
        <v>3591</v>
      </c>
      <c r="C231" s="616" t="s">
        <v>3971</v>
      </c>
      <c r="D231" s="616" t="s">
        <v>2437</v>
      </c>
      <c r="E231" s="616" t="s">
        <v>2205</v>
      </c>
      <c r="F231" s="619">
        <v>22</v>
      </c>
      <c r="G231" s="619">
        <v>202198.24</v>
      </c>
      <c r="H231" s="619">
        <v>1</v>
      </c>
      <c r="I231" s="619">
        <v>9190.8290909090902</v>
      </c>
      <c r="J231" s="619">
        <v>67</v>
      </c>
      <c r="K231" s="619">
        <v>551755.05000000005</v>
      </c>
      <c r="L231" s="619">
        <v>2.7287826540923406</v>
      </c>
      <c r="M231" s="619">
        <v>8235.1500000000015</v>
      </c>
      <c r="N231" s="619">
        <v>169</v>
      </c>
      <c r="O231" s="619">
        <v>1456901.8800000001</v>
      </c>
      <c r="P231" s="640">
        <v>7.2053143489280629</v>
      </c>
      <c r="Q231" s="620">
        <v>8620.7211834319532</v>
      </c>
    </row>
    <row r="232" spans="1:17" ht="14.4" customHeight="1" x14ac:dyDescent="0.3">
      <c r="A232" s="615" t="s">
        <v>479</v>
      </c>
      <c r="B232" s="616" t="s">
        <v>3591</v>
      </c>
      <c r="C232" s="616" t="s">
        <v>3971</v>
      </c>
      <c r="D232" s="616" t="s">
        <v>2446</v>
      </c>
      <c r="E232" s="616" t="s">
        <v>2205</v>
      </c>
      <c r="F232" s="619"/>
      <c r="G232" s="619"/>
      <c r="H232" s="619"/>
      <c r="I232" s="619"/>
      <c r="J232" s="619">
        <v>1</v>
      </c>
      <c r="K232" s="619">
        <v>16469.2</v>
      </c>
      <c r="L232" s="619"/>
      <c r="M232" s="619">
        <v>16469.2</v>
      </c>
      <c r="N232" s="619">
        <v>1</v>
      </c>
      <c r="O232" s="619">
        <v>16469.2</v>
      </c>
      <c r="P232" s="640"/>
      <c r="Q232" s="620">
        <v>16469.2</v>
      </c>
    </row>
    <row r="233" spans="1:17" ht="14.4" customHeight="1" x14ac:dyDescent="0.3">
      <c r="A233" s="615" t="s">
        <v>479</v>
      </c>
      <c r="B233" s="616" t="s">
        <v>3591</v>
      </c>
      <c r="C233" s="616" t="s">
        <v>3971</v>
      </c>
      <c r="D233" s="616" t="s">
        <v>4008</v>
      </c>
      <c r="E233" s="616" t="s">
        <v>4009</v>
      </c>
      <c r="F233" s="619">
        <v>931</v>
      </c>
      <c r="G233" s="619">
        <v>44222.5</v>
      </c>
      <c r="H233" s="619">
        <v>1</v>
      </c>
      <c r="I233" s="619">
        <v>47.5</v>
      </c>
      <c r="J233" s="619">
        <v>238.5</v>
      </c>
      <c r="K233" s="619">
        <v>10827.4</v>
      </c>
      <c r="L233" s="619">
        <v>0.24483916558313076</v>
      </c>
      <c r="M233" s="619">
        <v>45.397903563941298</v>
      </c>
      <c r="N233" s="619">
        <v>2</v>
      </c>
      <c r="O233" s="619">
        <v>85.76</v>
      </c>
      <c r="P233" s="640">
        <v>1.9392843009780091E-3</v>
      </c>
      <c r="Q233" s="620">
        <v>42.88</v>
      </c>
    </row>
    <row r="234" spans="1:17" ht="14.4" customHeight="1" x14ac:dyDescent="0.3">
      <c r="A234" s="615" t="s">
        <v>479</v>
      </c>
      <c r="B234" s="616" t="s">
        <v>3591</v>
      </c>
      <c r="C234" s="616" t="s">
        <v>3971</v>
      </c>
      <c r="D234" s="616" t="s">
        <v>4010</v>
      </c>
      <c r="E234" s="616" t="s">
        <v>2355</v>
      </c>
      <c r="F234" s="619">
        <v>38</v>
      </c>
      <c r="G234" s="619">
        <v>3067.74</v>
      </c>
      <c r="H234" s="619">
        <v>1</v>
      </c>
      <c r="I234" s="619">
        <v>80.72999999999999</v>
      </c>
      <c r="J234" s="619">
        <v>46</v>
      </c>
      <c r="K234" s="619">
        <v>3552.1200000000003</v>
      </c>
      <c r="L234" s="619">
        <v>1.1578947368421055</v>
      </c>
      <c r="M234" s="619">
        <v>77.220000000000013</v>
      </c>
      <c r="N234" s="619">
        <v>38</v>
      </c>
      <c r="O234" s="619">
        <v>2934.36</v>
      </c>
      <c r="P234" s="640">
        <v>0.95652173913043492</v>
      </c>
      <c r="Q234" s="620">
        <v>77.22</v>
      </c>
    </row>
    <row r="235" spans="1:17" ht="14.4" customHeight="1" x14ac:dyDescent="0.3">
      <c r="A235" s="615" t="s">
        <v>479</v>
      </c>
      <c r="B235" s="616" t="s">
        <v>3591</v>
      </c>
      <c r="C235" s="616" t="s">
        <v>3971</v>
      </c>
      <c r="D235" s="616" t="s">
        <v>4011</v>
      </c>
      <c r="E235" s="616" t="s">
        <v>2706</v>
      </c>
      <c r="F235" s="619">
        <v>367.7</v>
      </c>
      <c r="G235" s="619">
        <v>139634.04</v>
      </c>
      <c r="H235" s="619">
        <v>1</v>
      </c>
      <c r="I235" s="619">
        <v>379.74990481370685</v>
      </c>
      <c r="J235" s="619">
        <v>377.96</v>
      </c>
      <c r="K235" s="619">
        <v>130190.80999999998</v>
      </c>
      <c r="L235" s="619">
        <v>0.93237157644368074</v>
      </c>
      <c r="M235" s="619">
        <v>344.45658270716473</v>
      </c>
      <c r="N235" s="619">
        <v>482</v>
      </c>
      <c r="O235" s="619">
        <v>130966.66</v>
      </c>
      <c r="P235" s="640">
        <v>0.93792788635206714</v>
      </c>
      <c r="Q235" s="620">
        <v>271.71506224066388</v>
      </c>
    </row>
    <row r="236" spans="1:17" ht="14.4" customHeight="1" x14ac:dyDescent="0.3">
      <c r="A236" s="615" t="s">
        <v>479</v>
      </c>
      <c r="B236" s="616" t="s">
        <v>3591</v>
      </c>
      <c r="C236" s="616" t="s">
        <v>3971</v>
      </c>
      <c r="D236" s="616" t="s">
        <v>4012</v>
      </c>
      <c r="E236" s="616" t="s">
        <v>2290</v>
      </c>
      <c r="F236" s="619"/>
      <c r="G236" s="619"/>
      <c r="H236" s="619"/>
      <c r="I236" s="619"/>
      <c r="J236" s="619"/>
      <c r="K236" s="619"/>
      <c r="L236" s="619"/>
      <c r="M236" s="619"/>
      <c r="N236" s="619">
        <v>2</v>
      </c>
      <c r="O236" s="619">
        <v>271.7</v>
      </c>
      <c r="P236" s="640"/>
      <c r="Q236" s="620">
        <v>135.85</v>
      </c>
    </row>
    <row r="237" spans="1:17" ht="14.4" customHeight="1" x14ac:dyDescent="0.3">
      <c r="A237" s="615" t="s">
        <v>479</v>
      </c>
      <c r="B237" s="616" t="s">
        <v>3591</v>
      </c>
      <c r="C237" s="616" t="s">
        <v>3971</v>
      </c>
      <c r="D237" s="616" t="s">
        <v>4013</v>
      </c>
      <c r="E237" s="616" t="s">
        <v>4014</v>
      </c>
      <c r="F237" s="619">
        <v>3</v>
      </c>
      <c r="G237" s="619">
        <v>18773.37</v>
      </c>
      <c r="H237" s="619">
        <v>1</v>
      </c>
      <c r="I237" s="619">
        <v>6257.79</v>
      </c>
      <c r="J237" s="619">
        <v>6</v>
      </c>
      <c r="K237" s="619">
        <v>35914.300000000003</v>
      </c>
      <c r="L237" s="619">
        <v>1.913044914152334</v>
      </c>
      <c r="M237" s="619">
        <v>5985.7166666666672</v>
      </c>
      <c r="N237" s="619"/>
      <c r="O237" s="619"/>
      <c r="P237" s="640"/>
      <c r="Q237" s="620"/>
    </row>
    <row r="238" spans="1:17" ht="14.4" customHeight="1" x14ac:dyDescent="0.3">
      <c r="A238" s="615" t="s">
        <v>479</v>
      </c>
      <c r="B238" s="616" t="s">
        <v>3591</v>
      </c>
      <c r="C238" s="616" t="s">
        <v>3971</v>
      </c>
      <c r="D238" s="616" t="s">
        <v>4015</v>
      </c>
      <c r="E238" s="616" t="s">
        <v>4016</v>
      </c>
      <c r="F238" s="619">
        <v>4</v>
      </c>
      <c r="G238" s="619">
        <v>549.84</v>
      </c>
      <c r="H238" s="619">
        <v>1</v>
      </c>
      <c r="I238" s="619">
        <v>137.46</v>
      </c>
      <c r="J238" s="619"/>
      <c r="K238" s="619"/>
      <c r="L238" s="619"/>
      <c r="M238" s="619"/>
      <c r="N238" s="619"/>
      <c r="O238" s="619"/>
      <c r="P238" s="640"/>
      <c r="Q238" s="620"/>
    </row>
    <row r="239" spans="1:17" ht="14.4" customHeight="1" x14ac:dyDescent="0.3">
      <c r="A239" s="615" t="s">
        <v>479</v>
      </c>
      <c r="B239" s="616" t="s">
        <v>3591</v>
      </c>
      <c r="C239" s="616" t="s">
        <v>3971</v>
      </c>
      <c r="D239" s="616" t="s">
        <v>4017</v>
      </c>
      <c r="E239" s="616" t="s">
        <v>4018</v>
      </c>
      <c r="F239" s="619">
        <v>190.3</v>
      </c>
      <c r="G239" s="619">
        <v>11131.560000000001</v>
      </c>
      <c r="H239" s="619">
        <v>1</v>
      </c>
      <c r="I239" s="619">
        <v>58.494797687861272</v>
      </c>
      <c r="J239" s="619">
        <v>35</v>
      </c>
      <c r="K239" s="619">
        <v>1458.12</v>
      </c>
      <c r="L239" s="619">
        <v>0.13098972650733587</v>
      </c>
      <c r="M239" s="619">
        <v>41.660571428571423</v>
      </c>
      <c r="N239" s="619"/>
      <c r="O239" s="619"/>
      <c r="P239" s="640"/>
      <c r="Q239" s="620"/>
    </row>
    <row r="240" spans="1:17" ht="14.4" customHeight="1" x14ac:dyDescent="0.3">
      <c r="A240" s="615" t="s">
        <v>479</v>
      </c>
      <c r="B240" s="616" t="s">
        <v>3591</v>
      </c>
      <c r="C240" s="616" t="s">
        <v>3971</v>
      </c>
      <c r="D240" s="616" t="s">
        <v>4019</v>
      </c>
      <c r="E240" s="616" t="s">
        <v>4020</v>
      </c>
      <c r="F240" s="619"/>
      <c r="G240" s="619"/>
      <c r="H240" s="619"/>
      <c r="I240" s="619"/>
      <c r="J240" s="619">
        <v>0.4</v>
      </c>
      <c r="K240" s="619">
        <v>1770.8</v>
      </c>
      <c r="L240" s="619"/>
      <c r="M240" s="619">
        <v>4427</v>
      </c>
      <c r="N240" s="619">
        <v>0.30000000000000004</v>
      </c>
      <c r="O240" s="619">
        <v>1340.1599999999999</v>
      </c>
      <c r="P240" s="640"/>
      <c r="Q240" s="620">
        <v>4467.1999999999989</v>
      </c>
    </row>
    <row r="241" spans="1:17" ht="14.4" customHeight="1" x14ac:dyDescent="0.3">
      <c r="A241" s="615" t="s">
        <v>479</v>
      </c>
      <c r="B241" s="616" t="s">
        <v>3591</v>
      </c>
      <c r="C241" s="616" t="s">
        <v>3971</v>
      </c>
      <c r="D241" s="616" t="s">
        <v>4021</v>
      </c>
      <c r="E241" s="616" t="s">
        <v>4022</v>
      </c>
      <c r="F241" s="619">
        <v>14</v>
      </c>
      <c r="G241" s="619">
        <v>498.53999999999996</v>
      </c>
      <c r="H241" s="619">
        <v>1</v>
      </c>
      <c r="I241" s="619">
        <v>35.61</v>
      </c>
      <c r="J241" s="619">
        <v>1</v>
      </c>
      <c r="K241" s="619">
        <v>34.06</v>
      </c>
      <c r="L241" s="619">
        <v>6.8319492919324432E-2</v>
      </c>
      <c r="M241" s="619">
        <v>34.06</v>
      </c>
      <c r="N241" s="619"/>
      <c r="O241" s="619"/>
      <c r="P241" s="640"/>
      <c r="Q241" s="620"/>
    </row>
    <row r="242" spans="1:17" ht="14.4" customHeight="1" x14ac:dyDescent="0.3">
      <c r="A242" s="615" t="s">
        <v>479</v>
      </c>
      <c r="B242" s="616" t="s">
        <v>3591</v>
      </c>
      <c r="C242" s="616" t="s">
        <v>3971</v>
      </c>
      <c r="D242" s="616" t="s">
        <v>4023</v>
      </c>
      <c r="E242" s="616"/>
      <c r="F242" s="619">
        <v>58</v>
      </c>
      <c r="G242" s="619">
        <v>3986.92</v>
      </c>
      <c r="H242" s="619">
        <v>1</v>
      </c>
      <c r="I242" s="619">
        <v>68.739999999999995</v>
      </c>
      <c r="J242" s="619"/>
      <c r="K242" s="619"/>
      <c r="L242" s="619"/>
      <c r="M242" s="619"/>
      <c r="N242" s="619"/>
      <c r="O242" s="619"/>
      <c r="P242" s="640"/>
      <c r="Q242" s="620"/>
    </row>
    <row r="243" spans="1:17" ht="14.4" customHeight="1" x14ac:dyDescent="0.3">
      <c r="A243" s="615" t="s">
        <v>479</v>
      </c>
      <c r="B243" s="616" t="s">
        <v>3591</v>
      </c>
      <c r="C243" s="616" t="s">
        <v>3971</v>
      </c>
      <c r="D243" s="616" t="s">
        <v>4024</v>
      </c>
      <c r="E243" s="616" t="s">
        <v>4025</v>
      </c>
      <c r="F243" s="619">
        <v>78.7</v>
      </c>
      <c r="G243" s="619">
        <v>308969.08</v>
      </c>
      <c r="H243" s="619">
        <v>1</v>
      </c>
      <c r="I243" s="619">
        <v>3925.9095298602288</v>
      </c>
      <c r="J243" s="619">
        <v>22.6</v>
      </c>
      <c r="K243" s="619">
        <v>84867.86</v>
      </c>
      <c r="L243" s="619">
        <v>0.27468075446255008</v>
      </c>
      <c r="M243" s="619">
        <v>3755.2150442477873</v>
      </c>
      <c r="N243" s="619"/>
      <c r="O243" s="619"/>
      <c r="P243" s="640"/>
      <c r="Q243" s="620"/>
    </row>
    <row r="244" spans="1:17" ht="14.4" customHeight="1" x14ac:dyDescent="0.3">
      <c r="A244" s="615" t="s">
        <v>479</v>
      </c>
      <c r="B244" s="616" t="s">
        <v>3591</v>
      </c>
      <c r="C244" s="616" t="s">
        <v>3971</v>
      </c>
      <c r="D244" s="616" t="s">
        <v>4026</v>
      </c>
      <c r="E244" s="616" t="s">
        <v>4027</v>
      </c>
      <c r="F244" s="619">
        <v>0.7</v>
      </c>
      <c r="G244" s="619">
        <v>1542.1699999999998</v>
      </c>
      <c r="H244" s="619">
        <v>1</v>
      </c>
      <c r="I244" s="619">
        <v>2203.1</v>
      </c>
      <c r="J244" s="619"/>
      <c r="K244" s="619"/>
      <c r="L244" s="619"/>
      <c r="M244" s="619"/>
      <c r="N244" s="619"/>
      <c r="O244" s="619"/>
      <c r="P244" s="640"/>
      <c r="Q244" s="620"/>
    </row>
    <row r="245" spans="1:17" ht="14.4" customHeight="1" x14ac:dyDescent="0.3">
      <c r="A245" s="615" t="s">
        <v>479</v>
      </c>
      <c r="B245" s="616" t="s">
        <v>3591</v>
      </c>
      <c r="C245" s="616" t="s">
        <v>3971</v>
      </c>
      <c r="D245" s="616" t="s">
        <v>4028</v>
      </c>
      <c r="E245" s="616" t="s">
        <v>4029</v>
      </c>
      <c r="F245" s="619"/>
      <c r="G245" s="619"/>
      <c r="H245" s="619"/>
      <c r="I245" s="619"/>
      <c r="J245" s="619">
        <v>2</v>
      </c>
      <c r="K245" s="619">
        <v>363.86</v>
      </c>
      <c r="L245" s="619"/>
      <c r="M245" s="619">
        <v>181.93</v>
      </c>
      <c r="N245" s="619"/>
      <c r="O245" s="619"/>
      <c r="P245" s="640"/>
      <c r="Q245" s="620"/>
    </row>
    <row r="246" spans="1:17" ht="14.4" customHeight="1" x14ac:dyDescent="0.3">
      <c r="A246" s="615" t="s">
        <v>479</v>
      </c>
      <c r="B246" s="616" t="s">
        <v>3591</v>
      </c>
      <c r="C246" s="616" t="s">
        <v>3971</v>
      </c>
      <c r="D246" s="616" t="s">
        <v>4030</v>
      </c>
      <c r="E246" s="616" t="s">
        <v>4031</v>
      </c>
      <c r="F246" s="619">
        <v>5</v>
      </c>
      <c r="G246" s="619">
        <v>22555.25</v>
      </c>
      <c r="H246" s="619">
        <v>1</v>
      </c>
      <c r="I246" s="619">
        <v>4511.05</v>
      </c>
      <c r="J246" s="619">
        <v>64</v>
      </c>
      <c r="K246" s="619">
        <v>276154.23999999999</v>
      </c>
      <c r="L246" s="619">
        <v>12.243457288214495</v>
      </c>
      <c r="M246" s="619">
        <v>4314.91</v>
      </c>
      <c r="N246" s="619">
        <v>1</v>
      </c>
      <c r="O246" s="619">
        <v>4314.91</v>
      </c>
      <c r="P246" s="640">
        <v>0.19130402012835149</v>
      </c>
      <c r="Q246" s="620">
        <v>4314.91</v>
      </c>
    </row>
    <row r="247" spans="1:17" ht="14.4" customHeight="1" x14ac:dyDescent="0.3">
      <c r="A247" s="615" t="s">
        <v>479</v>
      </c>
      <c r="B247" s="616" t="s">
        <v>3591</v>
      </c>
      <c r="C247" s="616" t="s">
        <v>3971</v>
      </c>
      <c r="D247" s="616" t="s">
        <v>4032</v>
      </c>
      <c r="E247" s="616" t="s">
        <v>4033</v>
      </c>
      <c r="F247" s="619">
        <v>5</v>
      </c>
      <c r="G247" s="619">
        <v>45110.45</v>
      </c>
      <c r="H247" s="619">
        <v>1</v>
      </c>
      <c r="I247" s="619">
        <v>9022.09</v>
      </c>
      <c r="J247" s="619"/>
      <c r="K247" s="619"/>
      <c r="L247" s="619"/>
      <c r="M247" s="619"/>
      <c r="N247" s="619">
        <v>2</v>
      </c>
      <c r="O247" s="619">
        <v>17259.66</v>
      </c>
      <c r="P247" s="640">
        <v>0.38260890769212014</v>
      </c>
      <c r="Q247" s="620">
        <v>8629.83</v>
      </c>
    </row>
    <row r="248" spans="1:17" ht="14.4" customHeight="1" x14ac:dyDescent="0.3">
      <c r="A248" s="615" t="s">
        <v>479</v>
      </c>
      <c r="B248" s="616" t="s">
        <v>3591</v>
      </c>
      <c r="C248" s="616" t="s">
        <v>3971</v>
      </c>
      <c r="D248" s="616" t="s">
        <v>4034</v>
      </c>
      <c r="E248" s="616" t="s">
        <v>4035</v>
      </c>
      <c r="F248" s="619"/>
      <c r="G248" s="619"/>
      <c r="H248" s="619"/>
      <c r="I248" s="619"/>
      <c r="J248" s="619">
        <v>8</v>
      </c>
      <c r="K248" s="619">
        <v>34519.279999999999</v>
      </c>
      <c r="L248" s="619"/>
      <c r="M248" s="619">
        <v>4314.91</v>
      </c>
      <c r="N248" s="619"/>
      <c r="O248" s="619"/>
      <c r="P248" s="640"/>
      <c r="Q248" s="620"/>
    </row>
    <row r="249" spans="1:17" ht="14.4" customHeight="1" x14ac:dyDescent="0.3">
      <c r="A249" s="615" t="s">
        <v>479</v>
      </c>
      <c r="B249" s="616" t="s">
        <v>3591</v>
      </c>
      <c r="C249" s="616" t="s">
        <v>3971</v>
      </c>
      <c r="D249" s="616" t="s">
        <v>4036</v>
      </c>
      <c r="E249" s="616" t="s">
        <v>4037</v>
      </c>
      <c r="F249" s="619">
        <v>2</v>
      </c>
      <c r="G249" s="619">
        <v>14243.44</v>
      </c>
      <c r="H249" s="619">
        <v>1</v>
      </c>
      <c r="I249" s="619">
        <v>7121.72</v>
      </c>
      <c r="J249" s="619"/>
      <c r="K249" s="619"/>
      <c r="L249" s="619"/>
      <c r="M249" s="619"/>
      <c r="N249" s="619"/>
      <c r="O249" s="619"/>
      <c r="P249" s="640"/>
      <c r="Q249" s="620"/>
    </row>
    <row r="250" spans="1:17" ht="14.4" customHeight="1" x14ac:dyDescent="0.3">
      <c r="A250" s="615" t="s">
        <v>479</v>
      </c>
      <c r="B250" s="616" t="s">
        <v>3591</v>
      </c>
      <c r="C250" s="616" t="s">
        <v>3971</v>
      </c>
      <c r="D250" s="616" t="s">
        <v>4038</v>
      </c>
      <c r="E250" s="616" t="s">
        <v>2358</v>
      </c>
      <c r="F250" s="619"/>
      <c r="G250" s="619"/>
      <c r="H250" s="619"/>
      <c r="I250" s="619"/>
      <c r="J250" s="619"/>
      <c r="K250" s="619"/>
      <c r="L250" s="619"/>
      <c r="M250" s="619"/>
      <c r="N250" s="619">
        <v>1</v>
      </c>
      <c r="O250" s="619">
        <v>386.6</v>
      </c>
      <c r="P250" s="640"/>
      <c r="Q250" s="620">
        <v>386.6</v>
      </c>
    </row>
    <row r="251" spans="1:17" ht="14.4" customHeight="1" x14ac:dyDescent="0.3">
      <c r="A251" s="615" t="s">
        <v>479</v>
      </c>
      <c r="B251" s="616" t="s">
        <v>3591</v>
      </c>
      <c r="C251" s="616" t="s">
        <v>3971</v>
      </c>
      <c r="D251" s="616" t="s">
        <v>4038</v>
      </c>
      <c r="E251" s="616"/>
      <c r="F251" s="619"/>
      <c r="G251" s="619"/>
      <c r="H251" s="619"/>
      <c r="I251" s="619"/>
      <c r="J251" s="619">
        <v>0.79999999999999993</v>
      </c>
      <c r="K251" s="619">
        <v>309.27999999999997</v>
      </c>
      <c r="L251" s="619"/>
      <c r="M251" s="619">
        <v>386.6</v>
      </c>
      <c r="N251" s="619"/>
      <c r="O251" s="619"/>
      <c r="P251" s="640"/>
      <c r="Q251" s="620"/>
    </row>
    <row r="252" spans="1:17" ht="14.4" customHeight="1" x14ac:dyDescent="0.3">
      <c r="A252" s="615" t="s">
        <v>479</v>
      </c>
      <c r="B252" s="616" t="s">
        <v>3591</v>
      </c>
      <c r="C252" s="616" t="s">
        <v>3971</v>
      </c>
      <c r="D252" s="616" t="s">
        <v>4039</v>
      </c>
      <c r="E252" s="616" t="s">
        <v>1055</v>
      </c>
      <c r="F252" s="619"/>
      <c r="G252" s="619"/>
      <c r="H252" s="619"/>
      <c r="I252" s="619"/>
      <c r="J252" s="619">
        <v>2.1</v>
      </c>
      <c r="K252" s="619">
        <v>2628.36</v>
      </c>
      <c r="L252" s="619"/>
      <c r="M252" s="619">
        <v>1251.5999999999999</v>
      </c>
      <c r="N252" s="619">
        <v>1.5</v>
      </c>
      <c r="O252" s="619">
        <v>1877.4</v>
      </c>
      <c r="P252" s="640"/>
      <c r="Q252" s="620">
        <v>1251.6000000000001</v>
      </c>
    </row>
    <row r="253" spans="1:17" ht="14.4" customHeight="1" x14ac:dyDescent="0.3">
      <c r="A253" s="615" t="s">
        <v>479</v>
      </c>
      <c r="B253" s="616" t="s">
        <v>3591</v>
      </c>
      <c r="C253" s="616" t="s">
        <v>3971</v>
      </c>
      <c r="D253" s="616" t="s">
        <v>4040</v>
      </c>
      <c r="E253" s="616" t="s">
        <v>4041</v>
      </c>
      <c r="F253" s="619">
        <v>57</v>
      </c>
      <c r="G253" s="619">
        <v>6531.0599999999995</v>
      </c>
      <c r="H253" s="619">
        <v>1</v>
      </c>
      <c r="I253" s="619">
        <v>114.57999999999998</v>
      </c>
      <c r="J253" s="619">
        <v>25</v>
      </c>
      <c r="K253" s="619">
        <v>2740</v>
      </c>
      <c r="L253" s="619">
        <v>0.41953373571824487</v>
      </c>
      <c r="M253" s="619">
        <v>109.6</v>
      </c>
      <c r="N253" s="619"/>
      <c r="O253" s="619"/>
      <c r="P253" s="640"/>
      <c r="Q253" s="620"/>
    </row>
    <row r="254" spans="1:17" ht="14.4" customHeight="1" x14ac:dyDescent="0.3">
      <c r="A254" s="615" t="s">
        <v>479</v>
      </c>
      <c r="B254" s="616" t="s">
        <v>3591</v>
      </c>
      <c r="C254" s="616" t="s">
        <v>3971</v>
      </c>
      <c r="D254" s="616" t="s">
        <v>4042</v>
      </c>
      <c r="E254" s="616" t="s">
        <v>4043</v>
      </c>
      <c r="F254" s="619">
        <v>178</v>
      </c>
      <c r="G254" s="619">
        <v>40790.480000000003</v>
      </c>
      <c r="H254" s="619">
        <v>1</v>
      </c>
      <c r="I254" s="619">
        <v>229.16000000000003</v>
      </c>
      <c r="J254" s="619">
        <v>67</v>
      </c>
      <c r="K254" s="619">
        <v>14686.4</v>
      </c>
      <c r="L254" s="619">
        <v>0.36004479476583751</v>
      </c>
      <c r="M254" s="619">
        <v>219.2</v>
      </c>
      <c r="N254" s="619"/>
      <c r="O254" s="619"/>
      <c r="P254" s="640"/>
      <c r="Q254" s="620"/>
    </row>
    <row r="255" spans="1:17" ht="14.4" customHeight="1" x14ac:dyDescent="0.3">
      <c r="A255" s="615" t="s">
        <v>479</v>
      </c>
      <c r="B255" s="616" t="s">
        <v>3591</v>
      </c>
      <c r="C255" s="616" t="s">
        <v>3971</v>
      </c>
      <c r="D255" s="616" t="s">
        <v>4044</v>
      </c>
      <c r="E255" s="616" t="s">
        <v>2741</v>
      </c>
      <c r="F255" s="619">
        <v>6.6</v>
      </c>
      <c r="G255" s="619">
        <v>1432.1999999999998</v>
      </c>
      <c r="H255" s="619">
        <v>1</v>
      </c>
      <c r="I255" s="619">
        <v>216.99999999999997</v>
      </c>
      <c r="J255" s="619">
        <v>4.9000000000000004</v>
      </c>
      <c r="K255" s="619">
        <v>1016.9100000000001</v>
      </c>
      <c r="L255" s="619">
        <v>0.71003351487222466</v>
      </c>
      <c r="M255" s="619">
        <v>207.53265306122449</v>
      </c>
      <c r="N255" s="619">
        <v>0.79999999999999993</v>
      </c>
      <c r="O255" s="619">
        <v>343.36</v>
      </c>
      <c r="P255" s="640">
        <v>0.23974305264627849</v>
      </c>
      <c r="Q255" s="620">
        <v>429.20000000000005</v>
      </c>
    </row>
    <row r="256" spans="1:17" ht="14.4" customHeight="1" x14ac:dyDescent="0.3">
      <c r="A256" s="615" t="s">
        <v>479</v>
      </c>
      <c r="B256" s="616" t="s">
        <v>3591</v>
      </c>
      <c r="C256" s="616" t="s">
        <v>3971</v>
      </c>
      <c r="D256" s="616" t="s">
        <v>4045</v>
      </c>
      <c r="E256" s="616" t="s">
        <v>2319</v>
      </c>
      <c r="F256" s="619">
        <v>40</v>
      </c>
      <c r="G256" s="619">
        <v>2749.6</v>
      </c>
      <c r="H256" s="619">
        <v>1</v>
      </c>
      <c r="I256" s="619">
        <v>68.739999999999995</v>
      </c>
      <c r="J256" s="619">
        <v>160</v>
      </c>
      <c r="K256" s="619">
        <v>10520</v>
      </c>
      <c r="L256" s="619">
        <v>3.8260110561536225</v>
      </c>
      <c r="M256" s="619">
        <v>65.75</v>
      </c>
      <c r="N256" s="619">
        <v>150</v>
      </c>
      <c r="O256" s="619">
        <v>9823.02</v>
      </c>
      <c r="P256" s="640">
        <v>3.5725269130055284</v>
      </c>
      <c r="Q256" s="620">
        <v>65.486800000000002</v>
      </c>
    </row>
    <row r="257" spans="1:17" ht="14.4" customHeight="1" x14ac:dyDescent="0.3">
      <c r="A257" s="615" t="s">
        <v>479</v>
      </c>
      <c r="B257" s="616" t="s">
        <v>3591</v>
      </c>
      <c r="C257" s="616" t="s">
        <v>3971</v>
      </c>
      <c r="D257" s="616" t="s">
        <v>4046</v>
      </c>
      <c r="E257" s="616" t="s">
        <v>2209</v>
      </c>
      <c r="F257" s="619">
        <v>21.1</v>
      </c>
      <c r="G257" s="619">
        <v>2045.6200000000001</v>
      </c>
      <c r="H257" s="619">
        <v>1</v>
      </c>
      <c r="I257" s="619">
        <v>96.94881516587678</v>
      </c>
      <c r="J257" s="619">
        <v>13.549999999999999</v>
      </c>
      <c r="K257" s="619">
        <v>1256.7200000000003</v>
      </c>
      <c r="L257" s="619">
        <v>0.6143467506183945</v>
      </c>
      <c r="M257" s="619">
        <v>92.746863468634714</v>
      </c>
      <c r="N257" s="619">
        <v>18.899999999999999</v>
      </c>
      <c r="O257" s="619">
        <v>1489.32</v>
      </c>
      <c r="P257" s="640">
        <v>0.72805310859299377</v>
      </c>
      <c r="Q257" s="620">
        <v>78.8</v>
      </c>
    </row>
    <row r="258" spans="1:17" ht="14.4" customHeight="1" x14ac:dyDescent="0.3">
      <c r="A258" s="615" t="s">
        <v>479</v>
      </c>
      <c r="B258" s="616" t="s">
        <v>3591</v>
      </c>
      <c r="C258" s="616" t="s">
        <v>3971</v>
      </c>
      <c r="D258" s="616" t="s">
        <v>4047</v>
      </c>
      <c r="E258" s="616" t="s">
        <v>4048</v>
      </c>
      <c r="F258" s="619"/>
      <c r="G258" s="619"/>
      <c r="H258" s="619"/>
      <c r="I258" s="619"/>
      <c r="J258" s="619">
        <v>201.8</v>
      </c>
      <c r="K258" s="619">
        <v>14156.119999999999</v>
      </c>
      <c r="L258" s="619"/>
      <c r="M258" s="619">
        <v>70.149256689791869</v>
      </c>
      <c r="N258" s="619">
        <v>831</v>
      </c>
      <c r="O258" s="619">
        <v>58294.65</v>
      </c>
      <c r="P258" s="640"/>
      <c r="Q258" s="620">
        <v>70.150000000000006</v>
      </c>
    </row>
    <row r="259" spans="1:17" ht="14.4" customHeight="1" x14ac:dyDescent="0.3">
      <c r="A259" s="615" t="s">
        <v>479</v>
      </c>
      <c r="B259" s="616" t="s">
        <v>3591</v>
      </c>
      <c r="C259" s="616" t="s">
        <v>3971</v>
      </c>
      <c r="D259" s="616" t="s">
        <v>4047</v>
      </c>
      <c r="E259" s="616" t="s">
        <v>2750</v>
      </c>
      <c r="F259" s="619"/>
      <c r="G259" s="619"/>
      <c r="H259" s="619"/>
      <c r="I259" s="619"/>
      <c r="J259" s="619">
        <v>528</v>
      </c>
      <c r="K259" s="619">
        <v>37039.199999999997</v>
      </c>
      <c r="L259" s="619"/>
      <c r="M259" s="619">
        <v>70.149999999999991</v>
      </c>
      <c r="N259" s="619">
        <v>627</v>
      </c>
      <c r="O259" s="619">
        <v>43984.05</v>
      </c>
      <c r="P259" s="640"/>
      <c r="Q259" s="620">
        <v>70.150000000000006</v>
      </c>
    </row>
    <row r="260" spans="1:17" ht="14.4" customHeight="1" x14ac:dyDescent="0.3">
      <c r="A260" s="615" t="s">
        <v>479</v>
      </c>
      <c r="B260" s="616" t="s">
        <v>3591</v>
      </c>
      <c r="C260" s="616" t="s">
        <v>3971</v>
      </c>
      <c r="D260" s="616" t="s">
        <v>4049</v>
      </c>
      <c r="E260" s="616" t="s">
        <v>4050</v>
      </c>
      <c r="F260" s="619">
        <v>104</v>
      </c>
      <c r="G260" s="619">
        <v>139971.51999999999</v>
      </c>
      <c r="H260" s="619">
        <v>1</v>
      </c>
      <c r="I260" s="619">
        <v>1345.8799999999999</v>
      </c>
      <c r="J260" s="619">
        <v>1</v>
      </c>
      <c r="K260" s="619">
        <v>1287.3599999999999</v>
      </c>
      <c r="L260" s="619">
        <v>9.1972995649400677E-3</v>
      </c>
      <c r="M260" s="619">
        <v>1287.3599999999999</v>
      </c>
      <c r="N260" s="619">
        <v>3</v>
      </c>
      <c r="O260" s="619">
        <v>3862.08</v>
      </c>
      <c r="P260" s="640">
        <v>2.7591898694820205E-2</v>
      </c>
      <c r="Q260" s="620">
        <v>1287.3599999999999</v>
      </c>
    </row>
    <row r="261" spans="1:17" ht="14.4" customHeight="1" x14ac:dyDescent="0.3">
      <c r="A261" s="615" t="s">
        <v>479</v>
      </c>
      <c r="B261" s="616" t="s">
        <v>3591</v>
      </c>
      <c r="C261" s="616" t="s">
        <v>3971</v>
      </c>
      <c r="D261" s="616" t="s">
        <v>4051</v>
      </c>
      <c r="E261" s="616" t="s">
        <v>4052</v>
      </c>
      <c r="F261" s="619">
        <v>18.639999999999997</v>
      </c>
      <c r="G261" s="619">
        <v>14908</v>
      </c>
      <c r="H261" s="619">
        <v>1</v>
      </c>
      <c r="I261" s="619">
        <v>799.78540772532199</v>
      </c>
      <c r="J261" s="619">
        <v>14.499999999999998</v>
      </c>
      <c r="K261" s="619">
        <v>11095.4</v>
      </c>
      <c r="L261" s="619">
        <v>0.74425811644754492</v>
      </c>
      <c r="M261" s="619">
        <v>765.2</v>
      </c>
      <c r="N261" s="619">
        <v>18.990000000000002</v>
      </c>
      <c r="O261" s="619">
        <v>14508.189999999999</v>
      </c>
      <c r="P261" s="640">
        <v>0.97318151328145952</v>
      </c>
      <c r="Q261" s="620">
        <v>763.99104791995774</v>
      </c>
    </row>
    <row r="262" spans="1:17" ht="14.4" customHeight="1" x14ac:dyDescent="0.3">
      <c r="A262" s="615" t="s">
        <v>479</v>
      </c>
      <c r="B262" s="616" t="s">
        <v>3591</v>
      </c>
      <c r="C262" s="616" t="s">
        <v>3971</v>
      </c>
      <c r="D262" s="616" t="s">
        <v>4053</v>
      </c>
      <c r="E262" s="616" t="s">
        <v>4054</v>
      </c>
      <c r="F262" s="619"/>
      <c r="G262" s="619"/>
      <c r="H262" s="619"/>
      <c r="I262" s="619"/>
      <c r="J262" s="619">
        <v>0.2</v>
      </c>
      <c r="K262" s="619">
        <v>76.36</v>
      </c>
      <c r="L262" s="619"/>
      <c r="M262" s="619">
        <v>381.79999999999995</v>
      </c>
      <c r="N262" s="619"/>
      <c r="O262" s="619"/>
      <c r="P262" s="640"/>
      <c r="Q262" s="620"/>
    </row>
    <row r="263" spans="1:17" ht="14.4" customHeight="1" x14ac:dyDescent="0.3">
      <c r="A263" s="615" t="s">
        <v>479</v>
      </c>
      <c r="B263" s="616" t="s">
        <v>3591</v>
      </c>
      <c r="C263" s="616" t="s">
        <v>3971</v>
      </c>
      <c r="D263" s="616" t="s">
        <v>4055</v>
      </c>
      <c r="E263" s="616" t="s">
        <v>4056</v>
      </c>
      <c r="F263" s="619">
        <v>27</v>
      </c>
      <c r="G263" s="619">
        <v>58282.66</v>
      </c>
      <c r="H263" s="619">
        <v>1</v>
      </c>
      <c r="I263" s="619">
        <v>2158.6170370370373</v>
      </c>
      <c r="J263" s="619"/>
      <c r="K263" s="619"/>
      <c r="L263" s="619"/>
      <c r="M263" s="619"/>
      <c r="N263" s="619"/>
      <c r="O263" s="619"/>
      <c r="P263" s="640"/>
      <c r="Q263" s="620"/>
    </row>
    <row r="264" spans="1:17" ht="14.4" customHeight="1" x14ac:dyDescent="0.3">
      <c r="A264" s="615" t="s">
        <v>479</v>
      </c>
      <c r="B264" s="616" t="s">
        <v>3591</v>
      </c>
      <c r="C264" s="616" t="s">
        <v>3971</v>
      </c>
      <c r="D264" s="616" t="s">
        <v>4057</v>
      </c>
      <c r="E264" s="616" t="s">
        <v>4058</v>
      </c>
      <c r="F264" s="619">
        <v>11.7</v>
      </c>
      <c r="G264" s="619">
        <v>7337.07</v>
      </c>
      <c r="H264" s="619">
        <v>1</v>
      </c>
      <c r="I264" s="619">
        <v>627.1</v>
      </c>
      <c r="J264" s="619">
        <v>2.7</v>
      </c>
      <c r="K264" s="619">
        <v>1619.46</v>
      </c>
      <c r="L264" s="619">
        <v>0.22072298615114755</v>
      </c>
      <c r="M264" s="619">
        <v>599.79999999999995</v>
      </c>
      <c r="N264" s="619"/>
      <c r="O264" s="619"/>
      <c r="P264" s="640"/>
      <c r="Q264" s="620"/>
    </row>
    <row r="265" spans="1:17" ht="14.4" customHeight="1" x14ac:dyDescent="0.3">
      <c r="A265" s="615" t="s">
        <v>479</v>
      </c>
      <c r="B265" s="616" t="s">
        <v>3591</v>
      </c>
      <c r="C265" s="616" t="s">
        <v>3971</v>
      </c>
      <c r="D265" s="616" t="s">
        <v>4059</v>
      </c>
      <c r="E265" s="616" t="s">
        <v>4060</v>
      </c>
      <c r="F265" s="619">
        <v>12.299999999999999</v>
      </c>
      <c r="G265" s="619">
        <v>9955.869999999999</v>
      </c>
      <c r="H265" s="619">
        <v>1</v>
      </c>
      <c r="I265" s="619">
        <v>809.42032520325199</v>
      </c>
      <c r="J265" s="619">
        <v>19.600000000000001</v>
      </c>
      <c r="K265" s="619">
        <v>15675.05</v>
      </c>
      <c r="L265" s="619">
        <v>1.5744530613597807</v>
      </c>
      <c r="M265" s="619">
        <v>799.7474489795917</v>
      </c>
      <c r="N265" s="619">
        <v>12.299999999999999</v>
      </c>
      <c r="O265" s="619">
        <v>9837.0199999999986</v>
      </c>
      <c r="P265" s="640">
        <v>0.98806231901380792</v>
      </c>
      <c r="Q265" s="620">
        <v>799.75772357723577</v>
      </c>
    </row>
    <row r="266" spans="1:17" ht="14.4" customHeight="1" x14ac:dyDescent="0.3">
      <c r="A266" s="615" t="s">
        <v>479</v>
      </c>
      <c r="B266" s="616" t="s">
        <v>3591</v>
      </c>
      <c r="C266" s="616" t="s">
        <v>3971</v>
      </c>
      <c r="D266" s="616" t="s">
        <v>4061</v>
      </c>
      <c r="E266" s="616" t="s">
        <v>4062</v>
      </c>
      <c r="F266" s="619">
        <v>4</v>
      </c>
      <c r="G266" s="619">
        <v>14995.2</v>
      </c>
      <c r="H266" s="619">
        <v>1</v>
      </c>
      <c r="I266" s="619">
        <v>3748.8</v>
      </c>
      <c r="J266" s="619">
        <v>4</v>
      </c>
      <c r="K266" s="619">
        <v>13528.44</v>
      </c>
      <c r="L266" s="619">
        <v>0.90218469910371313</v>
      </c>
      <c r="M266" s="619">
        <v>3382.11</v>
      </c>
      <c r="N266" s="619"/>
      <c r="O266" s="619"/>
      <c r="P266" s="640"/>
      <c r="Q266" s="620"/>
    </row>
    <row r="267" spans="1:17" ht="14.4" customHeight="1" x14ac:dyDescent="0.3">
      <c r="A267" s="615" t="s">
        <v>479</v>
      </c>
      <c r="B267" s="616" t="s">
        <v>3591</v>
      </c>
      <c r="C267" s="616" t="s">
        <v>3971</v>
      </c>
      <c r="D267" s="616" t="s">
        <v>2439</v>
      </c>
      <c r="E267" s="616" t="s">
        <v>2440</v>
      </c>
      <c r="F267" s="619"/>
      <c r="G267" s="619"/>
      <c r="H267" s="619"/>
      <c r="I267" s="619"/>
      <c r="J267" s="619">
        <v>98</v>
      </c>
      <c r="K267" s="619">
        <v>126161.28</v>
      </c>
      <c r="L267" s="619"/>
      <c r="M267" s="619">
        <v>1287.3599999999999</v>
      </c>
      <c r="N267" s="619">
        <v>57</v>
      </c>
      <c r="O267" s="619">
        <v>73379.520000000004</v>
      </c>
      <c r="P267" s="640"/>
      <c r="Q267" s="620">
        <v>1287.3600000000001</v>
      </c>
    </row>
    <row r="268" spans="1:17" ht="14.4" customHeight="1" x14ac:dyDescent="0.3">
      <c r="A268" s="615" t="s">
        <v>479</v>
      </c>
      <c r="B268" s="616" t="s">
        <v>3591</v>
      </c>
      <c r="C268" s="616" t="s">
        <v>3971</v>
      </c>
      <c r="D268" s="616" t="s">
        <v>4063</v>
      </c>
      <c r="E268" s="616" t="s">
        <v>2313</v>
      </c>
      <c r="F268" s="619">
        <v>6.8000000000000007</v>
      </c>
      <c r="G268" s="619">
        <v>14678.59</v>
      </c>
      <c r="H268" s="619">
        <v>1</v>
      </c>
      <c r="I268" s="619">
        <v>2158.616176470588</v>
      </c>
      <c r="J268" s="619">
        <v>46.000000000000007</v>
      </c>
      <c r="K268" s="619">
        <v>93550.69</v>
      </c>
      <c r="L268" s="619">
        <v>6.37327495352074</v>
      </c>
      <c r="M268" s="619">
        <v>2033.7106521739129</v>
      </c>
      <c r="N268" s="619">
        <v>10.199999999999999</v>
      </c>
      <c r="O268" s="619">
        <v>16645.04</v>
      </c>
      <c r="P268" s="640">
        <v>1.1339672270974257</v>
      </c>
      <c r="Q268" s="620">
        <v>1631.8666666666668</v>
      </c>
    </row>
    <row r="269" spans="1:17" ht="14.4" customHeight="1" x14ac:dyDescent="0.3">
      <c r="A269" s="615" t="s">
        <v>479</v>
      </c>
      <c r="B269" s="616" t="s">
        <v>3591</v>
      </c>
      <c r="C269" s="616" t="s">
        <v>3971</v>
      </c>
      <c r="D269" s="616" t="s">
        <v>4064</v>
      </c>
      <c r="E269" s="616" t="s">
        <v>4065</v>
      </c>
      <c r="F269" s="619">
        <v>1</v>
      </c>
      <c r="G269" s="619">
        <v>2454.84</v>
      </c>
      <c r="H269" s="619">
        <v>1</v>
      </c>
      <c r="I269" s="619">
        <v>2454.84</v>
      </c>
      <c r="J269" s="619"/>
      <c r="K269" s="619"/>
      <c r="L269" s="619"/>
      <c r="M269" s="619"/>
      <c r="N269" s="619"/>
      <c r="O269" s="619"/>
      <c r="P269" s="640"/>
      <c r="Q269" s="620"/>
    </row>
    <row r="270" spans="1:17" ht="14.4" customHeight="1" x14ac:dyDescent="0.3">
      <c r="A270" s="615" t="s">
        <v>479</v>
      </c>
      <c r="B270" s="616" t="s">
        <v>3591</v>
      </c>
      <c r="C270" s="616" t="s">
        <v>3971</v>
      </c>
      <c r="D270" s="616" t="s">
        <v>4066</v>
      </c>
      <c r="E270" s="616" t="s">
        <v>2333</v>
      </c>
      <c r="F270" s="619"/>
      <c r="G270" s="619"/>
      <c r="H270" s="619"/>
      <c r="I270" s="619"/>
      <c r="J270" s="619">
        <v>7.6999999999999993</v>
      </c>
      <c r="K270" s="619">
        <v>3016.8599999999997</v>
      </c>
      <c r="L270" s="619"/>
      <c r="M270" s="619">
        <v>391.8</v>
      </c>
      <c r="N270" s="619">
        <v>15.649999999999999</v>
      </c>
      <c r="O270" s="619">
        <v>6131.6699999999992</v>
      </c>
      <c r="P270" s="640"/>
      <c r="Q270" s="620">
        <v>391.79999999999995</v>
      </c>
    </row>
    <row r="271" spans="1:17" ht="14.4" customHeight="1" x14ac:dyDescent="0.3">
      <c r="A271" s="615" t="s">
        <v>479</v>
      </c>
      <c r="B271" s="616" t="s">
        <v>3591</v>
      </c>
      <c r="C271" s="616" t="s">
        <v>3971</v>
      </c>
      <c r="D271" s="616" t="s">
        <v>4067</v>
      </c>
      <c r="E271" s="616" t="s">
        <v>1524</v>
      </c>
      <c r="F271" s="619">
        <v>2.4</v>
      </c>
      <c r="G271" s="619">
        <v>2484.52</v>
      </c>
      <c r="H271" s="619">
        <v>1</v>
      </c>
      <c r="I271" s="619">
        <v>1035.2166666666667</v>
      </c>
      <c r="J271" s="619">
        <v>0.5</v>
      </c>
      <c r="K271" s="619">
        <v>495.1</v>
      </c>
      <c r="L271" s="619">
        <v>0.19927390401365255</v>
      </c>
      <c r="M271" s="619">
        <v>990.2</v>
      </c>
      <c r="N271" s="619">
        <v>1.1000000000000001</v>
      </c>
      <c r="O271" s="619">
        <v>842.16000000000008</v>
      </c>
      <c r="P271" s="640">
        <v>0.33896285801684028</v>
      </c>
      <c r="Q271" s="620">
        <v>765.6</v>
      </c>
    </row>
    <row r="272" spans="1:17" ht="14.4" customHeight="1" x14ac:dyDescent="0.3">
      <c r="A272" s="615" t="s">
        <v>479</v>
      </c>
      <c r="B272" s="616" t="s">
        <v>3591</v>
      </c>
      <c r="C272" s="616" t="s">
        <v>3971</v>
      </c>
      <c r="D272" s="616" t="s">
        <v>4068</v>
      </c>
      <c r="E272" s="616" t="s">
        <v>2336</v>
      </c>
      <c r="F272" s="619"/>
      <c r="G272" s="619"/>
      <c r="H272" s="619"/>
      <c r="I272" s="619"/>
      <c r="J272" s="619">
        <v>9.9</v>
      </c>
      <c r="K272" s="619">
        <v>3822.05</v>
      </c>
      <c r="L272" s="619"/>
      <c r="M272" s="619">
        <v>386.06565656565658</v>
      </c>
      <c r="N272" s="619">
        <v>1.8200000000000003</v>
      </c>
      <c r="O272" s="619">
        <v>702.6</v>
      </c>
      <c r="P272" s="640"/>
      <c r="Q272" s="620">
        <v>386.04395604395597</v>
      </c>
    </row>
    <row r="273" spans="1:17" ht="14.4" customHeight="1" x14ac:dyDescent="0.3">
      <c r="A273" s="615" t="s">
        <v>479</v>
      </c>
      <c r="B273" s="616" t="s">
        <v>3591</v>
      </c>
      <c r="C273" s="616" t="s">
        <v>3971</v>
      </c>
      <c r="D273" s="616" t="s">
        <v>4069</v>
      </c>
      <c r="E273" s="616" t="s">
        <v>2339</v>
      </c>
      <c r="F273" s="619">
        <v>0.89999999999999991</v>
      </c>
      <c r="G273" s="619">
        <v>726.51</v>
      </c>
      <c r="H273" s="619">
        <v>1</v>
      </c>
      <c r="I273" s="619">
        <v>807.23333333333335</v>
      </c>
      <c r="J273" s="619">
        <v>27.400000000000002</v>
      </c>
      <c r="K273" s="619">
        <v>21156.7</v>
      </c>
      <c r="L273" s="619">
        <v>29.121003152055721</v>
      </c>
      <c r="M273" s="619">
        <v>772.14233576642334</v>
      </c>
      <c r="N273" s="619">
        <v>33.700000000000003</v>
      </c>
      <c r="O273" s="619">
        <v>26021.27</v>
      </c>
      <c r="P273" s="640">
        <v>35.816809128573595</v>
      </c>
      <c r="Q273" s="620">
        <v>772.14451038575658</v>
      </c>
    </row>
    <row r="274" spans="1:17" ht="14.4" customHeight="1" x14ac:dyDescent="0.3">
      <c r="A274" s="615" t="s">
        <v>479</v>
      </c>
      <c r="B274" s="616" t="s">
        <v>3591</v>
      </c>
      <c r="C274" s="616" t="s">
        <v>3971</v>
      </c>
      <c r="D274" s="616" t="s">
        <v>4070</v>
      </c>
      <c r="E274" s="616" t="s">
        <v>4071</v>
      </c>
      <c r="F274" s="619">
        <v>4</v>
      </c>
      <c r="G274" s="619">
        <v>3609.6</v>
      </c>
      <c r="H274" s="619">
        <v>1</v>
      </c>
      <c r="I274" s="619">
        <v>902.4</v>
      </c>
      <c r="J274" s="619"/>
      <c r="K274" s="619"/>
      <c r="L274" s="619"/>
      <c r="M274" s="619"/>
      <c r="N274" s="619">
        <v>7</v>
      </c>
      <c r="O274" s="619">
        <v>6042.19</v>
      </c>
      <c r="P274" s="640">
        <v>1.6739223182624112</v>
      </c>
      <c r="Q274" s="620">
        <v>863.17</v>
      </c>
    </row>
    <row r="275" spans="1:17" ht="14.4" customHeight="1" x14ac:dyDescent="0.3">
      <c r="A275" s="615" t="s">
        <v>479</v>
      </c>
      <c r="B275" s="616" t="s">
        <v>3591</v>
      </c>
      <c r="C275" s="616" t="s">
        <v>3971</v>
      </c>
      <c r="D275" s="616" t="s">
        <v>4072</v>
      </c>
      <c r="E275" s="616" t="s">
        <v>4073</v>
      </c>
      <c r="F275" s="619">
        <v>113.62</v>
      </c>
      <c r="G275" s="619">
        <v>412160.66</v>
      </c>
      <c r="H275" s="619">
        <v>1</v>
      </c>
      <c r="I275" s="619">
        <v>3627.5361732089418</v>
      </c>
      <c r="J275" s="619">
        <v>16.16</v>
      </c>
      <c r="K275" s="619">
        <v>52645.57</v>
      </c>
      <c r="L275" s="619">
        <v>0.12773070093589234</v>
      </c>
      <c r="M275" s="619">
        <v>3257.7704207920792</v>
      </c>
      <c r="N275" s="619"/>
      <c r="O275" s="619"/>
      <c r="P275" s="640"/>
      <c r="Q275" s="620"/>
    </row>
    <row r="276" spans="1:17" ht="14.4" customHeight="1" x14ac:dyDescent="0.3">
      <c r="A276" s="615" t="s">
        <v>479</v>
      </c>
      <c r="B276" s="616" t="s">
        <v>3591</v>
      </c>
      <c r="C276" s="616" t="s">
        <v>3971</v>
      </c>
      <c r="D276" s="616" t="s">
        <v>4074</v>
      </c>
      <c r="E276" s="616" t="s">
        <v>2419</v>
      </c>
      <c r="F276" s="619"/>
      <c r="G276" s="619"/>
      <c r="H276" s="619"/>
      <c r="I276" s="619"/>
      <c r="J276" s="619">
        <v>90.75</v>
      </c>
      <c r="K276" s="619">
        <v>38909.22</v>
      </c>
      <c r="L276" s="619"/>
      <c r="M276" s="619">
        <v>428.75173553719009</v>
      </c>
      <c r="N276" s="619">
        <v>110.89</v>
      </c>
      <c r="O276" s="619">
        <v>45747.42</v>
      </c>
      <c r="P276" s="640"/>
      <c r="Q276" s="620">
        <v>412.54775002254485</v>
      </c>
    </row>
    <row r="277" spans="1:17" ht="14.4" customHeight="1" x14ac:dyDescent="0.3">
      <c r="A277" s="615" t="s">
        <v>479</v>
      </c>
      <c r="B277" s="616" t="s">
        <v>3591</v>
      </c>
      <c r="C277" s="616" t="s">
        <v>3971</v>
      </c>
      <c r="D277" s="616" t="s">
        <v>4075</v>
      </c>
      <c r="E277" s="616" t="s">
        <v>2390</v>
      </c>
      <c r="F277" s="619"/>
      <c r="G277" s="619"/>
      <c r="H277" s="619"/>
      <c r="I277" s="619"/>
      <c r="J277" s="619">
        <v>216.6</v>
      </c>
      <c r="K277" s="619">
        <v>47478.719999999994</v>
      </c>
      <c r="L277" s="619"/>
      <c r="M277" s="619">
        <v>219.2</v>
      </c>
      <c r="N277" s="619">
        <v>261.39999999999998</v>
      </c>
      <c r="O277" s="619">
        <v>57298.879999999997</v>
      </c>
      <c r="P277" s="640"/>
      <c r="Q277" s="620">
        <v>219.20000000000002</v>
      </c>
    </row>
    <row r="278" spans="1:17" ht="14.4" customHeight="1" x14ac:dyDescent="0.3">
      <c r="A278" s="615" t="s">
        <v>479</v>
      </c>
      <c r="B278" s="616" t="s">
        <v>3591</v>
      </c>
      <c r="C278" s="616" t="s">
        <v>3971</v>
      </c>
      <c r="D278" s="616" t="s">
        <v>4076</v>
      </c>
      <c r="E278" s="616" t="s">
        <v>2052</v>
      </c>
      <c r="F278" s="619"/>
      <c r="G278" s="619"/>
      <c r="H278" s="619"/>
      <c r="I278" s="619"/>
      <c r="J278" s="619"/>
      <c r="K278" s="619"/>
      <c r="L278" s="619"/>
      <c r="M278" s="619"/>
      <c r="N278" s="619">
        <v>0.2</v>
      </c>
      <c r="O278" s="619">
        <v>1346.29</v>
      </c>
      <c r="P278" s="640"/>
      <c r="Q278" s="620">
        <v>6731.45</v>
      </c>
    </row>
    <row r="279" spans="1:17" ht="14.4" customHeight="1" x14ac:dyDescent="0.3">
      <c r="A279" s="615" t="s">
        <v>479</v>
      </c>
      <c r="B279" s="616" t="s">
        <v>3591</v>
      </c>
      <c r="C279" s="616" t="s">
        <v>3971</v>
      </c>
      <c r="D279" s="616" t="s">
        <v>4077</v>
      </c>
      <c r="E279" s="616" t="s">
        <v>2416</v>
      </c>
      <c r="F279" s="619">
        <v>50</v>
      </c>
      <c r="G279" s="619">
        <v>539950.5</v>
      </c>
      <c r="H279" s="619">
        <v>1</v>
      </c>
      <c r="I279" s="619">
        <v>10799.01</v>
      </c>
      <c r="J279" s="619"/>
      <c r="K279" s="619"/>
      <c r="L279" s="619"/>
      <c r="M279" s="619"/>
      <c r="N279" s="619">
        <v>44.5</v>
      </c>
      <c r="O279" s="619">
        <v>459662.3</v>
      </c>
      <c r="P279" s="640">
        <v>0.85130451772893989</v>
      </c>
      <c r="Q279" s="620">
        <v>10329.48988764045</v>
      </c>
    </row>
    <row r="280" spans="1:17" ht="14.4" customHeight="1" x14ac:dyDescent="0.3">
      <c r="A280" s="615" t="s">
        <v>479</v>
      </c>
      <c r="B280" s="616" t="s">
        <v>3591</v>
      </c>
      <c r="C280" s="616" t="s">
        <v>3971</v>
      </c>
      <c r="D280" s="616" t="s">
        <v>2444</v>
      </c>
      <c r="E280" s="616" t="s">
        <v>4078</v>
      </c>
      <c r="F280" s="619">
        <v>6</v>
      </c>
      <c r="G280" s="619">
        <v>21020.34</v>
      </c>
      <c r="H280" s="619">
        <v>1</v>
      </c>
      <c r="I280" s="619">
        <v>3503.39</v>
      </c>
      <c r="J280" s="619">
        <v>15</v>
      </c>
      <c r="K280" s="619">
        <v>47591.700000000004</v>
      </c>
      <c r="L280" s="619">
        <v>2.2640785068176825</v>
      </c>
      <c r="M280" s="619">
        <v>3172.78</v>
      </c>
      <c r="N280" s="619">
        <v>31</v>
      </c>
      <c r="O280" s="619">
        <v>98356.18</v>
      </c>
      <c r="P280" s="640">
        <v>4.6790955807565426</v>
      </c>
      <c r="Q280" s="620">
        <v>3172.7799999999997</v>
      </c>
    </row>
    <row r="281" spans="1:17" ht="14.4" customHeight="1" x14ac:dyDescent="0.3">
      <c r="A281" s="615" t="s">
        <v>479</v>
      </c>
      <c r="B281" s="616" t="s">
        <v>3591</v>
      </c>
      <c r="C281" s="616" t="s">
        <v>3971</v>
      </c>
      <c r="D281" s="616" t="s">
        <v>4079</v>
      </c>
      <c r="E281" s="616" t="s">
        <v>2419</v>
      </c>
      <c r="F281" s="619"/>
      <c r="G281" s="619"/>
      <c r="H281" s="619"/>
      <c r="I281" s="619"/>
      <c r="J281" s="619">
        <v>1.5</v>
      </c>
      <c r="K281" s="619">
        <v>1286.32</v>
      </c>
      <c r="L281" s="619"/>
      <c r="M281" s="619">
        <v>857.54666666666662</v>
      </c>
      <c r="N281" s="619"/>
      <c r="O281" s="619"/>
      <c r="P281" s="640"/>
      <c r="Q281" s="620"/>
    </row>
    <row r="282" spans="1:17" ht="14.4" customHeight="1" x14ac:dyDescent="0.3">
      <c r="A282" s="615" t="s">
        <v>479</v>
      </c>
      <c r="B282" s="616" t="s">
        <v>3591</v>
      </c>
      <c r="C282" s="616" t="s">
        <v>3971</v>
      </c>
      <c r="D282" s="616" t="s">
        <v>4080</v>
      </c>
      <c r="E282" s="616" t="s">
        <v>4081</v>
      </c>
      <c r="F282" s="619"/>
      <c r="G282" s="619"/>
      <c r="H282" s="619"/>
      <c r="I282" s="619"/>
      <c r="J282" s="619"/>
      <c r="K282" s="619"/>
      <c r="L282" s="619"/>
      <c r="M282" s="619"/>
      <c r="N282" s="619">
        <v>82</v>
      </c>
      <c r="O282" s="619">
        <v>5391.5</v>
      </c>
      <c r="P282" s="640"/>
      <c r="Q282" s="620">
        <v>65.75</v>
      </c>
    </row>
    <row r="283" spans="1:17" ht="14.4" customHeight="1" x14ac:dyDescent="0.3">
      <c r="A283" s="615" t="s">
        <v>479</v>
      </c>
      <c r="B283" s="616" t="s">
        <v>3591</v>
      </c>
      <c r="C283" s="616" t="s">
        <v>3971</v>
      </c>
      <c r="D283" s="616" t="s">
        <v>4082</v>
      </c>
      <c r="E283" s="616" t="s">
        <v>4078</v>
      </c>
      <c r="F283" s="619">
        <v>1</v>
      </c>
      <c r="G283" s="619">
        <v>7006.78</v>
      </c>
      <c r="H283" s="619">
        <v>1</v>
      </c>
      <c r="I283" s="619">
        <v>7006.78</v>
      </c>
      <c r="J283" s="619"/>
      <c r="K283" s="619"/>
      <c r="L283" s="619"/>
      <c r="M283" s="619"/>
      <c r="N283" s="619"/>
      <c r="O283" s="619"/>
      <c r="P283" s="640"/>
      <c r="Q283" s="620"/>
    </row>
    <row r="284" spans="1:17" ht="14.4" customHeight="1" x14ac:dyDescent="0.3">
      <c r="A284" s="615" t="s">
        <v>479</v>
      </c>
      <c r="B284" s="616" t="s">
        <v>3591</v>
      </c>
      <c r="C284" s="616" t="s">
        <v>3971</v>
      </c>
      <c r="D284" s="616" t="s">
        <v>4083</v>
      </c>
      <c r="E284" s="616" t="s">
        <v>2330</v>
      </c>
      <c r="F284" s="619"/>
      <c r="G284" s="619"/>
      <c r="H284" s="619"/>
      <c r="I284" s="619"/>
      <c r="J284" s="619"/>
      <c r="K284" s="619"/>
      <c r="L284" s="619"/>
      <c r="M284" s="619"/>
      <c r="N284" s="619">
        <v>7.3</v>
      </c>
      <c r="O284" s="619">
        <v>4262.71</v>
      </c>
      <c r="P284" s="640"/>
      <c r="Q284" s="620">
        <v>583.93287671232883</v>
      </c>
    </row>
    <row r="285" spans="1:17" ht="14.4" customHeight="1" x14ac:dyDescent="0.3">
      <c r="A285" s="615" t="s">
        <v>479</v>
      </c>
      <c r="B285" s="616" t="s">
        <v>3591</v>
      </c>
      <c r="C285" s="616" t="s">
        <v>3971</v>
      </c>
      <c r="D285" s="616" t="s">
        <v>4084</v>
      </c>
      <c r="E285" s="616" t="s">
        <v>4062</v>
      </c>
      <c r="F285" s="619">
        <v>3</v>
      </c>
      <c r="G285" s="619">
        <v>22066.880000000001</v>
      </c>
      <c r="H285" s="619">
        <v>1</v>
      </c>
      <c r="I285" s="619">
        <v>7355.626666666667</v>
      </c>
      <c r="J285" s="619">
        <v>7</v>
      </c>
      <c r="K285" s="619">
        <v>48164.34</v>
      </c>
      <c r="L285" s="619">
        <v>2.1826529169506514</v>
      </c>
      <c r="M285" s="619">
        <v>6880.62</v>
      </c>
      <c r="N285" s="619"/>
      <c r="O285" s="619"/>
      <c r="P285" s="640"/>
      <c r="Q285" s="620"/>
    </row>
    <row r="286" spans="1:17" ht="14.4" customHeight="1" x14ac:dyDescent="0.3">
      <c r="A286" s="615" t="s">
        <v>479</v>
      </c>
      <c r="B286" s="616" t="s">
        <v>3591</v>
      </c>
      <c r="C286" s="616" t="s">
        <v>3971</v>
      </c>
      <c r="D286" s="616" t="s">
        <v>4085</v>
      </c>
      <c r="E286" s="616" t="s">
        <v>4086</v>
      </c>
      <c r="F286" s="619">
        <v>12</v>
      </c>
      <c r="G286" s="619">
        <v>35247.599999999999</v>
      </c>
      <c r="H286" s="619">
        <v>1</v>
      </c>
      <c r="I286" s="619">
        <v>2937.2999999999997</v>
      </c>
      <c r="J286" s="619">
        <v>2</v>
      </c>
      <c r="K286" s="619">
        <v>5414</v>
      </c>
      <c r="L286" s="619">
        <v>0.1535991102940342</v>
      </c>
      <c r="M286" s="619">
        <v>2707</v>
      </c>
      <c r="N286" s="619"/>
      <c r="O286" s="619"/>
      <c r="P286" s="640"/>
      <c r="Q286" s="620"/>
    </row>
    <row r="287" spans="1:17" ht="14.4" customHeight="1" x14ac:dyDescent="0.3">
      <c r="A287" s="615" t="s">
        <v>479</v>
      </c>
      <c r="B287" s="616" t="s">
        <v>3591</v>
      </c>
      <c r="C287" s="616" t="s">
        <v>3971</v>
      </c>
      <c r="D287" s="616" t="s">
        <v>4087</v>
      </c>
      <c r="E287" s="616" t="s">
        <v>4088</v>
      </c>
      <c r="F287" s="619">
        <v>12</v>
      </c>
      <c r="G287" s="619">
        <v>182108.04</v>
      </c>
      <c r="H287" s="619">
        <v>1</v>
      </c>
      <c r="I287" s="619">
        <v>15175.67</v>
      </c>
      <c r="J287" s="619"/>
      <c r="K287" s="619"/>
      <c r="L287" s="619"/>
      <c r="M287" s="619"/>
      <c r="N287" s="619"/>
      <c r="O287" s="619"/>
      <c r="P287" s="640"/>
      <c r="Q287" s="620"/>
    </row>
    <row r="288" spans="1:17" ht="14.4" customHeight="1" x14ac:dyDescent="0.3">
      <c r="A288" s="615" t="s">
        <v>479</v>
      </c>
      <c r="B288" s="616" t="s">
        <v>3591</v>
      </c>
      <c r="C288" s="616" t="s">
        <v>3971</v>
      </c>
      <c r="D288" s="616" t="s">
        <v>4089</v>
      </c>
      <c r="E288" s="616" t="s">
        <v>4090</v>
      </c>
      <c r="F288" s="619">
        <v>40.200000000000003</v>
      </c>
      <c r="G288" s="619">
        <v>18977.809999999998</v>
      </c>
      <c r="H288" s="619">
        <v>1</v>
      </c>
      <c r="I288" s="619">
        <v>472.08482587064668</v>
      </c>
      <c r="J288" s="619">
        <v>5.0999999999999996</v>
      </c>
      <c r="K288" s="619">
        <v>2497.96</v>
      </c>
      <c r="L288" s="619">
        <v>0.13162530344649884</v>
      </c>
      <c r="M288" s="619">
        <v>489.79607843137256</v>
      </c>
      <c r="N288" s="619"/>
      <c r="O288" s="619"/>
      <c r="P288" s="640"/>
      <c r="Q288" s="620"/>
    </row>
    <row r="289" spans="1:17" ht="14.4" customHeight="1" x14ac:dyDescent="0.3">
      <c r="A289" s="615" t="s">
        <v>479</v>
      </c>
      <c r="B289" s="616" t="s">
        <v>3591</v>
      </c>
      <c r="C289" s="616" t="s">
        <v>3971</v>
      </c>
      <c r="D289" s="616" t="s">
        <v>4091</v>
      </c>
      <c r="E289" s="616" t="s">
        <v>2316</v>
      </c>
      <c r="F289" s="619">
        <v>5.6000000000000005</v>
      </c>
      <c r="G289" s="619">
        <v>16612.62</v>
      </c>
      <c r="H289" s="619">
        <v>1</v>
      </c>
      <c r="I289" s="619">
        <v>2966.5392857142851</v>
      </c>
      <c r="J289" s="619">
        <v>149.80000000000001</v>
      </c>
      <c r="K289" s="619">
        <v>318414.88</v>
      </c>
      <c r="L289" s="619">
        <v>19.167047702288983</v>
      </c>
      <c r="M289" s="619">
        <v>2125.6</v>
      </c>
      <c r="N289" s="619">
        <v>192.23</v>
      </c>
      <c r="O289" s="619">
        <v>408604.08</v>
      </c>
      <c r="P289" s="640">
        <v>24.596004724119378</v>
      </c>
      <c r="Q289" s="620">
        <v>2125.5999583831872</v>
      </c>
    </row>
    <row r="290" spans="1:17" ht="14.4" customHeight="1" x14ac:dyDescent="0.3">
      <c r="A290" s="615" t="s">
        <v>479</v>
      </c>
      <c r="B290" s="616" t="s">
        <v>3591</v>
      </c>
      <c r="C290" s="616" t="s">
        <v>3971</v>
      </c>
      <c r="D290" s="616" t="s">
        <v>4092</v>
      </c>
      <c r="E290" s="616" t="s">
        <v>2412</v>
      </c>
      <c r="F290" s="619">
        <v>3.4</v>
      </c>
      <c r="G290" s="619">
        <v>36940.07</v>
      </c>
      <c r="H290" s="619">
        <v>1</v>
      </c>
      <c r="I290" s="619">
        <v>10864.726470588235</v>
      </c>
      <c r="J290" s="619">
        <v>5.4</v>
      </c>
      <c r="K290" s="619">
        <v>56118.630000000005</v>
      </c>
      <c r="L290" s="619">
        <v>1.5191803913744615</v>
      </c>
      <c r="M290" s="619">
        <v>10392.338888888889</v>
      </c>
      <c r="N290" s="619">
        <v>16</v>
      </c>
      <c r="O290" s="619">
        <v>166277.6</v>
      </c>
      <c r="P290" s="640">
        <v>4.5012800463020239</v>
      </c>
      <c r="Q290" s="620">
        <v>10392.35</v>
      </c>
    </row>
    <row r="291" spans="1:17" ht="14.4" customHeight="1" x14ac:dyDescent="0.3">
      <c r="A291" s="615" t="s">
        <v>479</v>
      </c>
      <c r="B291" s="616" t="s">
        <v>3591</v>
      </c>
      <c r="C291" s="616" t="s">
        <v>3971</v>
      </c>
      <c r="D291" s="616" t="s">
        <v>4093</v>
      </c>
      <c r="E291" s="616" t="s">
        <v>4094</v>
      </c>
      <c r="F291" s="619">
        <v>0.4</v>
      </c>
      <c r="G291" s="619">
        <v>1570.36</v>
      </c>
      <c r="H291" s="619">
        <v>1</v>
      </c>
      <c r="I291" s="619">
        <v>3925.8999999999996</v>
      </c>
      <c r="J291" s="619">
        <v>39.799999999999997</v>
      </c>
      <c r="K291" s="619">
        <v>149457.38</v>
      </c>
      <c r="L291" s="619">
        <v>95.17396011105734</v>
      </c>
      <c r="M291" s="619">
        <v>3755.2105527638196</v>
      </c>
      <c r="N291" s="619"/>
      <c r="O291" s="619"/>
      <c r="P291" s="640"/>
      <c r="Q291" s="620"/>
    </row>
    <row r="292" spans="1:17" ht="14.4" customHeight="1" x14ac:dyDescent="0.3">
      <c r="A292" s="615" t="s">
        <v>479</v>
      </c>
      <c r="B292" s="616" t="s">
        <v>3591</v>
      </c>
      <c r="C292" s="616" t="s">
        <v>3971</v>
      </c>
      <c r="D292" s="616" t="s">
        <v>4095</v>
      </c>
      <c r="E292" s="616" t="s">
        <v>4096</v>
      </c>
      <c r="F292" s="619"/>
      <c r="G292" s="619"/>
      <c r="H292" s="619"/>
      <c r="I292" s="619"/>
      <c r="J292" s="619">
        <v>1</v>
      </c>
      <c r="K292" s="619">
        <v>195.9</v>
      </c>
      <c r="L292" s="619"/>
      <c r="M292" s="619">
        <v>195.9</v>
      </c>
      <c r="N292" s="619">
        <v>0.3</v>
      </c>
      <c r="O292" s="619">
        <v>58.77</v>
      </c>
      <c r="P292" s="640"/>
      <c r="Q292" s="620">
        <v>195.9</v>
      </c>
    </row>
    <row r="293" spans="1:17" ht="14.4" customHeight="1" x14ac:dyDescent="0.3">
      <c r="A293" s="615" t="s">
        <v>479</v>
      </c>
      <c r="B293" s="616" t="s">
        <v>3591</v>
      </c>
      <c r="C293" s="616" t="s">
        <v>3971</v>
      </c>
      <c r="D293" s="616" t="s">
        <v>4097</v>
      </c>
      <c r="E293" s="616" t="s">
        <v>4098</v>
      </c>
      <c r="F293" s="619"/>
      <c r="G293" s="619"/>
      <c r="H293" s="619"/>
      <c r="I293" s="619"/>
      <c r="J293" s="619">
        <v>1.4</v>
      </c>
      <c r="K293" s="619">
        <v>882</v>
      </c>
      <c r="L293" s="619"/>
      <c r="M293" s="619">
        <v>630</v>
      </c>
      <c r="N293" s="619">
        <v>7.2</v>
      </c>
      <c r="O293" s="619">
        <v>3013.8999999999996</v>
      </c>
      <c r="P293" s="640"/>
      <c r="Q293" s="620">
        <v>418.59722222222217</v>
      </c>
    </row>
    <row r="294" spans="1:17" ht="14.4" customHeight="1" x14ac:dyDescent="0.3">
      <c r="A294" s="615" t="s">
        <v>479</v>
      </c>
      <c r="B294" s="616" t="s">
        <v>3591</v>
      </c>
      <c r="C294" s="616" t="s">
        <v>3971</v>
      </c>
      <c r="D294" s="616" t="s">
        <v>4099</v>
      </c>
      <c r="E294" s="616" t="s">
        <v>4098</v>
      </c>
      <c r="F294" s="619"/>
      <c r="G294" s="619"/>
      <c r="H294" s="619"/>
      <c r="I294" s="619"/>
      <c r="J294" s="619">
        <v>21.7</v>
      </c>
      <c r="K294" s="619">
        <v>24847.27</v>
      </c>
      <c r="L294" s="619"/>
      <c r="M294" s="619">
        <v>1145.0354838709677</v>
      </c>
      <c r="N294" s="619">
        <v>23.5</v>
      </c>
      <c r="O294" s="619">
        <v>21499.27</v>
      </c>
      <c r="P294" s="640"/>
      <c r="Q294" s="620">
        <v>914.86255319148938</v>
      </c>
    </row>
    <row r="295" spans="1:17" ht="14.4" customHeight="1" x14ac:dyDescent="0.3">
      <c r="A295" s="615" t="s">
        <v>479</v>
      </c>
      <c r="B295" s="616" t="s">
        <v>3591</v>
      </c>
      <c r="C295" s="616" t="s">
        <v>3971</v>
      </c>
      <c r="D295" s="616" t="s">
        <v>4100</v>
      </c>
      <c r="E295" s="616" t="s">
        <v>4101</v>
      </c>
      <c r="F295" s="619"/>
      <c r="G295" s="619"/>
      <c r="H295" s="619"/>
      <c r="I295" s="619"/>
      <c r="J295" s="619">
        <v>46.63</v>
      </c>
      <c r="K295" s="619">
        <v>167571.22999999998</v>
      </c>
      <c r="L295" s="619"/>
      <c r="M295" s="619">
        <v>3593.6356422903705</v>
      </c>
      <c r="N295" s="619"/>
      <c r="O295" s="619"/>
      <c r="P295" s="640"/>
      <c r="Q295" s="620"/>
    </row>
    <row r="296" spans="1:17" ht="14.4" customHeight="1" x14ac:dyDescent="0.3">
      <c r="A296" s="615" t="s">
        <v>479</v>
      </c>
      <c r="B296" s="616" t="s">
        <v>3591</v>
      </c>
      <c r="C296" s="616" t="s">
        <v>3971</v>
      </c>
      <c r="D296" s="616" t="s">
        <v>4102</v>
      </c>
      <c r="E296" s="616" t="s">
        <v>4103</v>
      </c>
      <c r="F296" s="619"/>
      <c r="G296" s="619"/>
      <c r="H296" s="619"/>
      <c r="I296" s="619"/>
      <c r="J296" s="619">
        <v>24</v>
      </c>
      <c r="K296" s="619">
        <v>30896.639999999999</v>
      </c>
      <c r="L296" s="619"/>
      <c r="M296" s="619">
        <v>1287.3599999999999</v>
      </c>
      <c r="N296" s="619"/>
      <c r="O296" s="619"/>
      <c r="P296" s="640"/>
      <c r="Q296" s="620"/>
    </row>
    <row r="297" spans="1:17" ht="14.4" customHeight="1" x14ac:dyDescent="0.3">
      <c r="A297" s="615" t="s">
        <v>479</v>
      </c>
      <c r="B297" s="616" t="s">
        <v>3591</v>
      </c>
      <c r="C297" s="616" t="s">
        <v>3971</v>
      </c>
      <c r="D297" s="616" t="s">
        <v>4104</v>
      </c>
      <c r="E297" s="616" t="s">
        <v>2388</v>
      </c>
      <c r="F297" s="619"/>
      <c r="G297" s="619"/>
      <c r="H297" s="619"/>
      <c r="I297" s="619"/>
      <c r="J297" s="619">
        <v>25</v>
      </c>
      <c r="K297" s="619">
        <v>2740</v>
      </c>
      <c r="L297" s="619"/>
      <c r="M297" s="619">
        <v>109.6</v>
      </c>
      <c r="N297" s="619">
        <v>20</v>
      </c>
      <c r="O297" s="619">
        <v>2274.2600000000002</v>
      </c>
      <c r="P297" s="640"/>
      <c r="Q297" s="620">
        <v>113.71300000000001</v>
      </c>
    </row>
    <row r="298" spans="1:17" ht="14.4" customHeight="1" x14ac:dyDescent="0.3">
      <c r="A298" s="615" t="s">
        <v>479</v>
      </c>
      <c r="B298" s="616" t="s">
        <v>3591</v>
      </c>
      <c r="C298" s="616" t="s">
        <v>3971</v>
      </c>
      <c r="D298" s="616" t="s">
        <v>4105</v>
      </c>
      <c r="E298" s="616" t="s">
        <v>4033</v>
      </c>
      <c r="F298" s="619"/>
      <c r="G298" s="619"/>
      <c r="H298" s="619"/>
      <c r="I298" s="619"/>
      <c r="J298" s="619">
        <v>5</v>
      </c>
      <c r="K298" s="619">
        <v>64723.7</v>
      </c>
      <c r="L298" s="619"/>
      <c r="M298" s="619">
        <v>12944.74</v>
      </c>
      <c r="N298" s="619"/>
      <c r="O298" s="619"/>
      <c r="P298" s="640"/>
      <c r="Q298" s="620"/>
    </row>
    <row r="299" spans="1:17" ht="14.4" customHeight="1" x14ac:dyDescent="0.3">
      <c r="A299" s="615" t="s">
        <v>479</v>
      </c>
      <c r="B299" s="616" t="s">
        <v>3591</v>
      </c>
      <c r="C299" s="616" t="s">
        <v>3971</v>
      </c>
      <c r="D299" s="616" t="s">
        <v>4106</v>
      </c>
      <c r="E299" s="616" t="s">
        <v>2321</v>
      </c>
      <c r="F299" s="619"/>
      <c r="G299" s="619"/>
      <c r="H299" s="619"/>
      <c r="I299" s="619"/>
      <c r="J299" s="619">
        <v>13.999999999999998</v>
      </c>
      <c r="K299" s="619">
        <v>4639.6000000000004</v>
      </c>
      <c r="L299" s="619"/>
      <c r="M299" s="619">
        <v>331.40000000000009</v>
      </c>
      <c r="N299" s="619">
        <v>39.4</v>
      </c>
      <c r="O299" s="619">
        <v>13057.16</v>
      </c>
      <c r="P299" s="640"/>
      <c r="Q299" s="620">
        <v>331.40000000000003</v>
      </c>
    </row>
    <row r="300" spans="1:17" ht="14.4" customHeight="1" x14ac:dyDescent="0.3">
      <c r="A300" s="615" t="s">
        <v>479</v>
      </c>
      <c r="B300" s="616" t="s">
        <v>3591</v>
      </c>
      <c r="C300" s="616" t="s">
        <v>3971</v>
      </c>
      <c r="D300" s="616" t="s">
        <v>4107</v>
      </c>
      <c r="E300" s="616" t="s">
        <v>2324</v>
      </c>
      <c r="F300" s="619"/>
      <c r="G300" s="619"/>
      <c r="H300" s="619"/>
      <c r="I300" s="619"/>
      <c r="J300" s="619">
        <v>2.7</v>
      </c>
      <c r="K300" s="619">
        <v>30493.360000000001</v>
      </c>
      <c r="L300" s="619"/>
      <c r="M300" s="619">
        <v>11293.837037037036</v>
      </c>
      <c r="N300" s="619">
        <v>3.9</v>
      </c>
      <c r="O300" s="619">
        <v>44045.98</v>
      </c>
      <c r="P300" s="640"/>
      <c r="Q300" s="620">
        <v>11293.841025641026</v>
      </c>
    </row>
    <row r="301" spans="1:17" ht="14.4" customHeight="1" x14ac:dyDescent="0.3">
      <c r="A301" s="615" t="s">
        <v>479</v>
      </c>
      <c r="B301" s="616" t="s">
        <v>3591</v>
      </c>
      <c r="C301" s="616" t="s">
        <v>3971</v>
      </c>
      <c r="D301" s="616" t="s">
        <v>4108</v>
      </c>
      <c r="E301" s="616" t="s">
        <v>4109</v>
      </c>
      <c r="F301" s="619"/>
      <c r="G301" s="619"/>
      <c r="H301" s="619"/>
      <c r="I301" s="619"/>
      <c r="J301" s="619">
        <v>0.8</v>
      </c>
      <c r="K301" s="619">
        <v>1157.44</v>
      </c>
      <c r="L301" s="619"/>
      <c r="M301" s="619">
        <v>1446.8</v>
      </c>
      <c r="N301" s="619"/>
      <c r="O301" s="619"/>
      <c r="P301" s="640"/>
      <c r="Q301" s="620"/>
    </row>
    <row r="302" spans="1:17" ht="14.4" customHeight="1" x14ac:dyDescent="0.3">
      <c r="A302" s="615" t="s">
        <v>479</v>
      </c>
      <c r="B302" s="616" t="s">
        <v>3591</v>
      </c>
      <c r="C302" s="616" t="s">
        <v>3971</v>
      </c>
      <c r="D302" s="616" t="s">
        <v>4110</v>
      </c>
      <c r="E302" s="616" t="s">
        <v>4111</v>
      </c>
      <c r="F302" s="619"/>
      <c r="G302" s="619"/>
      <c r="H302" s="619"/>
      <c r="I302" s="619"/>
      <c r="J302" s="619">
        <v>11</v>
      </c>
      <c r="K302" s="619">
        <v>371656.56</v>
      </c>
      <c r="L302" s="619"/>
      <c r="M302" s="619">
        <v>33786.959999999999</v>
      </c>
      <c r="N302" s="619"/>
      <c r="O302" s="619"/>
      <c r="P302" s="640"/>
      <c r="Q302" s="620"/>
    </row>
    <row r="303" spans="1:17" ht="14.4" customHeight="1" x14ac:dyDescent="0.3">
      <c r="A303" s="615" t="s">
        <v>479</v>
      </c>
      <c r="B303" s="616" t="s">
        <v>3591</v>
      </c>
      <c r="C303" s="616" t="s">
        <v>3971</v>
      </c>
      <c r="D303" s="616" t="s">
        <v>4112</v>
      </c>
      <c r="E303" s="616" t="s">
        <v>2364</v>
      </c>
      <c r="F303" s="619"/>
      <c r="G303" s="619"/>
      <c r="H303" s="619"/>
      <c r="I303" s="619"/>
      <c r="J303" s="619"/>
      <c r="K303" s="619"/>
      <c r="L303" s="619"/>
      <c r="M303" s="619"/>
      <c r="N303" s="619">
        <v>21.049999999999997</v>
      </c>
      <c r="O303" s="619">
        <v>16626.329999999998</v>
      </c>
      <c r="P303" s="640"/>
      <c r="Q303" s="620">
        <v>789.84940617577195</v>
      </c>
    </row>
    <row r="304" spans="1:17" ht="14.4" customHeight="1" x14ac:dyDescent="0.3">
      <c r="A304" s="615" t="s">
        <v>479</v>
      </c>
      <c r="B304" s="616" t="s">
        <v>3591</v>
      </c>
      <c r="C304" s="616" t="s">
        <v>3971</v>
      </c>
      <c r="D304" s="616" t="s">
        <v>4113</v>
      </c>
      <c r="E304" s="616" t="s">
        <v>2393</v>
      </c>
      <c r="F304" s="619"/>
      <c r="G304" s="619"/>
      <c r="H304" s="619"/>
      <c r="I304" s="619"/>
      <c r="J304" s="619">
        <v>11.6</v>
      </c>
      <c r="K304" s="619">
        <v>37859.32</v>
      </c>
      <c r="L304" s="619"/>
      <c r="M304" s="619">
        <v>3263.7344827586207</v>
      </c>
      <c r="N304" s="619">
        <v>97.649999999999991</v>
      </c>
      <c r="O304" s="619">
        <v>318704.10000000009</v>
      </c>
      <c r="P304" s="640"/>
      <c r="Q304" s="620">
        <v>3263.7388632872517</v>
      </c>
    </row>
    <row r="305" spans="1:17" ht="14.4" customHeight="1" x14ac:dyDescent="0.3">
      <c r="A305" s="615" t="s">
        <v>479</v>
      </c>
      <c r="B305" s="616" t="s">
        <v>3591</v>
      </c>
      <c r="C305" s="616" t="s">
        <v>3971</v>
      </c>
      <c r="D305" s="616" t="s">
        <v>4114</v>
      </c>
      <c r="E305" s="616" t="s">
        <v>2358</v>
      </c>
      <c r="F305" s="619"/>
      <c r="G305" s="619"/>
      <c r="H305" s="619"/>
      <c r="I305" s="619"/>
      <c r="J305" s="619"/>
      <c r="K305" s="619"/>
      <c r="L305" s="619"/>
      <c r="M305" s="619"/>
      <c r="N305" s="619">
        <v>0.2</v>
      </c>
      <c r="O305" s="619">
        <v>77.319999999999993</v>
      </c>
      <c r="P305" s="640"/>
      <c r="Q305" s="620">
        <v>386.59999999999997</v>
      </c>
    </row>
    <row r="306" spans="1:17" ht="14.4" customHeight="1" x14ac:dyDescent="0.3">
      <c r="A306" s="615" t="s">
        <v>479</v>
      </c>
      <c r="B306" s="616" t="s">
        <v>3591</v>
      </c>
      <c r="C306" s="616" t="s">
        <v>3971</v>
      </c>
      <c r="D306" s="616" t="s">
        <v>4115</v>
      </c>
      <c r="E306" s="616" t="s">
        <v>4116</v>
      </c>
      <c r="F306" s="619"/>
      <c r="G306" s="619"/>
      <c r="H306" s="619"/>
      <c r="I306" s="619"/>
      <c r="J306" s="619">
        <v>0.2</v>
      </c>
      <c r="K306" s="619">
        <v>184.97</v>
      </c>
      <c r="L306" s="619"/>
      <c r="M306" s="619">
        <v>924.84999999999991</v>
      </c>
      <c r="N306" s="619"/>
      <c r="O306" s="619"/>
      <c r="P306" s="640"/>
      <c r="Q306" s="620"/>
    </row>
    <row r="307" spans="1:17" ht="14.4" customHeight="1" x14ac:dyDescent="0.3">
      <c r="A307" s="615" t="s">
        <v>479</v>
      </c>
      <c r="B307" s="616" t="s">
        <v>3591</v>
      </c>
      <c r="C307" s="616" t="s">
        <v>3971</v>
      </c>
      <c r="D307" s="616" t="s">
        <v>4117</v>
      </c>
      <c r="E307" s="616"/>
      <c r="F307" s="619"/>
      <c r="G307" s="619"/>
      <c r="H307" s="619"/>
      <c r="I307" s="619"/>
      <c r="J307" s="619">
        <v>0.60000000000000009</v>
      </c>
      <c r="K307" s="619">
        <v>350.37</v>
      </c>
      <c r="L307" s="619"/>
      <c r="M307" s="619">
        <v>583.94999999999993</v>
      </c>
      <c r="N307" s="619"/>
      <c r="O307" s="619"/>
      <c r="P307" s="640"/>
      <c r="Q307" s="620"/>
    </row>
    <row r="308" spans="1:17" ht="14.4" customHeight="1" x14ac:dyDescent="0.3">
      <c r="A308" s="615" t="s">
        <v>479</v>
      </c>
      <c r="B308" s="616" t="s">
        <v>3591</v>
      </c>
      <c r="C308" s="616" t="s">
        <v>3971</v>
      </c>
      <c r="D308" s="616" t="s">
        <v>4118</v>
      </c>
      <c r="E308" s="616" t="s">
        <v>2427</v>
      </c>
      <c r="F308" s="619"/>
      <c r="G308" s="619"/>
      <c r="H308" s="619"/>
      <c r="I308" s="619"/>
      <c r="J308" s="619"/>
      <c r="K308" s="619"/>
      <c r="L308" s="619"/>
      <c r="M308" s="619"/>
      <c r="N308" s="619">
        <v>18</v>
      </c>
      <c r="O308" s="619">
        <v>42006.6</v>
      </c>
      <c r="P308" s="640"/>
      <c r="Q308" s="620">
        <v>2333.6999999999998</v>
      </c>
    </row>
    <row r="309" spans="1:17" ht="14.4" customHeight="1" x14ac:dyDescent="0.3">
      <c r="A309" s="615" t="s">
        <v>479</v>
      </c>
      <c r="B309" s="616" t="s">
        <v>3591</v>
      </c>
      <c r="C309" s="616" t="s">
        <v>4119</v>
      </c>
      <c r="D309" s="616" t="s">
        <v>4120</v>
      </c>
      <c r="E309" s="616" t="s">
        <v>4121</v>
      </c>
      <c r="F309" s="619">
        <v>1</v>
      </c>
      <c r="G309" s="619">
        <v>1215.8499999999999</v>
      </c>
      <c r="H309" s="619">
        <v>1</v>
      </c>
      <c r="I309" s="619">
        <v>1215.8499999999999</v>
      </c>
      <c r="J309" s="619"/>
      <c r="K309" s="619"/>
      <c r="L309" s="619"/>
      <c r="M309" s="619"/>
      <c r="N309" s="619">
        <v>1</v>
      </c>
      <c r="O309" s="619">
        <v>1306.92</v>
      </c>
      <c r="P309" s="640">
        <v>1.0749023317021016</v>
      </c>
      <c r="Q309" s="620">
        <v>1306.92</v>
      </c>
    </row>
    <row r="310" spans="1:17" ht="14.4" customHeight="1" x14ac:dyDescent="0.3">
      <c r="A310" s="615" t="s">
        <v>479</v>
      </c>
      <c r="B310" s="616" t="s">
        <v>3591</v>
      </c>
      <c r="C310" s="616" t="s">
        <v>4119</v>
      </c>
      <c r="D310" s="616" t="s">
        <v>4120</v>
      </c>
      <c r="E310" s="616"/>
      <c r="F310" s="619">
        <v>7</v>
      </c>
      <c r="G310" s="619">
        <v>8510.9500000000007</v>
      </c>
      <c r="H310" s="619">
        <v>1</v>
      </c>
      <c r="I310" s="619">
        <v>1215.8500000000001</v>
      </c>
      <c r="J310" s="619">
        <v>2</v>
      </c>
      <c r="K310" s="619">
        <v>2431.6999999999998</v>
      </c>
      <c r="L310" s="619">
        <v>0.28571428571428564</v>
      </c>
      <c r="M310" s="619">
        <v>1215.8499999999999</v>
      </c>
      <c r="N310" s="619">
        <v>11</v>
      </c>
      <c r="O310" s="619">
        <v>14376.12</v>
      </c>
      <c r="P310" s="640">
        <v>1.6891322355318736</v>
      </c>
      <c r="Q310" s="620">
        <v>1306.92</v>
      </c>
    </row>
    <row r="311" spans="1:17" ht="14.4" customHeight="1" x14ac:dyDescent="0.3">
      <c r="A311" s="615" t="s">
        <v>479</v>
      </c>
      <c r="B311" s="616" t="s">
        <v>3591</v>
      </c>
      <c r="C311" s="616" t="s">
        <v>4119</v>
      </c>
      <c r="D311" s="616" t="s">
        <v>4122</v>
      </c>
      <c r="E311" s="616" t="s">
        <v>4123</v>
      </c>
      <c r="F311" s="619">
        <v>263</v>
      </c>
      <c r="G311" s="619">
        <v>490647.54</v>
      </c>
      <c r="H311" s="619">
        <v>1</v>
      </c>
      <c r="I311" s="619">
        <v>1865.58</v>
      </c>
      <c r="J311" s="619">
        <v>297</v>
      </c>
      <c r="K311" s="619">
        <v>554077.26</v>
      </c>
      <c r="L311" s="619">
        <v>1.1292775665399239</v>
      </c>
      <c r="M311" s="619">
        <v>1865.58</v>
      </c>
      <c r="N311" s="619">
        <v>273</v>
      </c>
      <c r="O311" s="619">
        <v>547777.23</v>
      </c>
      <c r="P311" s="640">
        <v>1.1164373309606321</v>
      </c>
      <c r="Q311" s="620">
        <v>2006.51</v>
      </c>
    </row>
    <row r="312" spans="1:17" ht="14.4" customHeight="1" x14ac:dyDescent="0.3">
      <c r="A312" s="615" t="s">
        <v>479</v>
      </c>
      <c r="B312" s="616" t="s">
        <v>3591</v>
      </c>
      <c r="C312" s="616" t="s">
        <v>4119</v>
      </c>
      <c r="D312" s="616" t="s">
        <v>4122</v>
      </c>
      <c r="E312" s="616"/>
      <c r="F312" s="619">
        <v>809</v>
      </c>
      <c r="G312" s="619">
        <v>1509254.22</v>
      </c>
      <c r="H312" s="619">
        <v>1</v>
      </c>
      <c r="I312" s="619">
        <v>1865.58</v>
      </c>
      <c r="J312" s="619">
        <v>913</v>
      </c>
      <c r="K312" s="619">
        <v>1703274.54</v>
      </c>
      <c r="L312" s="619">
        <v>1.1285537700865267</v>
      </c>
      <c r="M312" s="619">
        <v>1865.58</v>
      </c>
      <c r="N312" s="619">
        <v>1020</v>
      </c>
      <c r="O312" s="619">
        <v>2046245.26</v>
      </c>
      <c r="P312" s="640">
        <v>1.3557989322700055</v>
      </c>
      <c r="Q312" s="620">
        <v>2006.1228039215687</v>
      </c>
    </row>
    <row r="313" spans="1:17" ht="14.4" customHeight="1" x14ac:dyDescent="0.3">
      <c r="A313" s="615" t="s">
        <v>479</v>
      </c>
      <c r="B313" s="616" t="s">
        <v>3591</v>
      </c>
      <c r="C313" s="616" t="s">
        <v>4119</v>
      </c>
      <c r="D313" s="616" t="s">
        <v>4124</v>
      </c>
      <c r="E313" s="616" t="s">
        <v>4125</v>
      </c>
      <c r="F313" s="619">
        <v>11</v>
      </c>
      <c r="G313" s="619">
        <v>30015.81</v>
      </c>
      <c r="H313" s="619">
        <v>1</v>
      </c>
      <c r="I313" s="619">
        <v>2728.71</v>
      </c>
      <c r="J313" s="619">
        <v>27</v>
      </c>
      <c r="K313" s="619">
        <v>64837.11</v>
      </c>
      <c r="L313" s="619">
        <v>2.1600986280230319</v>
      </c>
      <c r="M313" s="619">
        <v>2401.3744444444446</v>
      </c>
      <c r="N313" s="619">
        <v>23</v>
      </c>
      <c r="O313" s="619">
        <v>56709.260000000009</v>
      </c>
      <c r="P313" s="640">
        <v>1.8893129987163433</v>
      </c>
      <c r="Q313" s="620">
        <v>2465.6200000000003</v>
      </c>
    </row>
    <row r="314" spans="1:17" ht="14.4" customHeight="1" x14ac:dyDescent="0.3">
      <c r="A314" s="615" t="s">
        <v>479</v>
      </c>
      <c r="B314" s="616" t="s">
        <v>3591</v>
      </c>
      <c r="C314" s="616" t="s">
        <v>4119</v>
      </c>
      <c r="D314" s="616" t="s">
        <v>4124</v>
      </c>
      <c r="E314" s="616"/>
      <c r="F314" s="619">
        <v>17</v>
      </c>
      <c r="G314" s="619">
        <v>46388.07</v>
      </c>
      <c r="H314" s="619">
        <v>1</v>
      </c>
      <c r="I314" s="619">
        <v>2728.71</v>
      </c>
      <c r="J314" s="619">
        <v>24</v>
      </c>
      <c r="K314" s="619">
        <v>64149.939999999995</v>
      </c>
      <c r="L314" s="619">
        <v>1.3828973699487821</v>
      </c>
      <c r="M314" s="619">
        <v>2672.9141666666665</v>
      </c>
      <c r="N314" s="619">
        <v>106</v>
      </c>
      <c r="O314" s="619">
        <v>261280.03999999998</v>
      </c>
      <c r="P314" s="640">
        <v>5.6324835243199383</v>
      </c>
      <c r="Q314" s="620">
        <v>2464.9060377358487</v>
      </c>
    </row>
    <row r="315" spans="1:17" ht="14.4" customHeight="1" x14ac:dyDescent="0.3">
      <c r="A315" s="615" t="s">
        <v>479</v>
      </c>
      <c r="B315" s="616" t="s">
        <v>3591</v>
      </c>
      <c r="C315" s="616" t="s">
        <v>4119</v>
      </c>
      <c r="D315" s="616" t="s">
        <v>4126</v>
      </c>
      <c r="E315" s="616" t="s">
        <v>4125</v>
      </c>
      <c r="F315" s="619"/>
      <c r="G315" s="619"/>
      <c r="H315" s="619"/>
      <c r="I315" s="619"/>
      <c r="J315" s="619">
        <v>1</v>
      </c>
      <c r="K315" s="619">
        <v>1469.22</v>
      </c>
      <c r="L315" s="619"/>
      <c r="M315" s="619">
        <v>1469.22</v>
      </c>
      <c r="N315" s="619">
        <v>1</v>
      </c>
      <c r="O315" s="619">
        <v>1471.63</v>
      </c>
      <c r="P315" s="640"/>
      <c r="Q315" s="620">
        <v>1471.63</v>
      </c>
    </row>
    <row r="316" spans="1:17" ht="14.4" customHeight="1" x14ac:dyDescent="0.3">
      <c r="A316" s="615" t="s">
        <v>479</v>
      </c>
      <c r="B316" s="616" t="s">
        <v>3591</v>
      </c>
      <c r="C316" s="616" t="s">
        <v>4119</v>
      </c>
      <c r="D316" s="616" t="s">
        <v>4126</v>
      </c>
      <c r="E316" s="616"/>
      <c r="F316" s="619"/>
      <c r="G316" s="619"/>
      <c r="H316" s="619"/>
      <c r="I316" s="619"/>
      <c r="J316" s="619"/>
      <c r="K316" s="619"/>
      <c r="L316" s="619"/>
      <c r="M316" s="619"/>
      <c r="N316" s="619">
        <v>1</v>
      </c>
      <c r="O316" s="619">
        <v>1471.63</v>
      </c>
      <c r="P316" s="640"/>
      <c r="Q316" s="620">
        <v>1471.63</v>
      </c>
    </row>
    <row r="317" spans="1:17" ht="14.4" customHeight="1" x14ac:dyDescent="0.3">
      <c r="A317" s="615" t="s">
        <v>479</v>
      </c>
      <c r="B317" s="616" t="s">
        <v>3591</v>
      </c>
      <c r="C317" s="616" t="s">
        <v>4119</v>
      </c>
      <c r="D317" s="616" t="s">
        <v>4127</v>
      </c>
      <c r="E317" s="616"/>
      <c r="F317" s="619">
        <v>11</v>
      </c>
      <c r="G317" s="619">
        <v>20521.379999999997</v>
      </c>
      <c r="H317" s="619">
        <v>1</v>
      </c>
      <c r="I317" s="619">
        <v>1865.5799999999997</v>
      </c>
      <c r="J317" s="619">
        <v>8</v>
      </c>
      <c r="K317" s="619">
        <v>14924.64</v>
      </c>
      <c r="L317" s="619">
        <v>0.72727272727272729</v>
      </c>
      <c r="M317" s="619">
        <v>1865.58</v>
      </c>
      <c r="N317" s="619">
        <v>5</v>
      </c>
      <c r="O317" s="619">
        <v>10032.549999999999</v>
      </c>
      <c r="P317" s="640">
        <v>0.48888281392381999</v>
      </c>
      <c r="Q317" s="620">
        <v>2006.5099999999998</v>
      </c>
    </row>
    <row r="318" spans="1:17" ht="14.4" customHeight="1" x14ac:dyDescent="0.3">
      <c r="A318" s="615" t="s">
        <v>479</v>
      </c>
      <c r="B318" s="616" t="s">
        <v>3591</v>
      </c>
      <c r="C318" s="616" t="s">
        <v>4119</v>
      </c>
      <c r="D318" s="616" t="s">
        <v>4127</v>
      </c>
      <c r="E318" s="616" t="s">
        <v>4128</v>
      </c>
      <c r="F318" s="619">
        <v>2</v>
      </c>
      <c r="G318" s="619">
        <v>3731.16</v>
      </c>
      <c r="H318" s="619">
        <v>1</v>
      </c>
      <c r="I318" s="619">
        <v>1865.58</v>
      </c>
      <c r="J318" s="619">
        <v>1</v>
      </c>
      <c r="K318" s="619">
        <v>1865.58</v>
      </c>
      <c r="L318" s="619">
        <v>0.5</v>
      </c>
      <c r="M318" s="619">
        <v>1865.58</v>
      </c>
      <c r="N318" s="619">
        <v>3</v>
      </c>
      <c r="O318" s="619">
        <v>6019.53</v>
      </c>
      <c r="P318" s="640">
        <v>1.6133132859486057</v>
      </c>
      <c r="Q318" s="620">
        <v>2006.51</v>
      </c>
    </row>
    <row r="319" spans="1:17" ht="14.4" customHeight="1" x14ac:dyDescent="0.3">
      <c r="A319" s="615" t="s">
        <v>479</v>
      </c>
      <c r="B319" s="616" t="s">
        <v>3591</v>
      </c>
      <c r="C319" s="616" t="s">
        <v>4119</v>
      </c>
      <c r="D319" s="616" t="s">
        <v>4129</v>
      </c>
      <c r="E319" s="616"/>
      <c r="F319" s="619">
        <v>1</v>
      </c>
      <c r="G319" s="619">
        <v>8191.63</v>
      </c>
      <c r="H319" s="619">
        <v>1</v>
      </c>
      <c r="I319" s="619">
        <v>8191.63</v>
      </c>
      <c r="J319" s="619"/>
      <c r="K319" s="619"/>
      <c r="L319" s="619"/>
      <c r="M319" s="619"/>
      <c r="N319" s="619"/>
      <c r="O319" s="619"/>
      <c r="P319" s="640"/>
      <c r="Q319" s="620"/>
    </row>
    <row r="320" spans="1:17" ht="14.4" customHeight="1" x14ac:dyDescent="0.3">
      <c r="A320" s="615" t="s">
        <v>479</v>
      </c>
      <c r="B320" s="616" t="s">
        <v>3591</v>
      </c>
      <c r="C320" s="616" t="s">
        <v>4119</v>
      </c>
      <c r="D320" s="616" t="s">
        <v>4130</v>
      </c>
      <c r="E320" s="616"/>
      <c r="F320" s="619">
        <v>8</v>
      </c>
      <c r="G320" s="619">
        <v>64594.880000000005</v>
      </c>
      <c r="H320" s="619">
        <v>1</v>
      </c>
      <c r="I320" s="619">
        <v>8074.3600000000006</v>
      </c>
      <c r="J320" s="619">
        <v>32</v>
      </c>
      <c r="K320" s="619">
        <v>258379.51999999999</v>
      </c>
      <c r="L320" s="619">
        <v>3.9999999999999996</v>
      </c>
      <c r="M320" s="619">
        <v>8074.36</v>
      </c>
      <c r="N320" s="619">
        <v>65</v>
      </c>
      <c r="O320" s="619">
        <v>538961.37</v>
      </c>
      <c r="P320" s="640">
        <v>8.343716560817203</v>
      </c>
      <c r="Q320" s="620">
        <v>8291.7133846153847</v>
      </c>
    </row>
    <row r="321" spans="1:17" ht="14.4" customHeight="1" x14ac:dyDescent="0.3">
      <c r="A321" s="615" t="s">
        <v>479</v>
      </c>
      <c r="B321" s="616" t="s">
        <v>3591</v>
      </c>
      <c r="C321" s="616" t="s">
        <v>4119</v>
      </c>
      <c r="D321" s="616" t="s">
        <v>4130</v>
      </c>
      <c r="E321" s="616" t="s">
        <v>4131</v>
      </c>
      <c r="F321" s="619">
        <v>7</v>
      </c>
      <c r="G321" s="619">
        <v>56520.52</v>
      </c>
      <c r="H321" s="619">
        <v>1</v>
      </c>
      <c r="I321" s="619">
        <v>8074.36</v>
      </c>
      <c r="J321" s="619">
        <v>22</v>
      </c>
      <c r="K321" s="619">
        <v>177635.91999999998</v>
      </c>
      <c r="L321" s="619">
        <v>3.1428571428571428</v>
      </c>
      <c r="M321" s="619">
        <v>8074.36</v>
      </c>
      <c r="N321" s="619">
        <v>11</v>
      </c>
      <c r="O321" s="619">
        <v>91212.99</v>
      </c>
      <c r="P321" s="640">
        <v>1.6138030931067162</v>
      </c>
      <c r="Q321" s="620">
        <v>8292.09</v>
      </c>
    </row>
    <row r="322" spans="1:17" ht="14.4" customHeight="1" x14ac:dyDescent="0.3">
      <c r="A322" s="615" t="s">
        <v>479</v>
      </c>
      <c r="B322" s="616" t="s">
        <v>3591</v>
      </c>
      <c r="C322" s="616" t="s">
        <v>4119</v>
      </c>
      <c r="D322" s="616" t="s">
        <v>4132</v>
      </c>
      <c r="E322" s="616" t="s">
        <v>4133</v>
      </c>
      <c r="F322" s="619">
        <v>19</v>
      </c>
      <c r="G322" s="619">
        <v>184035.90000000002</v>
      </c>
      <c r="H322" s="619">
        <v>1</v>
      </c>
      <c r="I322" s="619">
        <v>9686.1</v>
      </c>
      <c r="J322" s="619">
        <v>28</v>
      </c>
      <c r="K322" s="619">
        <v>271210.8</v>
      </c>
      <c r="L322" s="619">
        <v>1.4736842105263155</v>
      </c>
      <c r="M322" s="619">
        <v>9686.1</v>
      </c>
      <c r="N322" s="619">
        <v>10</v>
      </c>
      <c r="O322" s="619">
        <v>99113.299999999988</v>
      </c>
      <c r="P322" s="640">
        <v>0.53855416253024535</v>
      </c>
      <c r="Q322" s="620">
        <v>9911.3299999999981</v>
      </c>
    </row>
    <row r="323" spans="1:17" ht="14.4" customHeight="1" x14ac:dyDescent="0.3">
      <c r="A323" s="615" t="s">
        <v>479</v>
      </c>
      <c r="B323" s="616" t="s">
        <v>3591</v>
      </c>
      <c r="C323" s="616" t="s">
        <v>4119</v>
      </c>
      <c r="D323" s="616" t="s">
        <v>4132</v>
      </c>
      <c r="E323" s="616"/>
      <c r="F323" s="619">
        <v>36</v>
      </c>
      <c r="G323" s="619">
        <v>348699.6</v>
      </c>
      <c r="H323" s="619">
        <v>1</v>
      </c>
      <c r="I323" s="619">
        <v>9686.0999999999985</v>
      </c>
      <c r="J323" s="619">
        <v>55</v>
      </c>
      <c r="K323" s="619">
        <v>532735.5</v>
      </c>
      <c r="L323" s="619">
        <v>1.5277777777777779</v>
      </c>
      <c r="M323" s="619">
        <v>9686.1</v>
      </c>
      <c r="N323" s="619">
        <v>128</v>
      </c>
      <c r="O323" s="619">
        <v>1268630.68</v>
      </c>
      <c r="P323" s="640">
        <v>3.6381764705207575</v>
      </c>
      <c r="Q323" s="620">
        <v>9911.1771874999995</v>
      </c>
    </row>
    <row r="324" spans="1:17" ht="14.4" customHeight="1" x14ac:dyDescent="0.3">
      <c r="A324" s="615" t="s">
        <v>479</v>
      </c>
      <c r="B324" s="616" t="s">
        <v>3591</v>
      </c>
      <c r="C324" s="616" t="s">
        <v>4119</v>
      </c>
      <c r="D324" s="616" t="s">
        <v>4134</v>
      </c>
      <c r="E324" s="616"/>
      <c r="F324" s="619">
        <v>378</v>
      </c>
      <c r="G324" s="619">
        <v>349865.45999999996</v>
      </c>
      <c r="H324" s="619">
        <v>1</v>
      </c>
      <c r="I324" s="619">
        <v>925.56999999999994</v>
      </c>
      <c r="J324" s="619">
        <v>431</v>
      </c>
      <c r="K324" s="619">
        <v>398920.67000000004</v>
      </c>
      <c r="L324" s="619">
        <v>1.1402116402116405</v>
      </c>
      <c r="M324" s="619">
        <v>925.57</v>
      </c>
      <c r="N324" s="619">
        <v>544</v>
      </c>
      <c r="O324" s="619">
        <v>578237.17000000004</v>
      </c>
      <c r="P324" s="640">
        <v>1.6527415138379196</v>
      </c>
      <c r="Q324" s="620">
        <v>1062.9359742647059</v>
      </c>
    </row>
    <row r="325" spans="1:17" ht="14.4" customHeight="1" x14ac:dyDescent="0.3">
      <c r="A325" s="615" t="s">
        <v>479</v>
      </c>
      <c r="B325" s="616" t="s">
        <v>3591</v>
      </c>
      <c r="C325" s="616" t="s">
        <v>4119</v>
      </c>
      <c r="D325" s="616" t="s">
        <v>4134</v>
      </c>
      <c r="E325" s="616" t="s">
        <v>4135</v>
      </c>
      <c r="F325" s="619">
        <v>109</v>
      </c>
      <c r="G325" s="619">
        <v>100887.13</v>
      </c>
      <c r="H325" s="619">
        <v>1</v>
      </c>
      <c r="I325" s="619">
        <v>925.57</v>
      </c>
      <c r="J325" s="619">
        <v>151</v>
      </c>
      <c r="K325" s="619">
        <v>139761.07</v>
      </c>
      <c r="L325" s="619">
        <v>1.3853211009174311</v>
      </c>
      <c r="M325" s="619">
        <v>925.57</v>
      </c>
      <c r="N325" s="619">
        <v>99</v>
      </c>
      <c r="O325" s="619">
        <v>105239.97</v>
      </c>
      <c r="P325" s="640">
        <v>1.0431456420655438</v>
      </c>
      <c r="Q325" s="620">
        <v>1063.03</v>
      </c>
    </row>
    <row r="326" spans="1:17" ht="14.4" customHeight="1" x14ac:dyDescent="0.3">
      <c r="A326" s="615" t="s">
        <v>479</v>
      </c>
      <c r="B326" s="616" t="s">
        <v>3591</v>
      </c>
      <c r="C326" s="616" t="s">
        <v>4119</v>
      </c>
      <c r="D326" s="616" t="s">
        <v>4136</v>
      </c>
      <c r="E326" s="616" t="s">
        <v>4137</v>
      </c>
      <c r="F326" s="619">
        <v>2</v>
      </c>
      <c r="G326" s="619">
        <v>28927.34</v>
      </c>
      <c r="H326" s="619">
        <v>1</v>
      </c>
      <c r="I326" s="619">
        <v>14463.67</v>
      </c>
      <c r="J326" s="619">
        <v>1</v>
      </c>
      <c r="K326" s="619">
        <v>14463.67</v>
      </c>
      <c r="L326" s="619">
        <v>0.5</v>
      </c>
      <c r="M326" s="619">
        <v>14463.67</v>
      </c>
      <c r="N326" s="619"/>
      <c r="O326" s="619"/>
      <c r="P326" s="640"/>
      <c r="Q326" s="620"/>
    </row>
    <row r="327" spans="1:17" ht="14.4" customHeight="1" x14ac:dyDescent="0.3">
      <c r="A327" s="615" t="s">
        <v>479</v>
      </c>
      <c r="B327" s="616" t="s">
        <v>3591</v>
      </c>
      <c r="C327" s="616" t="s">
        <v>4119</v>
      </c>
      <c r="D327" s="616" t="s">
        <v>4136</v>
      </c>
      <c r="E327" s="616"/>
      <c r="F327" s="619"/>
      <c r="G327" s="619"/>
      <c r="H327" s="619"/>
      <c r="I327" s="619"/>
      <c r="J327" s="619"/>
      <c r="K327" s="619"/>
      <c r="L327" s="619"/>
      <c r="M327" s="619"/>
      <c r="N327" s="619">
        <v>2</v>
      </c>
      <c r="O327" s="619">
        <v>29579.38</v>
      </c>
      <c r="P327" s="640"/>
      <c r="Q327" s="620">
        <v>14789.69</v>
      </c>
    </row>
    <row r="328" spans="1:17" ht="14.4" customHeight="1" x14ac:dyDescent="0.3">
      <c r="A328" s="615" t="s">
        <v>479</v>
      </c>
      <c r="B328" s="616" t="s">
        <v>3591</v>
      </c>
      <c r="C328" s="616" t="s">
        <v>4119</v>
      </c>
      <c r="D328" s="616" t="s">
        <v>4138</v>
      </c>
      <c r="E328" s="616"/>
      <c r="F328" s="619">
        <v>9</v>
      </c>
      <c r="G328" s="619">
        <v>2148.12</v>
      </c>
      <c r="H328" s="619">
        <v>1</v>
      </c>
      <c r="I328" s="619">
        <v>238.67999999999998</v>
      </c>
      <c r="J328" s="619">
        <v>26</v>
      </c>
      <c r="K328" s="619">
        <v>6205.68</v>
      </c>
      <c r="L328" s="619">
        <v>2.8888888888888893</v>
      </c>
      <c r="M328" s="619">
        <v>238.68</v>
      </c>
      <c r="N328" s="619">
        <v>163</v>
      </c>
      <c r="O328" s="619">
        <v>39412.39</v>
      </c>
      <c r="P328" s="640">
        <v>18.347387483008397</v>
      </c>
      <c r="Q328" s="620">
        <v>241.7938036809816</v>
      </c>
    </row>
    <row r="329" spans="1:17" ht="14.4" customHeight="1" x14ac:dyDescent="0.3">
      <c r="A329" s="615" t="s">
        <v>479</v>
      </c>
      <c r="B329" s="616" t="s">
        <v>3591</v>
      </c>
      <c r="C329" s="616" t="s">
        <v>4119</v>
      </c>
      <c r="D329" s="616" t="s">
        <v>4138</v>
      </c>
      <c r="E329" s="616" t="s">
        <v>4139</v>
      </c>
      <c r="F329" s="619">
        <v>15</v>
      </c>
      <c r="G329" s="619">
        <v>3580.2</v>
      </c>
      <c r="H329" s="619">
        <v>1</v>
      </c>
      <c r="I329" s="619">
        <v>238.67999999999998</v>
      </c>
      <c r="J329" s="619">
        <v>48</v>
      </c>
      <c r="K329" s="619">
        <v>11456.64</v>
      </c>
      <c r="L329" s="619">
        <v>3.2</v>
      </c>
      <c r="M329" s="619">
        <v>238.67999999999998</v>
      </c>
      <c r="N329" s="619">
        <v>2</v>
      </c>
      <c r="O329" s="619">
        <v>483.62</v>
      </c>
      <c r="P329" s="640">
        <v>0.13508183900340764</v>
      </c>
      <c r="Q329" s="620">
        <v>241.81</v>
      </c>
    </row>
    <row r="330" spans="1:17" ht="14.4" customHeight="1" x14ac:dyDescent="0.3">
      <c r="A330" s="615" t="s">
        <v>479</v>
      </c>
      <c r="B330" s="616" t="s">
        <v>3591</v>
      </c>
      <c r="C330" s="616" t="s">
        <v>4140</v>
      </c>
      <c r="D330" s="616" t="s">
        <v>4141</v>
      </c>
      <c r="E330" s="616" t="s">
        <v>4142</v>
      </c>
      <c r="F330" s="619">
        <v>8</v>
      </c>
      <c r="G330" s="619">
        <v>2639.84</v>
      </c>
      <c r="H330" s="619">
        <v>1</v>
      </c>
      <c r="I330" s="619">
        <v>329.98</v>
      </c>
      <c r="J330" s="619">
        <v>27</v>
      </c>
      <c r="K330" s="619">
        <v>8909.4599999999991</v>
      </c>
      <c r="L330" s="619">
        <v>3.3749999999999996</v>
      </c>
      <c r="M330" s="619">
        <v>329.97999999999996</v>
      </c>
      <c r="N330" s="619">
        <v>46</v>
      </c>
      <c r="O330" s="619">
        <v>15179.08</v>
      </c>
      <c r="P330" s="640">
        <v>5.75</v>
      </c>
      <c r="Q330" s="620">
        <v>329.98</v>
      </c>
    </row>
    <row r="331" spans="1:17" ht="14.4" customHeight="1" x14ac:dyDescent="0.3">
      <c r="A331" s="615" t="s">
        <v>479</v>
      </c>
      <c r="B331" s="616" t="s">
        <v>3591</v>
      </c>
      <c r="C331" s="616" t="s">
        <v>4140</v>
      </c>
      <c r="D331" s="616" t="s">
        <v>4143</v>
      </c>
      <c r="E331" s="616" t="s">
        <v>4142</v>
      </c>
      <c r="F331" s="619">
        <v>6</v>
      </c>
      <c r="G331" s="619">
        <v>2600.46</v>
      </c>
      <c r="H331" s="619">
        <v>1</v>
      </c>
      <c r="I331" s="619">
        <v>433.41</v>
      </c>
      <c r="J331" s="619">
        <v>5</v>
      </c>
      <c r="K331" s="619">
        <v>2167.0500000000002</v>
      </c>
      <c r="L331" s="619">
        <v>0.83333333333333337</v>
      </c>
      <c r="M331" s="619">
        <v>433.41</v>
      </c>
      <c r="N331" s="619">
        <v>13</v>
      </c>
      <c r="O331" s="619">
        <v>5634.33</v>
      </c>
      <c r="P331" s="640">
        <v>2.1666666666666665</v>
      </c>
      <c r="Q331" s="620">
        <v>433.40999999999997</v>
      </c>
    </row>
    <row r="332" spans="1:17" ht="14.4" customHeight="1" x14ac:dyDescent="0.3">
      <c r="A332" s="615" t="s">
        <v>479</v>
      </c>
      <c r="B332" s="616" t="s">
        <v>3591</v>
      </c>
      <c r="C332" s="616" t="s">
        <v>4140</v>
      </c>
      <c r="D332" s="616" t="s">
        <v>4144</v>
      </c>
      <c r="E332" s="616" t="s">
        <v>4145</v>
      </c>
      <c r="F332" s="619">
        <v>1</v>
      </c>
      <c r="G332" s="619">
        <v>1435.36</v>
      </c>
      <c r="H332" s="619">
        <v>1</v>
      </c>
      <c r="I332" s="619">
        <v>1435.36</v>
      </c>
      <c r="J332" s="619">
        <v>2</v>
      </c>
      <c r="K332" s="619">
        <v>2870.72</v>
      </c>
      <c r="L332" s="619">
        <v>2</v>
      </c>
      <c r="M332" s="619">
        <v>1435.36</v>
      </c>
      <c r="N332" s="619">
        <v>4</v>
      </c>
      <c r="O332" s="619">
        <v>5741.44</v>
      </c>
      <c r="P332" s="640">
        <v>4</v>
      </c>
      <c r="Q332" s="620">
        <v>1435.36</v>
      </c>
    </row>
    <row r="333" spans="1:17" ht="14.4" customHeight="1" x14ac:dyDescent="0.3">
      <c r="A333" s="615" t="s">
        <v>479</v>
      </c>
      <c r="B333" s="616" t="s">
        <v>3591</v>
      </c>
      <c r="C333" s="616" t="s">
        <v>4140</v>
      </c>
      <c r="D333" s="616" t="s">
        <v>4146</v>
      </c>
      <c r="E333" s="616" t="s">
        <v>4145</v>
      </c>
      <c r="F333" s="619"/>
      <c r="G333" s="619"/>
      <c r="H333" s="619"/>
      <c r="I333" s="619"/>
      <c r="J333" s="619"/>
      <c r="K333" s="619"/>
      <c r="L333" s="619"/>
      <c r="M333" s="619"/>
      <c r="N333" s="619">
        <v>1</v>
      </c>
      <c r="O333" s="619">
        <v>1697.77</v>
      </c>
      <c r="P333" s="640"/>
      <c r="Q333" s="620">
        <v>1697.77</v>
      </c>
    </row>
    <row r="334" spans="1:17" ht="14.4" customHeight="1" x14ac:dyDescent="0.3">
      <c r="A334" s="615" t="s">
        <v>479</v>
      </c>
      <c r="B334" s="616" t="s">
        <v>3591</v>
      </c>
      <c r="C334" s="616" t="s">
        <v>4140</v>
      </c>
      <c r="D334" s="616" t="s">
        <v>4147</v>
      </c>
      <c r="E334" s="616" t="s">
        <v>4148</v>
      </c>
      <c r="F334" s="619"/>
      <c r="G334" s="619"/>
      <c r="H334" s="619"/>
      <c r="I334" s="619"/>
      <c r="J334" s="619"/>
      <c r="K334" s="619"/>
      <c r="L334" s="619"/>
      <c r="M334" s="619"/>
      <c r="N334" s="619">
        <v>0.1</v>
      </c>
      <c r="O334" s="619">
        <v>18.34</v>
      </c>
      <c r="P334" s="640"/>
      <c r="Q334" s="620">
        <v>183.39999999999998</v>
      </c>
    </row>
    <row r="335" spans="1:17" ht="14.4" customHeight="1" x14ac:dyDescent="0.3">
      <c r="A335" s="615" t="s">
        <v>479</v>
      </c>
      <c r="B335" s="616" t="s">
        <v>3591</v>
      </c>
      <c r="C335" s="616" t="s">
        <v>4140</v>
      </c>
      <c r="D335" s="616" t="s">
        <v>4149</v>
      </c>
      <c r="E335" s="616" t="s">
        <v>4148</v>
      </c>
      <c r="F335" s="619"/>
      <c r="G335" s="619"/>
      <c r="H335" s="619"/>
      <c r="I335" s="619"/>
      <c r="J335" s="619"/>
      <c r="K335" s="619"/>
      <c r="L335" s="619"/>
      <c r="M335" s="619"/>
      <c r="N335" s="619">
        <v>1</v>
      </c>
      <c r="O335" s="619">
        <v>1265.81</v>
      </c>
      <c r="P335" s="640"/>
      <c r="Q335" s="620">
        <v>1265.81</v>
      </c>
    </row>
    <row r="336" spans="1:17" ht="14.4" customHeight="1" x14ac:dyDescent="0.3">
      <c r="A336" s="615" t="s">
        <v>479</v>
      </c>
      <c r="B336" s="616" t="s">
        <v>3591</v>
      </c>
      <c r="C336" s="616" t="s">
        <v>4140</v>
      </c>
      <c r="D336" s="616" t="s">
        <v>4150</v>
      </c>
      <c r="E336" s="616" t="s">
        <v>4151</v>
      </c>
      <c r="F336" s="619">
        <v>1</v>
      </c>
      <c r="G336" s="619">
        <v>87.05</v>
      </c>
      <c r="H336" s="619">
        <v>1</v>
      </c>
      <c r="I336" s="619">
        <v>87.05</v>
      </c>
      <c r="J336" s="619"/>
      <c r="K336" s="619"/>
      <c r="L336" s="619"/>
      <c r="M336" s="619"/>
      <c r="N336" s="619">
        <v>12</v>
      </c>
      <c r="O336" s="619">
        <v>1044.5999999999999</v>
      </c>
      <c r="P336" s="640">
        <v>12</v>
      </c>
      <c r="Q336" s="620">
        <v>87.05</v>
      </c>
    </row>
    <row r="337" spans="1:17" ht="14.4" customHeight="1" x14ac:dyDescent="0.3">
      <c r="A337" s="615" t="s">
        <v>479</v>
      </c>
      <c r="B337" s="616" t="s">
        <v>3591</v>
      </c>
      <c r="C337" s="616" t="s">
        <v>4140</v>
      </c>
      <c r="D337" s="616" t="s">
        <v>4152</v>
      </c>
      <c r="E337" s="616" t="s">
        <v>4151</v>
      </c>
      <c r="F337" s="619"/>
      <c r="G337" s="619"/>
      <c r="H337" s="619"/>
      <c r="I337" s="619"/>
      <c r="J337" s="619"/>
      <c r="K337" s="619"/>
      <c r="L337" s="619"/>
      <c r="M337" s="619"/>
      <c r="N337" s="619">
        <v>9</v>
      </c>
      <c r="O337" s="619">
        <v>1161.27</v>
      </c>
      <c r="P337" s="640"/>
      <c r="Q337" s="620">
        <v>129.03</v>
      </c>
    </row>
    <row r="338" spans="1:17" ht="14.4" customHeight="1" x14ac:dyDescent="0.3">
      <c r="A338" s="615" t="s">
        <v>479</v>
      </c>
      <c r="B338" s="616" t="s">
        <v>3591</v>
      </c>
      <c r="C338" s="616" t="s">
        <v>4140</v>
      </c>
      <c r="D338" s="616" t="s">
        <v>4153</v>
      </c>
      <c r="E338" s="616"/>
      <c r="F338" s="619">
        <v>0.89999999999999991</v>
      </c>
      <c r="G338" s="619">
        <v>866.48</v>
      </c>
      <c r="H338" s="619">
        <v>1</v>
      </c>
      <c r="I338" s="619">
        <v>962.7555555555557</v>
      </c>
      <c r="J338" s="619">
        <v>0.8</v>
      </c>
      <c r="K338" s="619">
        <v>770.22</v>
      </c>
      <c r="L338" s="619">
        <v>0.88890684147354815</v>
      </c>
      <c r="M338" s="619">
        <v>962.77499999999998</v>
      </c>
      <c r="N338" s="619"/>
      <c r="O338" s="619"/>
      <c r="P338" s="640"/>
      <c r="Q338" s="620"/>
    </row>
    <row r="339" spans="1:17" ht="14.4" customHeight="1" x14ac:dyDescent="0.3">
      <c r="A339" s="615" t="s">
        <v>479</v>
      </c>
      <c r="B339" s="616" t="s">
        <v>3591</v>
      </c>
      <c r="C339" s="616" t="s">
        <v>4140</v>
      </c>
      <c r="D339" s="616" t="s">
        <v>4154</v>
      </c>
      <c r="E339" s="616" t="s">
        <v>4155</v>
      </c>
      <c r="F339" s="619">
        <v>0.7</v>
      </c>
      <c r="G339" s="619">
        <v>80.22</v>
      </c>
      <c r="H339" s="619">
        <v>1</v>
      </c>
      <c r="I339" s="619">
        <v>114.60000000000001</v>
      </c>
      <c r="J339" s="619"/>
      <c r="K339" s="619"/>
      <c r="L339" s="619"/>
      <c r="M339" s="619"/>
      <c r="N339" s="619"/>
      <c r="O339" s="619"/>
      <c r="P339" s="640"/>
      <c r="Q339" s="620"/>
    </row>
    <row r="340" spans="1:17" ht="14.4" customHeight="1" x14ac:dyDescent="0.3">
      <c r="A340" s="615" t="s">
        <v>479</v>
      </c>
      <c r="B340" s="616" t="s">
        <v>3591</v>
      </c>
      <c r="C340" s="616" t="s">
        <v>4140</v>
      </c>
      <c r="D340" s="616" t="s">
        <v>4156</v>
      </c>
      <c r="E340" s="616" t="s">
        <v>4155</v>
      </c>
      <c r="F340" s="619">
        <v>3.1</v>
      </c>
      <c r="G340" s="619">
        <v>1951.69</v>
      </c>
      <c r="H340" s="619">
        <v>1</v>
      </c>
      <c r="I340" s="619">
        <v>629.57741935483875</v>
      </c>
      <c r="J340" s="619">
        <v>3.7</v>
      </c>
      <c r="K340" s="619">
        <v>2329.46</v>
      </c>
      <c r="L340" s="619">
        <v>1.1935604527358341</v>
      </c>
      <c r="M340" s="619">
        <v>629.58378378378382</v>
      </c>
      <c r="N340" s="619">
        <v>9.6999999999999993</v>
      </c>
      <c r="O340" s="619">
        <v>6106.9800000000005</v>
      </c>
      <c r="P340" s="640">
        <v>3.1290727523325939</v>
      </c>
      <c r="Q340" s="620">
        <v>629.58556701030932</v>
      </c>
    </row>
    <row r="341" spans="1:17" ht="14.4" customHeight="1" x14ac:dyDescent="0.3">
      <c r="A341" s="615" t="s">
        <v>479</v>
      </c>
      <c r="B341" s="616" t="s">
        <v>3591</v>
      </c>
      <c r="C341" s="616" t="s">
        <v>4140</v>
      </c>
      <c r="D341" s="616" t="s">
        <v>4157</v>
      </c>
      <c r="E341" s="616" t="s">
        <v>4158</v>
      </c>
      <c r="F341" s="619"/>
      <c r="G341" s="619"/>
      <c r="H341" s="619"/>
      <c r="I341" s="619"/>
      <c r="J341" s="619"/>
      <c r="K341" s="619"/>
      <c r="L341" s="619"/>
      <c r="M341" s="619"/>
      <c r="N341" s="619">
        <v>1</v>
      </c>
      <c r="O341" s="619">
        <v>2111.8000000000002</v>
      </c>
      <c r="P341" s="640"/>
      <c r="Q341" s="620">
        <v>2111.8000000000002</v>
      </c>
    </row>
    <row r="342" spans="1:17" ht="14.4" customHeight="1" x14ac:dyDescent="0.3">
      <c r="A342" s="615" t="s">
        <v>479</v>
      </c>
      <c r="B342" s="616" t="s">
        <v>3591</v>
      </c>
      <c r="C342" s="616" t="s">
        <v>4140</v>
      </c>
      <c r="D342" s="616" t="s">
        <v>4159</v>
      </c>
      <c r="E342" s="616" t="s">
        <v>4160</v>
      </c>
      <c r="F342" s="619"/>
      <c r="G342" s="619"/>
      <c r="H342" s="619"/>
      <c r="I342" s="619"/>
      <c r="J342" s="619"/>
      <c r="K342" s="619"/>
      <c r="L342" s="619"/>
      <c r="M342" s="619"/>
      <c r="N342" s="619">
        <v>7</v>
      </c>
      <c r="O342" s="619">
        <v>7240.03</v>
      </c>
      <c r="P342" s="640"/>
      <c r="Q342" s="620">
        <v>1034.29</v>
      </c>
    </row>
    <row r="343" spans="1:17" ht="14.4" customHeight="1" x14ac:dyDescent="0.3">
      <c r="A343" s="615" t="s">
        <v>479</v>
      </c>
      <c r="B343" s="616" t="s">
        <v>3591</v>
      </c>
      <c r="C343" s="616" t="s">
        <v>4140</v>
      </c>
      <c r="D343" s="616" t="s">
        <v>4161</v>
      </c>
      <c r="E343" s="616" t="s">
        <v>4160</v>
      </c>
      <c r="F343" s="619"/>
      <c r="G343" s="619"/>
      <c r="H343" s="619"/>
      <c r="I343" s="619"/>
      <c r="J343" s="619"/>
      <c r="K343" s="619"/>
      <c r="L343" s="619"/>
      <c r="M343" s="619"/>
      <c r="N343" s="619">
        <v>4</v>
      </c>
      <c r="O343" s="619">
        <v>4398.32</v>
      </c>
      <c r="P343" s="640"/>
      <c r="Q343" s="620">
        <v>1099.58</v>
      </c>
    </row>
    <row r="344" spans="1:17" ht="14.4" customHeight="1" x14ac:dyDescent="0.3">
      <c r="A344" s="615" t="s">
        <v>479</v>
      </c>
      <c r="B344" s="616" t="s">
        <v>3591</v>
      </c>
      <c r="C344" s="616" t="s">
        <v>4140</v>
      </c>
      <c r="D344" s="616" t="s">
        <v>4162</v>
      </c>
      <c r="E344" s="616" t="s">
        <v>4160</v>
      </c>
      <c r="F344" s="619"/>
      <c r="G344" s="619"/>
      <c r="H344" s="619"/>
      <c r="I344" s="619"/>
      <c r="J344" s="619"/>
      <c r="K344" s="619"/>
      <c r="L344" s="619"/>
      <c r="M344" s="619"/>
      <c r="N344" s="619">
        <v>9</v>
      </c>
      <c r="O344" s="619">
        <v>10623.78</v>
      </c>
      <c r="P344" s="640"/>
      <c r="Q344" s="620">
        <v>1180.42</v>
      </c>
    </row>
    <row r="345" spans="1:17" ht="14.4" customHeight="1" x14ac:dyDescent="0.3">
      <c r="A345" s="615" t="s">
        <v>479</v>
      </c>
      <c r="B345" s="616" t="s">
        <v>3591</v>
      </c>
      <c r="C345" s="616" t="s">
        <v>4140</v>
      </c>
      <c r="D345" s="616" t="s">
        <v>4163</v>
      </c>
      <c r="E345" s="616" t="s">
        <v>4160</v>
      </c>
      <c r="F345" s="619"/>
      <c r="G345" s="619"/>
      <c r="H345" s="619"/>
      <c r="I345" s="619"/>
      <c r="J345" s="619"/>
      <c r="K345" s="619"/>
      <c r="L345" s="619"/>
      <c r="M345" s="619"/>
      <c r="N345" s="619">
        <v>3</v>
      </c>
      <c r="O345" s="619">
        <v>3743.34</v>
      </c>
      <c r="P345" s="640"/>
      <c r="Q345" s="620">
        <v>1247.78</v>
      </c>
    </row>
    <row r="346" spans="1:17" ht="14.4" customHeight="1" x14ac:dyDescent="0.3">
      <c r="A346" s="615" t="s">
        <v>479</v>
      </c>
      <c r="B346" s="616" t="s">
        <v>3591</v>
      </c>
      <c r="C346" s="616" t="s">
        <v>4140</v>
      </c>
      <c r="D346" s="616" t="s">
        <v>4164</v>
      </c>
      <c r="E346" s="616" t="s">
        <v>4160</v>
      </c>
      <c r="F346" s="619"/>
      <c r="G346" s="619"/>
      <c r="H346" s="619"/>
      <c r="I346" s="619"/>
      <c r="J346" s="619"/>
      <c r="K346" s="619"/>
      <c r="L346" s="619"/>
      <c r="M346" s="619"/>
      <c r="N346" s="619">
        <v>3</v>
      </c>
      <c r="O346" s="619">
        <v>4128.87</v>
      </c>
      <c r="P346" s="640"/>
      <c r="Q346" s="620">
        <v>1376.29</v>
      </c>
    </row>
    <row r="347" spans="1:17" ht="14.4" customHeight="1" x14ac:dyDescent="0.3">
      <c r="A347" s="615" t="s">
        <v>479</v>
      </c>
      <c r="B347" s="616" t="s">
        <v>3591</v>
      </c>
      <c r="C347" s="616" t="s">
        <v>4140</v>
      </c>
      <c r="D347" s="616" t="s">
        <v>4165</v>
      </c>
      <c r="E347" s="616" t="s">
        <v>4166</v>
      </c>
      <c r="F347" s="619">
        <v>1</v>
      </c>
      <c r="G347" s="619">
        <v>687</v>
      </c>
      <c r="H347" s="619">
        <v>1</v>
      </c>
      <c r="I347" s="619">
        <v>687</v>
      </c>
      <c r="J347" s="619">
        <v>4</v>
      </c>
      <c r="K347" s="619">
        <v>2748</v>
      </c>
      <c r="L347" s="619">
        <v>4</v>
      </c>
      <c r="M347" s="619">
        <v>687</v>
      </c>
      <c r="N347" s="619">
        <v>1</v>
      </c>
      <c r="O347" s="619">
        <v>687</v>
      </c>
      <c r="P347" s="640">
        <v>1</v>
      </c>
      <c r="Q347" s="620">
        <v>687</v>
      </c>
    </row>
    <row r="348" spans="1:17" ht="14.4" customHeight="1" x14ac:dyDescent="0.3">
      <c r="A348" s="615" t="s">
        <v>479</v>
      </c>
      <c r="B348" s="616" t="s">
        <v>3591</v>
      </c>
      <c r="C348" s="616" t="s">
        <v>4140</v>
      </c>
      <c r="D348" s="616" t="s">
        <v>4167</v>
      </c>
      <c r="E348" s="616" t="s">
        <v>4168</v>
      </c>
      <c r="F348" s="619">
        <v>6</v>
      </c>
      <c r="G348" s="619">
        <v>15387</v>
      </c>
      <c r="H348" s="619">
        <v>1</v>
      </c>
      <c r="I348" s="619">
        <v>2564.5</v>
      </c>
      <c r="J348" s="619"/>
      <c r="K348" s="619"/>
      <c r="L348" s="619"/>
      <c r="M348" s="619"/>
      <c r="N348" s="619"/>
      <c r="O348" s="619"/>
      <c r="P348" s="640"/>
      <c r="Q348" s="620"/>
    </row>
    <row r="349" spans="1:17" ht="14.4" customHeight="1" x14ac:dyDescent="0.3">
      <c r="A349" s="615" t="s">
        <v>479</v>
      </c>
      <c r="B349" s="616" t="s">
        <v>3591</v>
      </c>
      <c r="C349" s="616" t="s">
        <v>4140</v>
      </c>
      <c r="D349" s="616" t="s">
        <v>4169</v>
      </c>
      <c r="E349" s="616" t="s">
        <v>4170</v>
      </c>
      <c r="F349" s="619">
        <v>2</v>
      </c>
      <c r="G349" s="619">
        <v>3887.8</v>
      </c>
      <c r="H349" s="619">
        <v>1</v>
      </c>
      <c r="I349" s="619">
        <v>1943.9</v>
      </c>
      <c r="J349" s="619"/>
      <c r="K349" s="619"/>
      <c r="L349" s="619"/>
      <c r="M349" s="619"/>
      <c r="N349" s="619"/>
      <c r="O349" s="619"/>
      <c r="P349" s="640"/>
      <c r="Q349" s="620"/>
    </row>
    <row r="350" spans="1:17" ht="14.4" customHeight="1" x14ac:dyDescent="0.3">
      <c r="A350" s="615" t="s">
        <v>479</v>
      </c>
      <c r="B350" s="616" t="s">
        <v>3591</v>
      </c>
      <c r="C350" s="616" t="s">
        <v>4140</v>
      </c>
      <c r="D350" s="616" t="s">
        <v>4171</v>
      </c>
      <c r="E350" s="616" t="s">
        <v>4172</v>
      </c>
      <c r="F350" s="619">
        <v>2</v>
      </c>
      <c r="G350" s="619">
        <v>3887.8</v>
      </c>
      <c r="H350" s="619">
        <v>1</v>
      </c>
      <c r="I350" s="619">
        <v>1943.9</v>
      </c>
      <c r="J350" s="619"/>
      <c r="K350" s="619"/>
      <c r="L350" s="619"/>
      <c r="M350" s="619"/>
      <c r="N350" s="619"/>
      <c r="O350" s="619"/>
      <c r="P350" s="640"/>
      <c r="Q350" s="620"/>
    </row>
    <row r="351" spans="1:17" ht="14.4" customHeight="1" x14ac:dyDescent="0.3">
      <c r="A351" s="615" t="s">
        <v>479</v>
      </c>
      <c r="B351" s="616" t="s">
        <v>3591</v>
      </c>
      <c r="C351" s="616" t="s">
        <v>4140</v>
      </c>
      <c r="D351" s="616" t="s">
        <v>4173</v>
      </c>
      <c r="E351" s="616" t="s">
        <v>4174</v>
      </c>
      <c r="F351" s="619">
        <v>4</v>
      </c>
      <c r="G351" s="619">
        <v>1998.12</v>
      </c>
      <c r="H351" s="619">
        <v>1</v>
      </c>
      <c r="I351" s="619">
        <v>499.53</v>
      </c>
      <c r="J351" s="619">
        <v>3</v>
      </c>
      <c r="K351" s="619">
        <v>1498.59</v>
      </c>
      <c r="L351" s="619">
        <v>0.75</v>
      </c>
      <c r="M351" s="619">
        <v>499.53</v>
      </c>
      <c r="N351" s="619">
        <v>7</v>
      </c>
      <c r="O351" s="619">
        <v>3496.71</v>
      </c>
      <c r="P351" s="640">
        <v>1.7500000000000002</v>
      </c>
      <c r="Q351" s="620">
        <v>499.53000000000003</v>
      </c>
    </row>
    <row r="352" spans="1:17" ht="14.4" customHeight="1" x14ac:dyDescent="0.3">
      <c r="A352" s="615" t="s">
        <v>479</v>
      </c>
      <c r="B352" s="616" t="s">
        <v>3591</v>
      </c>
      <c r="C352" s="616" t="s">
        <v>4140</v>
      </c>
      <c r="D352" s="616" t="s">
        <v>4175</v>
      </c>
      <c r="E352" s="616" t="s">
        <v>4174</v>
      </c>
      <c r="F352" s="619"/>
      <c r="G352" s="619"/>
      <c r="H352" s="619"/>
      <c r="I352" s="619"/>
      <c r="J352" s="619"/>
      <c r="K352" s="619"/>
      <c r="L352" s="619"/>
      <c r="M352" s="619"/>
      <c r="N352" s="619">
        <v>2</v>
      </c>
      <c r="O352" s="619">
        <v>853.96</v>
      </c>
      <c r="P352" s="640"/>
      <c r="Q352" s="620">
        <v>426.98</v>
      </c>
    </row>
    <row r="353" spans="1:17" ht="14.4" customHeight="1" x14ac:dyDescent="0.3">
      <c r="A353" s="615" t="s">
        <v>479</v>
      </c>
      <c r="B353" s="616" t="s">
        <v>3591</v>
      </c>
      <c r="C353" s="616" t="s">
        <v>4140</v>
      </c>
      <c r="D353" s="616" t="s">
        <v>4176</v>
      </c>
      <c r="E353" s="616" t="s">
        <v>4177</v>
      </c>
      <c r="F353" s="619">
        <v>1</v>
      </c>
      <c r="G353" s="619">
        <v>9657.8700000000008</v>
      </c>
      <c r="H353" s="619">
        <v>1</v>
      </c>
      <c r="I353" s="619">
        <v>9657.8700000000008</v>
      </c>
      <c r="J353" s="619">
        <v>1</v>
      </c>
      <c r="K353" s="619">
        <v>9657.8700000000008</v>
      </c>
      <c r="L353" s="619">
        <v>1</v>
      </c>
      <c r="M353" s="619">
        <v>9657.8700000000008</v>
      </c>
      <c r="N353" s="619">
        <v>2</v>
      </c>
      <c r="O353" s="619">
        <v>19315.740000000002</v>
      </c>
      <c r="P353" s="640">
        <v>2</v>
      </c>
      <c r="Q353" s="620">
        <v>9657.8700000000008</v>
      </c>
    </row>
    <row r="354" spans="1:17" ht="14.4" customHeight="1" x14ac:dyDescent="0.3">
      <c r="A354" s="615" t="s">
        <v>479</v>
      </c>
      <c r="B354" s="616" t="s">
        <v>3591</v>
      </c>
      <c r="C354" s="616" t="s">
        <v>4140</v>
      </c>
      <c r="D354" s="616" t="s">
        <v>4178</v>
      </c>
      <c r="E354" s="616" t="s">
        <v>4151</v>
      </c>
      <c r="F354" s="619">
        <v>6</v>
      </c>
      <c r="G354" s="619">
        <v>414.12</v>
      </c>
      <c r="H354" s="619">
        <v>1</v>
      </c>
      <c r="I354" s="619">
        <v>69.02</v>
      </c>
      <c r="J354" s="619"/>
      <c r="K354" s="619"/>
      <c r="L354" s="619"/>
      <c r="M354" s="619"/>
      <c r="N354" s="619">
        <v>10.1</v>
      </c>
      <c r="O354" s="619">
        <v>697.1</v>
      </c>
      <c r="P354" s="640">
        <v>1.6833285038153192</v>
      </c>
      <c r="Q354" s="620">
        <v>69.019801980198025</v>
      </c>
    </row>
    <row r="355" spans="1:17" ht="14.4" customHeight="1" x14ac:dyDescent="0.3">
      <c r="A355" s="615" t="s">
        <v>479</v>
      </c>
      <c r="B355" s="616" t="s">
        <v>3591</v>
      </c>
      <c r="C355" s="616" t="s">
        <v>4140</v>
      </c>
      <c r="D355" s="616" t="s">
        <v>4179</v>
      </c>
      <c r="E355" s="616" t="s">
        <v>4151</v>
      </c>
      <c r="F355" s="619"/>
      <c r="G355" s="619"/>
      <c r="H355" s="619"/>
      <c r="I355" s="619"/>
      <c r="J355" s="619"/>
      <c r="K355" s="619"/>
      <c r="L355" s="619"/>
      <c r="M355" s="619"/>
      <c r="N355" s="619">
        <v>1</v>
      </c>
      <c r="O355" s="619">
        <v>84.98</v>
      </c>
      <c r="P355" s="640"/>
      <c r="Q355" s="620">
        <v>84.98</v>
      </c>
    </row>
    <row r="356" spans="1:17" ht="14.4" customHeight="1" x14ac:dyDescent="0.3">
      <c r="A356" s="615" t="s">
        <v>479</v>
      </c>
      <c r="B356" s="616" t="s">
        <v>3591</v>
      </c>
      <c r="C356" s="616" t="s">
        <v>4140</v>
      </c>
      <c r="D356" s="616" t="s">
        <v>4180</v>
      </c>
      <c r="E356" s="616" t="s">
        <v>4181</v>
      </c>
      <c r="F356" s="619"/>
      <c r="G356" s="619"/>
      <c r="H356" s="619"/>
      <c r="I356" s="619"/>
      <c r="J356" s="619">
        <v>24</v>
      </c>
      <c r="K356" s="619">
        <v>5760</v>
      </c>
      <c r="L356" s="619"/>
      <c r="M356" s="619">
        <v>240</v>
      </c>
      <c r="N356" s="619"/>
      <c r="O356" s="619"/>
      <c r="P356" s="640"/>
      <c r="Q356" s="620"/>
    </row>
    <row r="357" spans="1:17" ht="14.4" customHeight="1" x14ac:dyDescent="0.3">
      <c r="A357" s="615" t="s">
        <v>479</v>
      </c>
      <c r="B357" s="616" t="s">
        <v>3591</v>
      </c>
      <c r="C357" s="616" t="s">
        <v>4140</v>
      </c>
      <c r="D357" s="616" t="s">
        <v>4182</v>
      </c>
      <c r="E357" s="616" t="s">
        <v>4181</v>
      </c>
      <c r="F357" s="619"/>
      <c r="G357" s="619"/>
      <c r="H357" s="619"/>
      <c r="I357" s="619"/>
      <c r="J357" s="619">
        <v>1.31</v>
      </c>
      <c r="K357" s="619">
        <v>1592.96</v>
      </c>
      <c r="L357" s="619"/>
      <c r="M357" s="619">
        <v>1216</v>
      </c>
      <c r="N357" s="619"/>
      <c r="O357" s="619"/>
      <c r="P357" s="640"/>
      <c r="Q357" s="620"/>
    </row>
    <row r="358" spans="1:17" ht="14.4" customHeight="1" x14ac:dyDescent="0.3">
      <c r="A358" s="615" t="s">
        <v>479</v>
      </c>
      <c r="B358" s="616" t="s">
        <v>3591</v>
      </c>
      <c r="C358" s="616" t="s">
        <v>4140</v>
      </c>
      <c r="D358" s="616" t="s">
        <v>4183</v>
      </c>
      <c r="E358" s="616" t="s">
        <v>4184</v>
      </c>
      <c r="F358" s="619"/>
      <c r="G358" s="619"/>
      <c r="H358" s="619"/>
      <c r="I358" s="619"/>
      <c r="J358" s="619"/>
      <c r="K358" s="619"/>
      <c r="L358" s="619"/>
      <c r="M358" s="619"/>
      <c r="N358" s="619">
        <v>1</v>
      </c>
      <c r="O358" s="619">
        <v>14345.35</v>
      </c>
      <c r="P358" s="640"/>
      <c r="Q358" s="620">
        <v>14345.35</v>
      </c>
    </row>
    <row r="359" spans="1:17" ht="14.4" customHeight="1" x14ac:dyDescent="0.3">
      <c r="A359" s="615" t="s">
        <v>479</v>
      </c>
      <c r="B359" s="616" t="s">
        <v>3591</v>
      </c>
      <c r="C359" s="616" t="s">
        <v>4140</v>
      </c>
      <c r="D359" s="616" t="s">
        <v>4185</v>
      </c>
      <c r="E359" s="616" t="s">
        <v>4186</v>
      </c>
      <c r="F359" s="619"/>
      <c r="G359" s="619"/>
      <c r="H359" s="619"/>
      <c r="I359" s="619"/>
      <c r="J359" s="619"/>
      <c r="K359" s="619"/>
      <c r="L359" s="619"/>
      <c r="M359" s="619"/>
      <c r="N359" s="619">
        <v>5</v>
      </c>
      <c r="O359" s="619">
        <v>21742.400000000001</v>
      </c>
      <c r="P359" s="640"/>
      <c r="Q359" s="620">
        <v>4348.4800000000005</v>
      </c>
    </row>
    <row r="360" spans="1:17" ht="14.4" customHeight="1" x14ac:dyDescent="0.3">
      <c r="A360" s="615" t="s">
        <v>479</v>
      </c>
      <c r="B360" s="616" t="s">
        <v>3591</v>
      </c>
      <c r="C360" s="616" t="s">
        <v>4140</v>
      </c>
      <c r="D360" s="616" t="s">
        <v>4187</v>
      </c>
      <c r="E360" s="616" t="s">
        <v>4188</v>
      </c>
      <c r="F360" s="619">
        <v>1</v>
      </c>
      <c r="G360" s="619">
        <v>5440.91</v>
      </c>
      <c r="H360" s="619">
        <v>1</v>
      </c>
      <c r="I360" s="619">
        <v>5440.91</v>
      </c>
      <c r="J360" s="619"/>
      <c r="K360" s="619"/>
      <c r="L360" s="619"/>
      <c r="M360" s="619"/>
      <c r="N360" s="619">
        <v>5</v>
      </c>
      <c r="O360" s="619">
        <v>27204.55</v>
      </c>
      <c r="P360" s="640">
        <v>5</v>
      </c>
      <c r="Q360" s="620">
        <v>5440.91</v>
      </c>
    </row>
    <row r="361" spans="1:17" ht="14.4" customHeight="1" x14ac:dyDescent="0.3">
      <c r="A361" s="615" t="s">
        <v>479</v>
      </c>
      <c r="B361" s="616" t="s">
        <v>3591</v>
      </c>
      <c r="C361" s="616" t="s">
        <v>4140</v>
      </c>
      <c r="D361" s="616" t="s">
        <v>4189</v>
      </c>
      <c r="E361" s="616" t="s">
        <v>4190</v>
      </c>
      <c r="F361" s="619"/>
      <c r="G361" s="619"/>
      <c r="H361" s="619"/>
      <c r="I361" s="619"/>
      <c r="J361" s="619"/>
      <c r="K361" s="619"/>
      <c r="L361" s="619"/>
      <c r="M361" s="619"/>
      <c r="N361" s="619">
        <v>1</v>
      </c>
      <c r="O361" s="619">
        <v>6847</v>
      </c>
      <c r="P361" s="640"/>
      <c r="Q361" s="620">
        <v>6847</v>
      </c>
    </row>
    <row r="362" spans="1:17" ht="14.4" customHeight="1" x14ac:dyDescent="0.3">
      <c r="A362" s="615" t="s">
        <v>479</v>
      </c>
      <c r="B362" s="616" t="s">
        <v>3591</v>
      </c>
      <c r="C362" s="616" t="s">
        <v>4140</v>
      </c>
      <c r="D362" s="616" t="s">
        <v>4191</v>
      </c>
      <c r="E362" s="616" t="s">
        <v>4192</v>
      </c>
      <c r="F362" s="619">
        <v>3</v>
      </c>
      <c r="G362" s="619">
        <v>20498.25</v>
      </c>
      <c r="H362" s="619">
        <v>1</v>
      </c>
      <c r="I362" s="619">
        <v>6832.75</v>
      </c>
      <c r="J362" s="619">
        <v>1</v>
      </c>
      <c r="K362" s="619">
        <v>6832.75</v>
      </c>
      <c r="L362" s="619">
        <v>0.33333333333333331</v>
      </c>
      <c r="M362" s="619">
        <v>6832.75</v>
      </c>
      <c r="N362" s="619">
        <v>2</v>
      </c>
      <c r="O362" s="619">
        <v>13665.5</v>
      </c>
      <c r="P362" s="640">
        <v>0.66666666666666663</v>
      </c>
      <c r="Q362" s="620">
        <v>6832.75</v>
      </c>
    </row>
    <row r="363" spans="1:17" ht="14.4" customHeight="1" x14ac:dyDescent="0.3">
      <c r="A363" s="615" t="s">
        <v>479</v>
      </c>
      <c r="B363" s="616" t="s">
        <v>3591</v>
      </c>
      <c r="C363" s="616" t="s">
        <v>4140</v>
      </c>
      <c r="D363" s="616" t="s">
        <v>4191</v>
      </c>
      <c r="E363" s="616" t="s">
        <v>4193</v>
      </c>
      <c r="F363" s="619"/>
      <c r="G363" s="619"/>
      <c r="H363" s="619"/>
      <c r="I363" s="619"/>
      <c r="J363" s="619">
        <v>1</v>
      </c>
      <c r="K363" s="619">
        <v>6832.75</v>
      </c>
      <c r="L363" s="619"/>
      <c r="M363" s="619">
        <v>6832.75</v>
      </c>
      <c r="N363" s="619"/>
      <c r="O363" s="619"/>
      <c r="P363" s="640"/>
      <c r="Q363" s="620"/>
    </row>
    <row r="364" spans="1:17" ht="14.4" customHeight="1" x14ac:dyDescent="0.3">
      <c r="A364" s="615" t="s">
        <v>479</v>
      </c>
      <c r="B364" s="616" t="s">
        <v>3591</v>
      </c>
      <c r="C364" s="616" t="s">
        <v>4140</v>
      </c>
      <c r="D364" s="616" t="s">
        <v>4194</v>
      </c>
      <c r="E364" s="616" t="s">
        <v>4195</v>
      </c>
      <c r="F364" s="619">
        <v>4</v>
      </c>
      <c r="G364" s="619">
        <v>20333.439999999999</v>
      </c>
      <c r="H364" s="619">
        <v>1</v>
      </c>
      <c r="I364" s="619">
        <v>5083.3599999999997</v>
      </c>
      <c r="J364" s="619">
        <v>1</v>
      </c>
      <c r="K364" s="619">
        <v>5083.3599999999997</v>
      </c>
      <c r="L364" s="619">
        <v>0.25</v>
      </c>
      <c r="M364" s="619">
        <v>5083.3599999999997</v>
      </c>
      <c r="N364" s="619">
        <v>2</v>
      </c>
      <c r="O364" s="619">
        <v>10166.719999999999</v>
      </c>
      <c r="P364" s="640">
        <v>0.5</v>
      </c>
      <c r="Q364" s="620">
        <v>5083.3599999999997</v>
      </c>
    </row>
    <row r="365" spans="1:17" ht="14.4" customHeight="1" x14ac:dyDescent="0.3">
      <c r="A365" s="615" t="s">
        <v>479</v>
      </c>
      <c r="B365" s="616" t="s">
        <v>3591</v>
      </c>
      <c r="C365" s="616" t="s">
        <v>4140</v>
      </c>
      <c r="D365" s="616" t="s">
        <v>4196</v>
      </c>
      <c r="E365" s="616" t="s">
        <v>4197</v>
      </c>
      <c r="F365" s="619">
        <v>4</v>
      </c>
      <c r="G365" s="619">
        <v>26282.2</v>
      </c>
      <c r="H365" s="619">
        <v>1</v>
      </c>
      <c r="I365" s="619">
        <v>6570.55</v>
      </c>
      <c r="J365" s="619">
        <v>3</v>
      </c>
      <c r="K365" s="619">
        <v>19711.650000000001</v>
      </c>
      <c r="L365" s="619">
        <v>0.75</v>
      </c>
      <c r="M365" s="619">
        <v>6570.55</v>
      </c>
      <c r="N365" s="619">
        <v>3</v>
      </c>
      <c r="O365" s="619">
        <v>19711.650000000001</v>
      </c>
      <c r="P365" s="640">
        <v>0.75</v>
      </c>
      <c r="Q365" s="620">
        <v>6570.55</v>
      </c>
    </row>
    <row r="366" spans="1:17" ht="14.4" customHeight="1" x14ac:dyDescent="0.3">
      <c r="A366" s="615" t="s">
        <v>479</v>
      </c>
      <c r="B366" s="616" t="s">
        <v>3591</v>
      </c>
      <c r="C366" s="616" t="s">
        <v>4140</v>
      </c>
      <c r="D366" s="616" t="s">
        <v>4198</v>
      </c>
      <c r="E366" s="616" t="s">
        <v>4199</v>
      </c>
      <c r="F366" s="619"/>
      <c r="G366" s="619"/>
      <c r="H366" s="619"/>
      <c r="I366" s="619"/>
      <c r="J366" s="619">
        <v>1</v>
      </c>
      <c r="K366" s="619">
        <v>713.02</v>
      </c>
      <c r="L366" s="619"/>
      <c r="M366" s="619">
        <v>713.02</v>
      </c>
      <c r="N366" s="619"/>
      <c r="O366" s="619"/>
      <c r="P366" s="640"/>
      <c r="Q366" s="620"/>
    </row>
    <row r="367" spans="1:17" ht="14.4" customHeight="1" x14ac:dyDescent="0.3">
      <c r="A367" s="615" t="s">
        <v>479</v>
      </c>
      <c r="B367" s="616" t="s">
        <v>3591</v>
      </c>
      <c r="C367" s="616" t="s">
        <v>4140</v>
      </c>
      <c r="D367" s="616" t="s">
        <v>4200</v>
      </c>
      <c r="E367" s="616" t="s">
        <v>4201</v>
      </c>
      <c r="F367" s="619"/>
      <c r="G367" s="619"/>
      <c r="H367" s="619"/>
      <c r="I367" s="619"/>
      <c r="J367" s="619">
        <v>1</v>
      </c>
      <c r="K367" s="619">
        <v>230.07</v>
      </c>
      <c r="L367" s="619"/>
      <c r="M367" s="619">
        <v>230.07</v>
      </c>
      <c r="N367" s="619"/>
      <c r="O367" s="619"/>
      <c r="P367" s="640"/>
      <c r="Q367" s="620"/>
    </row>
    <row r="368" spans="1:17" ht="14.4" customHeight="1" x14ac:dyDescent="0.3">
      <c r="A368" s="615" t="s">
        <v>479</v>
      </c>
      <c r="B368" s="616" t="s">
        <v>3591</v>
      </c>
      <c r="C368" s="616" t="s">
        <v>4140</v>
      </c>
      <c r="D368" s="616" t="s">
        <v>4202</v>
      </c>
      <c r="E368" s="616" t="s">
        <v>4203</v>
      </c>
      <c r="F368" s="619"/>
      <c r="G368" s="619"/>
      <c r="H368" s="619"/>
      <c r="I368" s="619"/>
      <c r="J368" s="619"/>
      <c r="K368" s="619"/>
      <c r="L368" s="619"/>
      <c r="M368" s="619"/>
      <c r="N368" s="619">
        <v>7</v>
      </c>
      <c r="O368" s="619">
        <v>1523.48</v>
      </c>
      <c r="P368" s="640"/>
      <c r="Q368" s="620">
        <v>217.64000000000001</v>
      </c>
    </row>
    <row r="369" spans="1:17" ht="14.4" customHeight="1" x14ac:dyDescent="0.3">
      <c r="A369" s="615" t="s">
        <v>479</v>
      </c>
      <c r="B369" s="616" t="s">
        <v>3591</v>
      </c>
      <c r="C369" s="616" t="s">
        <v>4140</v>
      </c>
      <c r="D369" s="616" t="s">
        <v>4204</v>
      </c>
      <c r="E369" s="616" t="s">
        <v>4203</v>
      </c>
      <c r="F369" s="619">
        <v>1</v>
      </c>
      <c r="G369" s="619">
        <v>265.31</v>
      </c>
      <c r="H369" s="619">
        <v>1</v>
      </c>
      <c r="I369" s="619">
        <v>265.31</v>
      </c>
      <c r="J369" s="619"/>
      <c r="K369" s="619"/>
      <c r="L369" s="619"/>
      <c r="M369" s="619"/>
      <c r="N369" s="619"/>
      <c r="O369" s="619"/>
      <c r="P369" s="640"/>
      <c r="Q369" s="620"/>
    </row>
    <row r="370" spans="1:17" ht="14.4" customHeight="1" x14ac:dyDescent="0.3">
      <c r="A370" s="615" t="s">
        <v>479</v>
      </c>
      <c r="B370" s="616" t="s">
        <v>3591</v>
      </c>
      <c r="C370" s="616" t="s">
        <v>4140</v>
      </c>
      <c r="D370" s="616" t="s">
        <v>4205</v>
      </c>
      <c r="E370" s="616" t="s">
        <v>4206</v>
      </c>
      <c r="F370" s="619"/>
      <c r="G370" s="619"/>
      <c r="H370" s="619"/>
      <c r="I370" s="619"/>
      <c r="J370" s="619">
        <v>1</v>
      </c>
      <c r="K370" s="619">
        <v>518.17999999999995</v>
      </c>
      <c r="L370" s="619"/>
      <c r="M370" s="619">
        <v>518.17999999999995</v>
      </c>
      <c r="N370" s="619">
        <v>2</v>
      </c>
      <c r="O370" s="619">
        <v>1036.3599999999999</v>
      </c>
      <c r="P370" s="640"/>
      <c r="Q370" s="620">
        <v>518.17999999999995</v>
      </c>
    </row>
    <row r="371" spans="1:17" ht="14.4" customHeight="1" x14ac:dyDescent="0.3">
      <c r="A371" s="615" t="s">
        <v>479</v>
      </c>
      <c r="B371" s="616" t="s">
        <v>3591</v>
      </c>
      <c r="C371" s="616" t="s">
        <v>4140</v>
      </c>
      <c r="D371" s="616" t="s">
        <v>4207</v>
      </c>
      <c r="E371" s="616" t="s">
        <v>4148</v>
      </c>
      <c r="F371" s="619">
        <v>3</v>
      </c>
      <c r="G371" s="619">
        <v>273.60000000000002</v>
      </c>
      <c r="H371" s="619">
        <v>1</v>
      </c>
      <c r="I371" s="619">
        <v>91.2</v>
      </c>
      <c r="J371" s="619"/>
      <c r="K371" s="619"/>
      <c r="L371" s="619"/>
      <c r="M371" s="619"/>
      <c r="N371" s="619"/>
      <c r="O371" s="619"/>
      <c r="P371" s="640"/>
      <c r="Q371" s="620"/>
    </row>
    <row r="372" spans="1:17" ht="14.4" customHeight="1" x14ac:dyDescent="0.3">
      <c r="A372" s="615" t="s">
        <v>479</v>
      </c>
      <c r="B372" s="616" t="s">
        <v>3591</v>
      </c>
      <c r="C372" s="616" t="s">
        <v>4140</v>
      </c>
      <c r="D372" s="616" t="s">
        <v>4208</v>
      </c>
      <c r="E372" s="616" t="s">
        <v>4151</v>
      </c>
      <c r="F372" s="619"/>
      <c r="G372" s="619"/>
      <c r="H372" s="619"/>
      <c r="I372" s="619"/>
      <c r="J372" s="619">
        <v>1</v>
      </c>
      <c r="K372" s="619">
        <v>96.38</v>
      </c>
      <c r="L372" s="619"/>
      <c r="M372" s="619">
        <v>96.38</v>
      </c>
      <c r="N372" s="619"/>
      <c r="O372" s="619"/>
      <c r="P372" s="640"/>
      <c r="Q372" s="620"/>
    </row>
    <row r="373" spans="1:17" ht="14.4" customHeight="1" x14ac:dyDescent="0.3">
      <c r="A373" s="615" t="s">
        <v>479</v>
      </c>
      <c r="B373" s="616" t="s">
        <v>3591</v>
      </c>
      <c r="C373" s="616" t="s">
        <v>4140</v>
      </c>
      <c r="D373" s="616" t="s">
        <v>4209</v>
      </c>
      <c r="E373" s="616" t="s">
        <v>4151</v>
      </c>
      <c r="F373" s="619">
        <v>9</v>
      </c>
      <c r="G373" s="619">
        <v>1091.25</v>
      </c>
      <c r="H373" s="619">
        <v>1</v>
      </c>
      <c r="I373" s="619">
        <v>121.25</v>
      </c>
      <c r="J373" s="619">
        <v>2</v>
      </c>
      <c r="K373" s="619">
        <v>242.5</v>
      </c>
      <c r="L373" s="619">
        <v>0.22222222222222221</v>
      </c>
      <c r="M373" s="619">
        <v>121.25</v>
      </c>
      <c r="N373" s="619">
        <v>6</v>
      </c>
      <c r="O373" s="619">
        <v>727.5</v>
      </c>
      <c r="P373" s="640">
        <v>0.66666666666666663</v>
      </c>
      <c r="Q373" s="620">
        <v>121.25</v>
      </c>
    </row>
    <row r="374" spans="1:17" ht="14.4" customHeight="1" x14ac:dyDescent="0.3">
      <c r="A374" s="615" t="s">
        <v>479</v>
      </c>
      <c r="B374" s="616" t="s">
        <v>3591</v>
      </c>
      <c r="C374" s="616" t="s">
        <v>4140</v>
      </c>
      <c r="D374" s="616" t="s">
        <v>4210</v>
      </c>
      <c r="E374" s="616" t="s">
        <v>4151</v>
      </c>
      <c r="F374" s="619"/>
      <c r="G374" s="619"/>
      <c r="H374" s="619"/>
      <c r="I374" s="619"/>
      <c r="J374" s="619">
        <v>6</v>
      </c>
      <c r="K374" s="619">
        <v>621.84</v>
      </c>
      <c r="L374" s="619"/>
      <c r="M374" s="619">
        <v>103.64</v>
      </c>
      <c r="N374" s="619"/>
      <c r="O374" s="619"/>
      <c r="P374" s="640"/>
      <c r="Q374" s="620"/>
    </row>
    <row r="375" spans="1:17" ht="14.4" customHeight="1" x14ac:dyDescent="0.3">
      <c r="A375" s="615" t="s">
        <v>479</v>
      </c>
      <c r="B375" s="616" t="s">
        <v>3591</v>
      </c>
      <c r="C375" s="616" t="s">
        <v>4140</v>
      </c>
      <c r="D375" s="616" t="s">
        <v>4211</v>
      </c>
      <c r="E375" s="616" t="s">
        <v>4151</v>
      </c>
      <c r="F375" s="619"/>
      <c r="G375" s="619"/>
      <c r="H375" s="619"/>
      <c r="I375" s="619"/>
      <c r="J375" s="619">
        <v>10</v>
      </c>
      <c r="K375" s="619">
        <v>901.6</v>
      </c>
      <c r="L375" s="619"/>
      <c r="M375" s="619">
        <v>90.16</v>
      </c>
      <c r="N375" s="619"/>
      <c r="O375" s="619"/>
      <c r="P375" s="640"/>
      <c r="Q375" s="620"/>
    </row>
    <row r="376" spans="1:17" ht="14.4" customHeight="1" x14ac:dyDescent="0.3">
      <c r="A376" s="615" t="s">
        <v>479</v>
      </c>
      <c r="B376" s="616" t="s">
        <v>3591</v>
      </c>
      <c r="C376" s="616" t="s">
        <v>4140</v>
      </c>
      <c r="D376" s="616" t="s">
        <v>4212</v>
      </c>
      <c r="E376" s="616" t="s">
        <v>4213</v>
      </c>
      <c r="F376" s="619"/>
      <c r="G376" s="619"/>
      <c r="H376" s="619"/>
      <c r="I376" s="619"/>
      <c r="J376" s="619"/>
      <c r="K376" s="619"/>
      <c r="L376" s="619"/>
      <c r="M376" s="619"/>
      <c r="N376" s="619">
        <v>1</v>
      </c>
      <c r="O376" s="619">
        <v>1831.25</v>
      </c>
      <c r="P376" s="640"/>
      <c r="Q376" s="620">
        <v>1831.25</v>
      </c>
    </row>
    <row r="377" spans="1:17" ht="14.4" customHeight="1" x14ac:dyDescent="0.3">
      <c r="A377" s="615" t="s">
        <v>479</v>
      </c>
      <c r="B377" s="616" t="s">
        <v>3591</v>
      </c>
      <c r="C377" s="616" t="s">
        <v>4140</v>
      </c>
      <c r="D377" s="616" t="s">
        <v>4214</v>
      </c>
      <c r="E377" s="616" t="s">
        <v>4215</v>
      </c>
      <c r="F377" s="619"/>
      <c r="G377" s="619"/>
      <c r="H377" s="619"/>
      <c r="I377" s="619"/>
      <c r="J377" s="619"/>
      <c r="K377" s="619"/>
      <c r="L377" s="619"/>
      <c r="M377" s="619"/>
      <c r="N377" s="619">
        <v>1</v>
      </c>
      <c r="O377" s="619">
        <v>12681.98</v>
      </c>
      <c r="P377" s="640"/>
      <c r="Q377" s="620">
        <v>12681.98</v>
      </c>
    </row>
    <row r="378" spans="1:17" ht="14.4" customHeight="1" x14ac:dyDescent="0.3">
      <c r="A378" s="615" t="s">
        <v>479</v>
      </c>
      <c r="B378" s="616" t="s">
        <v>3591</v>
      </c>
      <c r="C378" s="616" t="s">
        <v>4140</v>
      </c>
      <c r="D378" s="616" t="s">
        <v>4216</v>
      </c>
      <c r="E378" s="616" t="s">
        <v>4217</v>
      </c>
      <c r="F378" s="619"/>
      <c r="G378" s="619"/>
      <c r="H378" s="619"/>
      <c r="I378" s="619"/>
      <c r="J378" s="619"/>
      <c r="K378" s="619"/>
      <c r="L378" s="619"/>
      <c r="M378" s="619"/>
      <c r="N378" s="619">
        <v>1</v>
      </c>
      <c r="O378" s="619">
        <v>1486.15</v>
      </c>
      <c r="P378" s="640"/>
      <c r="Q378" s="620">
        <v>1486.15</v>
      </c>
    </row>
    <row r="379" spans="1:17" ht="14.4" customHeight="1" x14ac:dyDescent="0.3">
      <c r="A379" s="615" t="s">
        <v>479</v>
      </c>
      <c r="B379" s="616" t="s">
        <v>3591</v>
      </c>
      <c r="C379" s="616" t="s">
        <v>4140</v>
      </c>
      <c r="D379" s="616" t="s">
        <v>4218</v>
      </c>
      <c r="E379" s="616" t="s">
        <v>4219</v>
      </c>
      <c r="F379" s="619"/>
      <c r="G379" s="619"/>
      <c r="H379" s="619"/>
      <c r="I379" s="619"/>
      <c r="J379" s="619"/>
      <c r="K379" s="619"/>
      <c r="L379" s="619"/>
      <c r="M379" s="619"/>
      <c r="N379" s="619">
        <v>1</v>
      </c>
      <c r="O379" s="619">
        <v>2834.45</v>
      </c>
      <c r="P379" s="640"/>
      <c r="Q379" s="620">
        <v>2834.45</v>
      </c>
    </row>
    <row r="380" spans="1:17" ht="14.4" customHeight="1" x14ac:dyDescent="0.3">
      <c r="A380" s="615" t="s">
        <v>479</v>
      </c>
      <c r="B380" s="616" t="s">
        <v>3591</v>
      </c>
      <c r="C380" s="616" t="s">
        <v>4140</v>
      </c>
      <c r="D380" s="616" t="s">
        <v>4220</v>
      </c>
      <c r="E380" s="616" t="s">
        <v>4219</v>
      </c>
      <c r="F380" s="619"/>
      <c r="G380" s="619"/>
      <c r="H380" s="619"/>
      <c r="I380" s="619"/>
      <c r="J380" s="619"/>
      <c r="K380" s="619"/>
      <c r="L380" s="619"/>
      <c r="M380" s="619"/>
      <c r="N380" s="619">
        <v>1</v>
      </c>
      <c r="O380" s="619">
        <v>4301.95</v>
      </c>
      <c r="P380" s="640"/>
      <c r="Q380" s="620">
        <v>4301.95</v>
      </c>
    </row>
    <row r="381" spans="1:17" ht="14.4" customHeight="1" x14ac:dyDescent="0.3">
      <c r="A381" s="615" t="s">
        <v>479</v>
      </c>
      <c r="B381" s="616" t="s">
        <v>3591</v>
      </c>
      <c r="C381" s="616" t="s">
        <v>4140</v>
      </c>
      <c r="D381" s="616" t="s">
        <v>4221</v>
      </c>
      <c r="E381" s="616" t="s">
        <v>4222</v>
      </c>
      <c r="F381" s="619"/>
      <c r="G381" s="619"/>
      <c r="H381" s="619"/>
      <c r="I381" s="619"/>
      <c r="J381" s="619"/>
      <c r="K381" s="619"/>
      <c r="L381" s="619"/>
      <c r="M381" s="619"/>
      <c r="N381" s="619">
        <v>3</v>
      </c>
      <c r="O381" s="619">
        <v>7875.33</v>
      </c>
      <c r="P381" s="640"/>
      <c r="Q381" s="620">
        <v>2625.11</v>
      </c>
    </row>
    <row r="382" spans="1:17" ht="14.4" customHeight="1" x14ac:dyDescent="0.3">
      <c r="A382" s="615" t="s">
        <v>479</v>
      </c>
      <c r="B382" s="616" t="s">
        <v>3591</v>
      </c>
      <c r="C382" s="616" t="s">
        <v>4140</v>
      </c>
      <c r="D382" s="616" t="s">
        <v>4223</v>
      </c>
      <c r="E382" s="616" t="s">
        <v>4224</v>
      </c>
      <c r="F382" s="619"/>
      <c r="G382" s="619"/>
      <c r="H382" s="619"/>
      <c r="I382" s="619"/>
      <c r="J382" s="619"/>
      <c r="K382" s="619"/>
      <c r="L382" s="619"/>
      <c r="M382" s="619"/>
      <c r="N382" s="619">
        <v>2</v>
      </c>
      <c r="O382" s="619">
        <v>1448.84</v>
      </c>
      <c r="P382" s="640"/>
      <c r="Q382" s="620">
        <v>724.42</v>
      </c>
    </row>
    <row r="383" spans="1:17" ht="14.4" customHeight="1" x14ac:dyDescent="0.3">
      <c r="A383" s="615" t="s">
        <v>479</v>
      </c>
      <c r="B383" s="616" t="s">
        <v>3591</v>
      </c>
      <c r="C383" s="616" t="s">
        <v>4140</v>
      </c>
      <c r="D383" s="616" t="s">
        <v>4225</v>
      </c>
      <c r="E383" s="616" t="s">
        <v>4226</v>
      </c>
      <c r="F383" s="619"/>
      <c r="G383" s="619"/>
      <c r="H383" s="619"/>
      <c r="I383" s="619"/>
      <c r="J383" s="619"/>
      <c r="K383" s="619"/>
      <c r="L383" s="619"/>
      <c r="M383" s="619"/>
      <c r="N383" s="619">
        <v>1</v>
      </c>
      <c r="O383" s="619">
        <v>239.4</v>
      </c>
      <c r="P383" s="640"/>
      <c r="Q383" s="620">
        <v>239.4</v>
      </c>
    </row>
    <row r="384" spans="1:17" ht="14.4" customHeight="1" x14ac:dyDescent="0.3">
      <c r="A384" s="615" t="s">
        <v>479</v>
      </c>
      <c r="B384" s="616" t="s">
        <v>3591</v>
      </c>
      <c r="C384" s="616" t="s">
        <v>4140</v>
      </c>
      <c r="D384" s="616" t="s">
        <v>4227</v>
      </c>
      <c r="E384" s="616" t="s">
        <v>4228</v>
      </c>
      <c r="F384" s="619"/>
      <c r="G384" s="619"/>
      <c r="H384" s="619"/>
      <c r="I384" s="619"/>
      <c r="J384" s="619">
        <v>2</v>
      </c>
      <c r="K384" s="619">
        <v>2495.56</v>
      </c>
      <c r="L384" s="619"/>
      <c r="M384" s="619">
        <v>1247.78</v>
      </c>
      <c r="N384" s="619">
        <v>3</v>
      </c>
      <c r="O384" s="619">
        <v>3743.34</v>
      </c>
      <c r="P384" s="640"/>
      <c r="Q384" s="620">
        <v>1247.78</v>
      </c>
    </row>
    <row r="385" spans="1:17" ht="14.4" customHeight="1" x14ac:dyDescent="0.3">
      <c r="A385" s="615" t="s">
        <v>479</v>
      </c>
      <c r="B385" s="616" t="s">
        <v>3591</v>
      </c>
      <c r="C385" s="616" t="s">
        <v>4140</v>
      </c>
      <c r="D385" s="616" t="s">
        <v>4229</v>
      </c>
      <c r="E385" s="616" t="s">
        <v>4228</v>
      </c>
      <c r="F385" s="619"/>
      <c r="G385" s="619"/>
      <c r="H385" s="619"/>
      <c r="I385" s="619"/>
      <c r="J385" s="619">
        <v>2</v>
      </c>
      <c r="K385" s="619">
        <v>2843.78</v>
      </c>
      <c r="L385" s="619"/>
      <c r="M385" s="619">
        <v>1421.89</v>
      </c>
      <c r="N385" s="619">
        <v>8</v>
      </c>
      <c r="O385" s="619">
        <v>11375.12</v>
      </c>
      <c r="P385" s="640"/>
      <c r="Q385" s="620">
        <v>1421.89</v>
      </c>
    </row>
    <row r="386" spans="1:17" ht="14.4" customHeight="1" x14ac:dyDescent="0.3">
      <c r="A386" s="615" t="s">
        <v>479</v>
      </c>
      <c r="B386" s="616" t="s">
        <v>3591</v>
      </c>
      <c r="C386" s="616" t="s">
        <v>4140</v>
      </c>
      <c r="D386" s="616" t="s">
        <v>4230</v>
      </c>
      <c r="E386" s="616" t="s">
        <v>4228</v>
      </c>
      <c r="F386" s="619"/>
      <c r="G386" s="619"/>
      <c r="H386" s="619"/>
      <c r="I386" s="619"/>
      <c r="J386" s="619">
        <v>1</v>
      </c>
      <c r="K386" s="619">
        <v>1656.11</v>
      </c>
      <c r="L386" s="619"/>
      <c r="M386" s="619">
        <v>1656.11</v>
      </c>
      <c r="N386" s="619">
        <v>13</v>
      </c>
      <c r="O386" s="619">
        <v>21529.43</v>
      </c>
      <c r="P386" s="640"/>
      <c r="Q386" s="620">
        <v>1656.1100000000001</v>
      </c>
    </row>
    <row r="387" spans="1:17" ht="14.4" customHeight="1" x14ac:dyDescent="0.3">
      <c r="A387" s="615" t="s">
        <v>479</v>
      </c>
      <c r="B387" s="616" t="s">
        <v>3591</v>
      </c>
      <c r="C387" s="616" t="s">
        <v>4140</v>
      </c>
      <c r="D387" s="616" t="s">
        <v>4231</v>
      </c>
      <c r="E387" s="616" t="s">
        <v>4232</v>
      </c>
      <c r="F387" s="619"/>
      <c r="G387" s="619"/>
      <c r="H387" s="619"/>
      <c r="I387" s="619"/>
      <c r="J387" s="619">
        <v>2</v>
      </c>
      <c r="K387" s="619">
        <v>2839.64</v>
      </c>
      <c r="L387" s="619"/>
      <c r="M387" s="619">
        <v>1419.82</v>
      </c>
      <c r="N387" s="619">
        <v>5</v>
      </c>
      <c r="O387" s="619">
        <v>7099.1</v>
      </c>
      <c r="P387" s="640"/>
      <c r="Q387" s="620">
        <v>1419.8200000000002</v>
      </c>
    </row>
    <row r="388" spans="1:17" ht="14.4" customHeight="1" x14ac:dyDescent="0.3">
      <c r="A388" s="615" t="s">
        <v>479</v>
      </c>
      <c r="B388" s="616" t="s">
        <v>3591</v>
      </c>
      <c r="C388" s="616" t="s">
        <v>4140</v>
      </c>
      <c r="D388" s="616" t="s">
        <v>4233</v>
      </c>
      <c r="E388" s="616" t="s">
        <v>4232</v>
      </c>
      <c r="F388" s="619"/>
      <c r="G388" s="619"/>
      <c r="H388" s="619"/>
      <c r="I388" s="619"/>
      <c r="J388" s="619">
        <v>2</v>
      </c>
      <c r="K388" s="619">
        <v>3094.58</v>
      </c>
      <c r="L388" s="619"/>
      <c r="M388" s="619">
        <v>1547.29</v>
      </c>
      <c r="N388" s="619">
        <v>1</v>
      </c>
      <c r="O388" s="619">
        <v>1547.29</v>
      </c>
      <c r="P388" s="640"/>
      <c r="Q388" s="620">
        <v>1547.29</v>
      </c>
    </row>
    <row r="389" spans="1:17" ht="14.4" customHeight="1" x14ac:dyDescent="0.3">
      <c r="A389" s="615" t="s">
        <v>479</v>
      </c>
      <c r="B389" s="616" t="s">
        <v>3591</v>
      </c>
      <c r="C389" s="616" t="s">
        <v>4140</v>
      </c>
      <c r="D389" s="616" t="s">
        <v>4234</v>
      </c>
      <c r="E389" s="616" t="s">
        <v>4235</v>
      </c>
      <c r="F389" s="619"/>
      <c r="G389" s="619"/>
      <c r="H389" s="619"/>
      <c r="I389" s="619"/>
      <c r="J389" s="619">
        <v>7</v>
      </c>
      <c r="K389" s="619">
        <v>13203.26</v>
      </c>
      <c r="L389" s="619"/>
      <c r="M389" s="619">
        <v>1886.18</v>
      </c>
      <c r="N389" s="619"/>
      <c r="O389" s="619"/>
      <c r="P389" s="640"/>
      <c r="Q389" s="620"/>
    </row>
    <row r="390" spans="1:17" ht="14.4" customHeight="1" x14ac:dyDescent="0.3">
      <c r="A390" s="615" t="s">
        <v>479</v>
      </c>
      <c r="B390" s="616" t="s">
        <v>3591</v>
      </c>
      <c r="C390" s="616" t="s">
        <v>4140</v>
      </c>
      <c r="D390" s="616" t="s">
        <v>4236</v>
      </c>
      <c r="E390" s="616" t="s">
        <v>4235</v>
      </c>
      <c r="F390" s="619"/>
      <c r="G390" s="619"/>
      <c r="H390" s="619"/>
      <c r="I390" s="619"/>
      <c r="J390" s="619">
        <v>2</v>
      </c>
      <c r="K390" s="619">
        <v>4068.76</v>
      </c>
      <c r="L390" s="619"/>
      <c r="M390" s="619">
        <v>2034.38</v>
      </c>
      <c r="N390" s="619"/>
      <c r="O390" s="619"/>
      <c r="P390" s="640"/>
      <c r="Q390" s="620"/>
    </row>
    <row r="391" spans="1:17" ht="14.4" customHeight="1" x14ac:dyDescent="0.3">
      <c r="A391" s="615" t="s">
        <v>479</v>
      </c>
      <c r="B391" s="616" t="s">
        <v>3591</v>
      </c>
      <c r="C391" s="616" t="s">
        <v>4140</v>
      </c>
      <c r="D391" s="616" t="s">
        <v>4237</v>
      </c>
      <c r="E391" s="616" t="s">
        <v>4235</v>
      </c>
      <c r="F391" s="619"/>
      <c r="G391" s="619"/>
      <c r="H391" s="619"/>
      <c r="I391" s="619"/>
      <c r="J391" s="619">
        <v>2</v>
      </c>
      <c r="K391" s="619">
        <v>4456.3599999999997</v>
      </c>
      <c r="L391" s="619"/>
      <c r="M391" s="619">
        <v>2228.1799999999998</v>
      </c>
      <c r="N391" s="619"/>
      <c r="O391" s="619"/>
      <c r="P391" s="640"/>
      <c r="Q391" s="620"/>
    </row>
    <row r="392" spans="1:17" ht="14.4" customHeight="1" x14ac:dyDescent="0.3">
      <c r="A392" s="615" t="s">
        <v>479</v>
      </c>
      <c r="B392" s="616" t="s">
        <v>3591</v>
      </c>
      <c r="C392" s="616" t="s">
        <v>4140</v>
      </c>
      <c r="D392" s="616" t="s">
        <v>4238</v>
      </c>
      <c r="E392" s="616" t="s">
        <v>4239</v>
      </c>
      <c r="F392" s="619">
        <v>1</v>
      </c>
      <c r="G392" s="619">
        <v>4834.6400000000003</v>
      </c>
      <c r="H392" s="619">
        <v>1</v>
      </c>
      <c r="I392" s="619">
        <v>4834.6400000000003</v>
      </c>
      <c r="J392" s="619"/>
      <c r="K392" s="619"/>
      <c r="L392" s="619"/>
      <c r="M392" s="619"/>
      <c r="N392" s="619">
        <v>3</v>
      </c>
      <c r="O392" s="619">
        <v>14503.920000000002</v>
      </c>
      <c r="P392" s="640">
        <v>3</v>
      </c>
      <c r="Q392" s="620">
        <v>4834.6400000000003</v>
      </c>
    </row>
    <row r="393" spans="1:17" ht="14.4" customHeight="1" x14ac:dyDescent="0.3">
      <c r="A393" s="615" t="s">
        <v>479</v>
      </c>
      <c r="B393" s="616" t="s">
        <v>3591</v>
      </c>
      <c r="C393" s="616" t="s">
        <v>4140</v>
      </c>
      <c r="D393" s="616" t="s">
        <v>4240</v>
      </c>
      <c r="E393" s="616" t="s">
        <v>4241</v>
      </c>
      <c r="F393" s="619">
        <v>1</v>
      </c>
      <c r="G393" s="619">
        <v>5082.22</v>
      </c>
      <c r="H393" s="619">
        <v>1</v>
      </c>
      <c r="I393" s="619">
        <v>5082.22</v>
      </c>
      <c r="J393" s="619"/>
      <c r="K393" s="619"/>
      <c r="L393" s="619"/>
      <c r="M393" s="619"/>
      <c r="N393" s="619">
        <v>1</v>
      </c>
      <c r="O393" s="619">
        <v>5082.22</v>
      </c>
      <c r="P393" s="640">
        <v>1</v>
      </c>
      <c r="Q393" s="620">
        <v>5082.22</v>
      </c>
    </row>
    <row r="394" spans="1:17" ht="14.4" customHeight="1" x14ac:dyDescent="0.3">
      <c r="A394" s="615" t="s">
        <v>479</v>
      </c>
      <c r="B394" s="616" t="s">
        <v>3591</v>
      </c>
      <c r="C394" s="616" t="s">
        <v>4140</v>
      </c>
      <c r="D394" s="616" t="s">
        <v>4242</v>
      </c>
      <c r="E394" s="616" t="s">
        <v>4243</v>
      </c>
      <c r="F394" s="619">
        <v>6</v>
      </c>
      <c r="G394" s="619">
        <v>4735.74</v>
      </c>
      <c r="H394" s="619">
        <v>1</v>
      </c>
      <c r="I394" s="619">
        <v>789.29</v>
      </c>
      <c r="J394" s="619">
        <v>8</v>
      </c>
      <c r="K394" s="619">
        <v>6314.32</v>
      </c>
      <c r="L394" s="619">
        <v>1.3333333333333333</v>
      </c>
      <c r="M394" s="619">
        <v>789.29</v>
      </c>
      <c r="N394" s="619">
        <v>37.4</v>
      </c>
      <c r="O394" s="619">
        <v>29519.439999999999</v>
      </c>
      <c r="P394" s="640">
        <v>6.2333320663718874</v>
      </c>
      <c r="Q394" s="620">
        <v>789.28983957219248</v>
      </c>
    </row>
    <row r="395" spans="1:17" ht="14.4" customHeight="1" x14ac:dyDescent="0.3">
      <c r="A395" s="615" t="s">
        <v>479</v>
      </c>
      <c r="B395" s="616" t="s">
        <v>3591</v>
      </c>
      <c r="C395" s="616" t="s">
        <v>4140</v>
      </c>
      <c r="D395" s="616" t="s">
        <v>4244</v>
      </c>
      <c r="E395" s="616" t="s">
        <v>4245</v>
      </c>
      <c r="F395" s="619">
        <v>1</v>
      </c>
      <c r="G395" s="619">
        <v>2603.5500000000002</v>
      </c>
      <c r="H395" s="619">
        <v>1</v>
      </c>
      <c r="I395" s="619">
        <v>2603.5500000000002</v>
      </c>
      <c r="J395" s="619"/>
      <c r="K395" s="619"/>
      <c r="L395" s="619"/>
      <c r="M395" s="619"/>
      <c r="N395" s="619"/>
      <c r="O395" s="619"/>
      <c r="P395" s="640"/>
      <c r="Q395" s="620"/>
    </row>
    <row r="396" spans="1:17" ht="14.4" customHeight="1" x14ac:dyDescent="0.3">
      <c r="A396" s="615" t="s">
        <v>479</v>
      </c>
      <c r="B396" s="616" t="s">
        <v>3591</v>
      </c>
      <c r="C396" s="616" t="s">
        <v>4140</v>
      </c>
      <c r="D396" s="616" t="s">
        <v>4246</v>
      </c>
      <c r="E396" s="616" t="s">
        <v>4235</v>
      </c>
      <c r="F396" s="619"/>
      <c r="G396" s="619"/>
      <c r="H396" s="619"/>
      <c r="I396" s="619"/>
      <c r="J396" s="619">
        <v>8</v>
      </c>
      <c r="K396" s="619">
        <v>19831.84</v>
      </c>
      <c r="L396" s="619"/>
      <c r="M396" s="619">
        <v>2478.98</v>
      </c>
      <c r="N396" s="619"/>
      <c r="O396" s="619"/>
      <c r="P396" s="640"/>
      <c r="Q396" s="620"/>
    </row>
    <row r="397" spans="1:17" ht="14.4" customHeight="1" x14ac:dyDescent="0.3">
      <c r="A397" s="615" t="s">
        <v>479</v>
      </c>
      <c r="B397" s="616" t="s">
        <v>3591</v>
      </c>
      <c r="C397" s="616" t="s">
        <v>4140</v>
      </c>
      <c r="D397" s="616" t="s">
        <v>4247</v>
      </c>
      <c r="E397" s="616" t="s">
        <v>4248</v>
      </c>
      <c r="F397" s="619"/>
      <c r="G397" s="619"/>
      <c r="H397" s="619"/>
      <c r="I397" s="619"/>
      <c r="J397" s="619"/>
      <c r="K397" s="619"/>
      <c r="L397" s="619"/>
      <c r="M397" s="619"/>
      <c r="N397" s="619">
        <v>1</v>
      </c>
      <c r="O397" s="619">
        <v>8222.51</v>
      </c>
      <c r="P397" s="640"/>
      <c r="Q397" s="620">
        <v>8222.51</v>
      </c>
    </row>
    <row r="398" spans="1:17" ht="14.4" customHeight="1" x14ac:dyDescent="0.3">
      <c r="A398" s="615" t="s">
        <v>479</v>
      </c>
      <c r="B398" s="616" t="s">
        <v>3591</v>
      </c>
      <c r="C398" s="616" t="s">
        <v>4140</v>
      </c>
      <c r="D398" s="616" t="s">
        <v>4249</v>
      </c>
      <c r="E398" s="616" t="s">
        <v>4232</v>
      </c>
      <c r="F398" s="619"/>
      <c r="G398" s="619"/>
      <c r="H398" s="619"/>
      <c r="I398" s="619"/>
      <c r="J398" s="619"/>
      <c r="K398" s="619"/>
      <c r="L398" s="619"/>
      <c r="M398" s="619"/>
      <c r="N398" s="619">
        <v>4</v>
      </c>
      <c r="O398" s="619">
        <v>5098.92</v>
      </c>
      <c r="P398" s="640"/>
      <c r="Q398" s="620">
        <v>1274.73</v>
      </c>
    </row>
    <row r="399" spans="1:17" ht="14.4" customHeight="1" x14ac:dyDescent="0.3">
      <c r="A399" s="615" t="s">
        <v>479</v>
      </c>
      <c r="B399" s="616" t="s">
        <v>3591</v>
      </c>
      <c r="C399" s="616" t="s">
        <v>4140</v>
      </c>
      <c r="D399" s="616" t="s">
        <v>4250</v>
      </c>
      <c r="E399" s="616" t="s">
        <v>4251</v>
      </c>
      <c r="F399" s="619"/>
      <c r="G399" s="619"/>
      <c r="H399" s="619"/>
      <c r="I399" s="619"/>
      <c r="J399" s="619">
        <v>1</v>
      </c>
      <c r="K399" s="619">
        <v>12640.53</v>
      </c>
      <c r="L399" s="619"/>
      <c r="M399" s="619">
        <v>12640.53</v>
      </c>
      <c r="N399" s="619"/>
      <c r="O399" s="619"/>
      <c r="P399" s="640"/>
      <c r="Q399" s="620"/>
    </row>
    <row r="400" spans="1:17" ht="14.4" customHeight="1" x14ac:dyDescent="0.3">
      <c r="A400" s="615" t="s">
        <v>479</v>
      </c>
      <c r="B400" s="616" t="s">
        <v>3591</v>
      </c>
      <c r="C400" s="616" t="s">
        <v>4140</v>
      </c>
      <c r="D400" s="616" t="s">
        <v>4252</v>
      </c>
      <c r="E400" s="616" t="s">
        <v>4253</v>
      </c>
      <c r="F400" s="619"/>
      <c r="G400" s="619"/>
      <c r="H400" s="619"/>
      <c r="I400" s="619"/>
      <c r="J400" s="619"/>
      <c r="K400" s="619"/>
      <c r="L400" s="619"/>
      <c r="M400" s="619"/>
      <c r="N400" s="619">
        <v>1</v>
      </c>
      <c r="O400" s="619">
        <v>13282.04</v>
      </c>
      <c r="P400" s="640"/>
      <c r="Q400" s="620">
        <v>13282.04</v>
      </c>
    </row>
    <row r="401" spans="1:17" ht="14.4" customHeight="1" x14ac:dyDescent="0.3">
      <c r="A401" s="615" t="s">
        <v>479</v>
      </c>
      <c r="B401" s="616" t="s">
        <v>3591</v>
      </c>
      <c r="C401" s="616" t="s">
        <v>4140</v>
      </c>
      <c r="D401" s="616" t="s">
        <v>4254</v>
      </c>
      <c r="E401" s="616" t="s">
        <v>4255</v>
      </c>
      <c r="F401" s="619"/>
      <c r="G401" s="619"/>
      <c r="H401" s="619"/>
      <c r="I401" s="619"/>
      <c r="J401" s="619">
        <v>1</v>
      </c>
      <c r="K401" s="619">
        <v>10628.95</v>
      </c>
      <c r="L401" s="619"/>
      <c r="M401" s="619">
        <v>10628.95</v>
      </c>
      <c r="N401" s="619">
        <v>2</v>
      </c>
      <c r="O401" s="619">
        <v>21257.9</v>
      </c>
      <c r="P401" s="640"/>
      <c r="Q401" s="620">
        <v>10628.95</v>
      </c>
    </row>
    <row r="402" spans="1:17" ht="14.4" customHeight="1" x14ac:dyDescent="0.3">
      <c r="A402" s="615" t="s">
        <v>479</v>
      </c>
      <c r="B402" s="616" t="s">
        <v>3591</v>
      </c>
      <c r="C402" s="616" t="s">
        <v>4140</v>
      </c>
      <c r="D402" s="616" t="s">
        <v>4256</v>
      </c>
      <c r="E402" s="616" t="s">
        <v>4257</v>
      </c>
      <c r="F402" s="619"/>
      <c r="G402" s="619"/>
      <c r="H402" s="619"/>
      <c r="I402" s="619"/>
      <c r="J402" s="619"/>
      <c r="K402" s="619"/>
      <c r="L402" s="619"/>
      <c r="M402" s="619"/>
      <c r="N402" s="619">
        <v>2</v>
      </c>
      <c r="O402" s="619">
        <v>2190.46</v>
      </c>
      <c r="P402" s="640"/>
      <c r="Q402" s="620">
        <v>1095.23</v>
      </c>
    </row>
    <row r="403" spans="1:17" ht="14.4" customHeight="1" x14ac:dyDescent="0.3">
      <c r="A403" s="615" t="s">
        <v>479</v>
      </c>
      <c r="B403" s="616" t="s">
        <v>3591</v>
      </c>
      <c r="C403" s="616" t="s">
        <v>4140</v>
      </c>
      <c r="D403" s="616" t="s">
        <v>4258</v>
      </c>
      <c r="E403" s="616" t="s">
        <v>4259</v>
      </c>
      <c r="F403" s="619"/>
      <c r="G403" s="619"/>
      <c r="H403" s="619"/>
      <c r="I403" s="619"/>
      <c r="J403" s="619"/>
      <c r="K403" s="619"/>
      <c r="L403" s="619"/>
      <c r="M403" s="619"/>
      <c r="N403" s="619">
        <v>8</v>
      </c>
      <c r="O403" s="619">
        <v>7221.36</v>
      </c>
      <c r="P403" s="640"/>
      <c r="Q403" s="620">
        <v>902.67</v>
      </c>
    </row>
    <row r="404" spans="1:17" ht="14.4" customHeight="1" x14ac:dyDescent="0.3">
      <c r="A404" s="615" t="s">
        <v>479</v>
      </c>
      <c r="B404" s="616" t="s">
        <v>3591</v>
      </c>
      <c r="C404" s="616" t="s">
        <v>4140</v>
      </c>
      <c r="D404" s="616" t="s">
        <v>4260</v>
      </c>
      <c r="E404" s="616" t="s">
        <v>4259</v>
      </c>
      <c r="F404" s="619"/>
      <c r="G404" s="619"/>
      <c r="H404" s="619"/>
      <c r="I404" s="619"/>
      <c r="J404" s="619">
        <v>3</v>
      </c>
      <c r="K404" s="619">
        <v>3088.26</v>
      </c>
      <c r="L404" s="619"/>
      <c r="M404" s="619">
        <v>1029.42</v>
      </c>
      <c r="N404" s="619">
        <v>6</v>
      </c>
      <c r="O404" s="619">
        <v>6176.52</v>
      </c>
      <c r="P404" s="640"/>
      <c r="Q404" s="620">
        <v>1029.42</v>
      </c>
    </row>
    <row r="405" spans="1:17" ht="14.4" customHeight="1" x14ac:dyDescent="0.3">
      <c r="A405" s="615" t="s">
        <v>479</v>
      </c>
      <c r="B405" s="616" t="s">
        <v>3591</v>
      </c>
      <c r="C405" s="616" t="s">
        <v>4140</v>
      </c>
      <c r="D405" s="616" t="s">
        <v>4261</v>
      </c>
      <c r="E405" s="616" t="s">
        <v>4262</v>
      </c>
      <c r="F405" s="619"/>
      <c r="G405" s="619"/>
      <c r="H405" s="619"/>
      <c r="I405" s="619"/>
      <c r="J405" s="619"/>
      <c r="K405" s="619"/>
      <c r="L405" s="619"/>
      <c r="M405" s="619"/>
      <c r="N405" s="619">
        <v>2</v>
      </c>
      <c r="O405" s="619">
        <v>19008.98</v>
      </c>
      <c r="P405" s="640"/>
      <c r="Q405" s="620">
        <v>9504.49</v>
      </c>
    </row>
    <row r="406" spans="1:17" ht="14.4" customHeight="1" x14ac:dyDescent="0.3">
      <c r="A406" s="615" t="s">
        <v>479</v>
      </c>
      <c r="B406" s="616" t="s">
        <v>3591</v>
      </c>
      <c r="C406" s="616" t="s">
        <v>4140</v>
      </c>
      <c r="D406" s="616" t="s">
        <v>4263</v>
      </c>
      <c r="E406" s="616" t="s">
        <v>4264</v>
      </c>
      <c r="F406" s="619"/>
      <c r="G406" s="619"/>
      <c r="H406" s="619"/>
      <c r="I406" s="619"/>
      <c r="J406" s="619">
        <v>1</v>
      </c>
      <c r="K406" s="619">
        <v>28950</v>
      </c>
      <c r="L406" s="619"/>
      <c r="M406" s="619">
        <v>28950</v>
      </c>
      <c r="N406" s="619">
        <v>1</v>
      </c>
      <c r="O406" s="619">
        <v>28950</v>
      </c>
      <c r="P406" s="640"/>
      <c r="Q406" s="620">
        <v>28950</v>
      </c>
    </row>
    <row r="407" spans="1:17" ht="14.4" customHeight="1" x14ac:dyDescent="0.3">
      <c r="A407" s="615" t="s">
        <v>479</v>
      </c>
      <c r="B407" s="616" t="s">
        <v>3591</v>
      </c>
      <c r="C407" s="616" t="s">
        <v>4140</v>
      </c>
      <c r="D407" s="616" t="s">
        <v>4265</v>
      </c>
      <c r="E407" s="616" t="s">
        <v>4266</v>
      </c>
      <c r="F407" s="619"/>
      <c r="G407" s="619"/>
      <c r="H407" s="619"/>
      <c r="I407" s="619"/>
      <c r="J407" s="619"/>
      <c r="K407" s="619"/>
      <c r="L407" s="619"/>
      <c r="M407" s="619"/>
      <c r="N407" s="619">
        <v>1</v>
      </c>
      <c r="O407" s="619">
        <v>60099</v>
      </c>
      <c r="P407" s="640"/>
      <c r="Q407" s="620">
        <v>60099</v>
      </c>
    </row>
    <row r="408" spans="1:17" ht="14.4" customHeight="1" x14ac:dyDescent="0.3">
      <c r="A408" s="615" t="s">
        <v>479</v>
      </c>
      <c r="B408" s="616" t="s">
        <v>3591</v>
      </c>
      <c r="C408" s="616" t="s">
        <v>4140</v>
      </c>
      <c r="D408" s="616" t="s">
        <v>4267</v>
      </c>
      <c r="E408" s="616" t="s">
        <v>4266</v>
      </c>
      <c r="F408" s="619">
        <v>1</v>
      </c>
      <c r="G408" s="619">
        <v>68578</v>
      </c>
      <c r="H408" s="619">
        <v>1</v>
      </c>
      <c r="I408" s="619">
        <v>68578</v>
      </c>
      <c r="J408" s="619"/>
      <c r="K408" s="619"/>
      <c r="L408" s="619"/>
      <c r="M408" s="619"/>
      <c r="N408" s="619"/>
      <c r="O408" s="619"/>
      <c r="P408" s="640"/>
      <c r="Q408" s="620"/>
    </row>
    <row r="409" spans="1:17" ht="14.4" customHeight="1" x14ac:dyDescent="0.3">
      <c r="A409" s="615" t="s">
        <v>479</v>
      </c>
      <c r="B409" s="616" t="s">
        <v>3591</v>
      </c>
      <c r="C409" s="616" t="s">
        <v>4140</v>
      </c>
      <c r="D409" s="616" t="s">
        <v>4268</v>
      </c>
      <c r="E409" s="616" t="s">
        <v>4269</v>
      </c>
      <c r="F409" s="619"/>
      <c r="G409" s="619"/>
      <c r="H409" s="619"/>
      <c r="I409" s="619"/>
      <c r="J409" s="619"/>
      <c r="K409" s="619"/>
      <c r="L409" s="619"/>
      <c r="M409" s="619"/>
      <c r="N409" s="619">
        <v>2</v>
      </c>
      <c r="O409" s="619">
        <v>1803.28</v>
      </c>
      <c r="P409" s="640"/>
      <c r="Q409" s="620">
        <v>901.64</v>
      </c>
    </row>
    <row r="410" spans="1:17" ht="14.4" customHeight="1" x14ac:dyDescent="0.3">
      <c r="A410" s="615" t="s">
        <v>479</v>
      </c>
      <c r="B410" s="616" t="s">
        <v>3591</v>
      </c>
      <c r="C410" s="616" t="s">
        <v>4140</v>
      </c>
      <c r="D410" s="616" t="s">
        <v>4270</v>
      </c>
      <c r="E410" s="616" t="s">
        <v>4271</v>
      </c>
      <c r="F410" s="619">
        <v>1</v>
      </c>
      <c r="G410" s="619">
        <v>15998.9</v>
      </c>
      <c r="H410" s="619">
        <v>1</v>
      </c>
      <c r="I410" s="619">
        <v>15998.9</v>
      </c>
      <c r="J410" s="619"/>
      <c r="K410" s="619"/>
      <c r="L410" s="619"/>
      <c r="M410" s="619"/>
      <c r="N410" s="619"/>
      <c r="O410" s="619"/>
      <c r="P410" s="640"/>
      <c r="Q410" s="620"/>
    </row>
    <row r="411" spans="1:17" ht="14.4" customHeight="1" x14ac:dyDescent="0.3">
      <c r="A411" s="615" t="s">
        <v>479</v>
      </c>
      <c r="B411" s="616" t="s">
        <v>3591</v>
      </c>
      <c r="C411" s="616" t="s">
        <v>4140</v>
      </c>
      <c r="D411" s="616" t="s">
        <v>4272</v>
      </c>
      <c r="E411" s="616" t="s">
        <v>4273</v>
      </c>
      <c r="F411" s="619"/>
      <c r="G411" s="619"/>
      <c r="H411" s="619"/>
      <c r="I411" s="619"/>
      <c r="J411" s="619"/>
      <c r="K411" s="619"/>
      <c r="L411" s="619"/>
      <c r="M411" s="619"/>
      <c r="N411" s="619">
        <v>1</v>
      </c>
      <c r="O411" s="619">
        <v>11201.4</v>
      </c>
      <c r="P411" s="640"/>
      <c r="Q411" s="620">
        <v>11201.4</v>
      </c>
    </row>
    <row r="412" spans="1:17" ht="14.4" customHeight="1" x14ac:dyDescent="0.3">
      <c r="A412" s="615" t="s">
        <v>479</v>
      </c>
      <c r="B412" s="616" t="s">
        <v>3591</v>
      </c>
      <c r="C412" s="616" t="s">
        <v>4140</v>
      </c>
      <c r="D412" s="616" t="s">
        <v>4274</v>
      </c>
      <c r="E412" s="616" t="s">
        <v>4275</v>
      </c>
      <c r="F412" s="619"/>
      <c r="G412" s="619"/>
      <c r="H412" s="619"/>
      <c r="I412" s="619"/>
      <c r="J412" s="619"/>
      <c r="K412" s="619"/>
      <c r="L412" s="619"/>
      <c r="M412" s="619"/>
      <c r="N412" s="619">
        <v>6</v>
      </c>
      <c r="O412" s="619">
        <v>141649.20000000001</v>
      </c>
      <c r="P412" s="640"/>
      <c r="Q412" s="620">
        <v>23608.2</v>
      </c>
    </row>
    <row r="413" spans="1:17" ht="14.4" customHeight="1" x14ac:dyDescent="0.3">
      <c r="A413" s="615" t="s">
        <v>479</v>
      </c>
      <c r="B413" s="616" t="s">
        <v>3591</v>
      </c>
      <c r="C413" s="616" t="s">
        <v>4140</v>
      </c>
      <c r="D413" s="616" t="s">
        <v>4276</v>
      </c>
      <c r="E413" s="616" t="s">
        <v>4277</v>
      </c>
      <c r="F413" s="619">
        <v>1</v>
      </c>
      <c r="G413" s="619">
        <v>223.85</v>
      </c>
      <c r="H413" s="619">
        <v>1</v>
      </c>
      <c r="I413" s="619">
        <v>223.85</v>
      </c>
      <c r="J413" s="619">
        <v>3</v>
      </c>
      <c r="K413" s="619">
        <v>671.55</v>
      </c>
      <c r="L413" s="619">
        <v>3</v>
      </c>
      <c r="M413" s="619">
        <v>223.85</v>
      </c>
      <c r="N413" s="619">
        <v>1</v>
      </c>
      <c r="O413" s="619">
        <v>223.85</v>
      </c>
      <c r="P413" s="640">
        <v>1</v>
      </c>
      <c r="Q413" s="620">
        <v>223.85</v>
      </c>
    </row>
    <row r="414" spans="1:17" ht="14.4" customHeight="1" x14ac:dyDescent="0.3">
      <c r="A414" s="615" t="s">
        <v>479</v>
      </c>
      <c r="B414" s="616" t="s">
        <v>3591</v>
      </c>
      <c r="C414" s="616" t="s">
        <v>4140</v>
      </c>
      <c r="D414" s="616" t="s">
        <v>4278</v>
      </c>
      <c r="E414" s="616" t="s">
        <v>4279</v>
      </c>
      <c r="F414" s="619"/>
      <c r="G414" s="619"/>
      <c r="H414" s="619"/>
      <c r="I414" s="619"/>
      <c r="J414" s="619"/>
      <c r="K414" s="619"/>
      <c r="L414" s="619"/>
      <c r="M414" s="619"/>
      <c r="N414" s="619">
        <v>2</v>
      </c>
      <c r="O414" s="619">
        <v>13194.16</v>
      </c>
      <c r="P414" s="640"/>
      <c r="Q414" s="620">
        <v>6597.08</v>
      </c>
    </row>
    <row r="415" spans="1:17" ht="14.4" customHeight="1" x14ac:dyDescent="0.3">
      <c r="A415" s="615" t="s">
        <v>479</v>
      </c>
      <c r="B415" s="616" t="s">
        <v>3591</v>
      </c>
      <c r="C415" s="616" t="s">
        <v>4140</v>
      </c>
      <c r="D415" s="616" t="s">
        <v>4280</v>
      </c>
      <c r="E415" s="616" t="s">
        <v>4281</v>
      </c>
      <c r="F415" s="619"/>
      <c r="G415" s="619"/>
      <c r="H415" s="619"/>
      <c r="I415" s="619"/>
      <c r="J415" s="619">
        <v>2</v>
      </c>
      <c r="K415" s="619">
        <v>817.48</v>
      </c>
      <c r="L415" s="619"/>
      <c r="M415" s="619">
        <v>408.74</v>
      </c>
      <c r="N415" s="619">
        <v>1</v>
      </c>
      <c r="O415" s="619">
        <v>408.74</v>
      </c>
      <c r="P415" s="640"/>
      <c r="Q415" s="620">
        <v>408.74</v>
      </c>
    </row>
    <row r="416" spans="1:17" ht="14.4" customHeight="1" x14ac:dyDescent="0.3">
      <c r="A416" s="615" t="s">
        <v>479</v>
      </c>
      <c r="B416" s="616" t="s">
        <v>3591</v>
      </c>
      <c r="C416" s="616" t="s">
        <v>4140</v>
      </c>
      <c r="D416" s="616" t="s">
        <v>4282</v>
      </c>
      <c r="E416" s="616" t="s">
        <v>4283</v>
      </c>
      <c r="F416" s="619">
        <v>4</v>
      </c>
      <c r="G416" s="619">
        <v>14856.88</v>
      </c>
      <c r="H416" s="619">
        <v>1</v>
      </c>
      <c r="I416" s="619">
        <v>3714.22</v>
      </c>
      <c r="J416" s="619">
        <v>3</v>
      </c>
      <c r="K416" s="619">
        <v>11142.66</v>
      </c>
      <c r="L416" s="619">
        <v>0.75</v>
      </c>
      <c r="M416" s="619">
        <v>3714.22</v>
      </c>
      <c r="N416" s="619">
        <v>6</v>
      </c>
      <c r="O416" s="619">
        <v>22285.32</v>
      </c>
      <c r="P416" s="640">
        <v>1.5</v>
      </c>
      <c r="Q416" s="620">
        <v>3714.22</v>
      </c>
    </row>
    <row r="417" spans="1:17" ht="14.4" customHeight="1" x14ac:dyDescent="0.3">
      <c r="A417" s="615" t="s">
        <v>479</v>
      </c>
      <c r="B417" s="616" t="s">
        <v>3591</v>
      </c>
      <c r="C417" s="616" t="s">
        <v>4140</v>
      </c>
      <c r="D417" s="616" t="s">
        <v>4284</v>
      </c>
      <c r="E417" s="616" t="s">
        <v>4285</v>
      </c>
      <c r="F417" s="619"/>
      <c r="G417" s="619"/>
      <c r="H417" s="619"/>
      <c r="I417" s="619"/>
      <c r="J417" s="619"/>
      <c r="K417" s="619"/>
      <c r="L417" s="619"/>
      <c r="M417" s="619"/>
      <c r="N417" s="619">
        <v>1</v>
      </c>
      <c r="O417" s="619">
        <v>19196.8</v>
      </c>
      <c r="P417" s="640"/>
      <c r="Q417" s="620">
        <v>19196.8</v>
      </c>
    </row>
    <row r="418" spans="1:17" ht="14.4" customHeight="1" x14ac:dyDescent="0.3">
      <c r="A418" s="615" t="s">
        <v>479</v>
      </c>
      <c r="B418" s="616" t="s">
        <v>3591</v>
      </c>
      <c r="C418" s="616" t="s">
        <v>4140</v>
      </c>
      <c r="D418" s="616" t="s">
        <v>4286</v>
      </c>
      <c r="E418" s="616" t="s">
        <v>4287</v>
      </c>
      <c r="F418" s="619"/>
      <c r="G418" s="619"/>
      <c r="H418" s="619"/>
      <c r="I418" s="619"/>
      <c r="J418" s="619"/>
      <c r="K418" s="619"/>
      <c r="L418" s="619"/>
      <c r="M418" s="619"/>
      <c r="N418" s="619">
        <v>2</v>
      </c>
      <c r="O418" s="619">
        <v>3330</v>
      </c>
      <c r="P418" s="640"/>
      <c r="Q418" s="620">
        <v>1665</v>
      </c>
    </row>
    <row r="419" spans="1:17" ht="14.4" customHeight="1" x14ac:dyDescent="0.3">
      <c r="A419" s="615" t="s">
        <v>479</v>
      </c>
      <c r="B419" s="616" t="s">
        <v>3591</v>
      </c>
      <c r="C419" s="616" t="s">
        <v>4140</v>
      </c>
      <c r="D419" s="616" t="s">
        <v>4288</v>
      </c>
      <c r="E419" s="616" t="s">
        <v>4289</v>
      </c>
      <c r="F419" s="619">
        <v>2</v>
      </c>
      <c r="G419" s="619">
        <v>20248.48</v>
      </c>
      <c r="H419" s="619">
        <v>1</v>
      </c>
      <c r="I419" s="619">
        <v>10124.24</v>
      </c>
      <c r="J419" s="619"/>
      <c r="K419" s="619"/>
      <c r="L419" s="619"/>
      <c r="M419" s="619"/>
      <c r="N419" s="619">
        <v>5</v>
      </c>
      <c r="O419" s="619">
        <v>50621.2</v>
      </c>
      <c r="P419" s="640">
        <v>2.5</v>
      </c>
      <c r="Q419" s="620">
        <v>10124.24</v>
      </c>
    </row>
    <row r="420" spans="1:17" ht="14.4" customHeight="1" x14ac:dyDescent="0.3">
      <c r="A420" s="615" t="s">
        <v>479</v>
      </c>
      <c r="B420" s="616" t="s">
        <v>3591</v>
      </c>
      <c r="C420" s="616" t="s">
        <v>4140</v>
      </c>
      <c r="D420" s="616" t="s">
        <v>4290</v>
      </c>
      <c r="E420" s="616" t="s">
        <v>4291</v>
      </c>
      <c r="F420" s="619"/>
      <c r="G420" s="619"/>
      <c r="H420" s="619"/>
      <c r="I420" s="619"/>
      <c r="J420" s="619"/>
      <c r="K420" s="619"/>
      <c r="L420" s="619"/>
      <c r="M420" s="619"/>
      <c r="N420" s="619">
        <v>3</v>
      </c>
      <c r="O420" s="619">
        <v>19991.13</v>
      </c>
      <c r="P420" s="640"/>
      <c r="Q420" s="620">
        <v>6663.71</v>
      </c>
    </row>
    <row r="421" spans="1:17" ht="14.4" customHeight="1" x14ac:dyDescent="0.3">
      <c r="A421" s="615" t="s">
        <v>479</v>
      </c>
      <c r="B421" s="616" t="s">
        <v>3591</v>
      </c>
      <c r="C421" s="616" t="s">
        <v>4140</v>
      </c>
      <c r="D421" s="616" t="s">
        <v>4292</v>
      </c>
      <c r="E421" s="616" t="s">
        <v>4293</v>
      </c>
      <c r="F421" s="619"/>
      <c r="G421" s="619"/>
      <c r="H421" s="619"/>
      <c r="I421" s="619"/>
      <c r="J421" s="619">
        <v>1</v>
      </c>
      <c r="K421" s="619">
        <v>2156.67</v>
      </c>
      <c r="L421" s="619"/>
      <c r="M421" s="619">
        <v>2156.67</v>
      </c>
      <c r="N421" s="619"/>
      <c r="O421" s="619"/>
      <c r="P421" s="640"/>
      <c r="Q421" s="620"/>
    </row>
    <row r="422" spans="1:17" ht="14.4" customHeight="1" x14ac:dyDescent="0.3">
      <c r="A422" s="615" t="s">
        <v>479</v>
      </c>
      <c r="B422" s="616" t="s">
        <v>3591</v>
      </c>
      <c r="C422" s="616" t="s">
        <v>4140</v>
      </c>
      <c r="D422" s="616" t="s">
        <v>4294</v>
      </c>
      <c r="E422" s="616" t="s">
        <v>4295</v>
      </c>
      <c r="F422" s="619"/>
      <c r="G422" s="619"/>
      <c r="H422" s="619"/>
      <c r="I422" s="619"/>
      <c r="J422" s="619">
        <v>1</v>
      </c>
      <c r="K422" s="619">
        <v>3938.18</v>
      </c>
      <c r="L422" s="619"/>
      <c r="M422" s="619">
        <v>3938.18</v>
      </c>
      <c r="N422" s="619"/>
      <c r="O422" s="619"/>
      <c r="P422" s="640"/>
      <c r="Q422" s="620"/>
    </row>
    <row r="423" spans="1:17" ht="14.4" customHeight="1" x14ac:dyDescent="0.3">
      <c r="A423" s="615" t="s">
        <v>479</v>
      </c>
      <c r="B423" s="616" t="s">
        <v>3591</v>
      </c>
      <c r="C423" s="616" t="s">
        <v>4140</v>
      </c>
      <c r="D423" s="616" t="s">
        <v>4296</v>
      </c>
      <c r="E423" s="616" t="s">
        <v>4297</v>
      </c>
      <c r="F423" s="619"/>
      <c r="G423" s="619"/>
      <c r="H423" s="619"/>
      <c r="I423" s="619"/>
      <c r="J423" s="619">
        <v>3</v>
      </c>
      <c r="K423" s="619">
        <v>2220</v>
      </c>
      <c r="L423" s="619"/>
      <c r="M423" s="619">
        <v>740</v>
      </c>
      <c r="N423" s="619"/>
      <c r="O423" s="619"/>
      <c r="P423" s="640"/>
      <c r="Q423" s="620"/>
    </row>
    <row r="424" spans="1:17" ht="14.4" customHeight="1" x14ac:dyDescent="0.3">
      <c r="A424" s="615" t="s">
        <v>479</v>
      </c>
      <c r="B424" s="616" t="s">
        <v>3591</v>
      </c>
      <c r="C424" s="616" t="s">
        <v>4140</v>
      </c>
      <c r="D424" s="616" t="s">
        <v>4298</v>
      </c>
      <c r="E424" s="616" t="s">
        <v>4299</v>
      </c>
      <c r="F424" s="619"/>
      <c r="G424" s="619"/>
      <c r="H424" s="619"/>
      <c r="I424" s="619"/>
      <c r="J424" s="619">
        <v>1</v>
      </c>
      <c r="K424" s="619">
        <v>1796</v>
      </c>
      <c r="L424" s="619"/>
      <c r="M424" s="619">
        <v>1796</v>
      </c>
      <c r="N424" s="619">
        <v>6</v>
      </c>
      <c r="O424" s="619">
        <v>10776</v>
      </c>
      <c r="P424" s="640"/>
      <c r="Q424" s="620">
        <v>1796</v>
      </c>
    </row>
    <row r="425" spans="1:17" ht="14.4" customHeight="1" x14ac:dyDescent="0.3">
      <c r="A425" s="615" t="s">
        <v>479</v>
      </c>
      <c r="B425" s="616" t="s">
        <v>3591</v>
      </c>
      <c r="C425" s="616" t="s">
        <v>4140</v>
      </c>
      <c r="D425" s="616" t="s">
        <v>4300</v>
      </c>
      <c r="E425" s="616" t="s">
        <v>4301</v>
      </c>
      <c r="F425" s="619">
        <v>1</v>
      </c>
      <c r="G425" s="619">
        <v>1796</v>
      </c>
      <c r="H425" s="619">
        <v>1</v>
      </c>
      <c r="I425" s="619">
        <v>1796</v>
      </c>
      <c r="J425" s="619">
        <v>1</v>
      </c>
      <c r="K425" s="619">
        <v>1796</v>
      </c>
      <c r="L425" s="619">
        <v>1</v>
      </c>
      <c r="M425" s="619">
        <v>1796</v>
      </c>
      <c r="N425" s="619">
        <v>6</v>
      </c>
      <c r="O425" s="619">
        <v>10776</v>
      </c>
      <c r="P425" s="640">
        <v>6</v>
      </c>
      <c r="Q425" s="620">
        <v>1796</v>
      </c>
    </row>
    <row r="426" spans="1:17" ht="14.4" customHeight="1" x14ac:dyDescent="0.3">
      <c r="A426" s="615" t="s">
        <v>479</v>
      </c>
      <c r="B426" s="616" t="s">
        <v>3591</v>
      </c>
      <c r="C426" s="616" t="s">
        <v>4140</v>
      </c>
      <c r="D426" s="616" t="s">
        <v>4302</v>
      </c>
      <c r="E426" s="616" t="s">
        <v>4303</v>
      </c>
      <c r="F426" s="619">
        <v>1</v>
      </c>
      <c r="G426" s="619">
        <v>1796</v>
      </c>
      <c r="H426" s="619">
        <v>1</v>
      </c>
      <c r="I426" s="619">
        <v>1796</v>
      </c>
      <c r="J426" s="619"/>
      <c r="K426" s="619"/>
      <c r="L426" s="619"/>
      <c r="M426" s="619"/>
      <c r="N426" s="619">
        <v>1</v>
      </c>
      <c r="O426" s="619">
        <v>1796</v>
      </c>
      <c r="P426" s="640">
        <v>1</v>
      </c>
      <c r="Q426" s="620">
        <v>1796</v>
      </c>
    </row>
    <row r="427" spans="1:17" ht="14.4" customHeight="1" x14ac:dyDescent="0.3">
      <c r="A427" s="615" t="s">
        <v>479</v>
      </c>
      <c r="B427" s="616" t="s">
        <v>3591</v>
      </c>
      <c r="C427" s="616" t="s">
        <v>4140</v>
      </c>
      <c r="D427" s="616" t="s">
        <v>4304</v>
      </c>
      <c r="E427" s="616" t="s">
        <v>4305</v>
      </c>
      <c r="F427" s="619">
        <v>1</v>
      </c>
      <c r="G427" s="619">
        <v>1796</v>
      </c>
      <c r="H427" s="619">
        <v>1</v>
      </c>
      <c r="I427" s="619">
        <v>1796</v>
      </c>
      <c r="J427" s="619">
        <v>3</v>
      </c>
      <c r="K427" s="619">
        <v>5388</v>
      </c>
      <c r="L427" s="619">
        <v>3</v>
      </c>
      <c r="M427" s="619">
        <v>1796</v>
      </c>
      <c r="N427" s="619">
        <v>7</v>
      </c>
      <c r="O427" s="619">
        <v>12572</v>
      </c>
      <c r="P427" s="640">
        <v>7</v>
      </c>
      <c r="Q427" s="620">
        <v>1796</v>
      </c>
    </row>
    <row r="428" spans="1:17" ht="14.4" customHeight="1" x14ac:dyDescent="0.3">
      <c r="A428" s="615" t="s">
        <v>479</v>
      </c>
      <c r="B428" s="616" t="s">
        <v>3591</v>
      </c>
      <c r="C428" s="616" t="s">
        <v>4140</v>
      </c>
      <c r="D428" s="616" t="s">
        <v>4306</v>
      </c>
      <c r="E428" s="616" t="s">
        <v>4307</v>
      </c>
      <c r="F428" s="619">
        <v>1</v>
      </c>
      <c r="G428" s="619">
        <v>1796</v>
      </c>
      <c r="H428" s="619">
        <v>1</v>
      </c>
      <c r="I428" s="619">
        <v>1796</v>
      </c>
      <c r="J428" s="619">
        <v>4</v>
      </c>
      <c r="K428" s="619">
        <v>7184</v>
      </c>
      <c r="L428" s="619">
        <v>4</v>
      </c>
      <c r="M428" s="619">
        <v>1796</v>
      </c>
      <c r="N428" s="619">
        <v>5</v>
      </c>
      <c r="O428" s="619">
        <v>8980</v>
      </c>
      <c r="P428" s="640">
        <v>5</v>
      </c>
      <c r="Q428" s="620">
        <v>1796</v>
      </c>
    </row>
    <row r="429" spans="1:17" ht="14.4" customHeight="1" x14ac:dyDescent="0.3">
      <c r="A429" s="615" t="s">
        <v>479</v>
      </c>
      <c r="B429" s="616" t="s">
        <v>3591</v>
      </c>
      <c r="C429" s="616" t="s">
        <v>4140</v>
      </c>
      <c r="D429" s="616" t="s">
        <v>4308</v>
      </c>
      <c r="E429" s="616" t="s">
        <v>4309</v>
      </c>
      <c r="F429" s="619"/>
      <c r="G429" s="619"/>
      <c r="H429" s="619"/>
      <c r="I429" s="619"/>
      <c r="J429" s="619"/>
      <c r="K429" s="619"/>
      <c r="L429" s="619"/>
      <c r="M429" s="619"/>
      <c r="N429" s="619">
        <v>2</v>
      </c>
      <c r="O429" s="619">
        <v>3592</v>
      </c>
      <c r="P429" s="640"/>
      <c r="Q429" s="620">
        <v>1796</v>
      </c>
    </row>
    <row r="430" spans="1:17" ht="14.4" customHeight="1" x14ac:dyDescent="0.3">
      <c r="A430" s="615" t="s">
        <v>479</v>
      </c>
      <c r="B430" s="616" t="s">
        <v>3591</v>
      </c>
      <c r="C430" s="616" t="s">
        <v>4140</v>
      </c>
      <c r="D430" s="616" t="s">
        <v>4310</v>
      </c>
      <c r="E430" s="616" t="s">
        <v>4311</v>
      </c>
      <c r="F430" s="619"/>
      <c r="G430" s="619"/>
      <c r="H430" s="619"/>
      <c r="I430" s="619"/>
      <c r="J430" s="619">
        <v>3</v>
      </c>
      <c r="K430" s="619">
        <v>10080</v>
      </c>
      <c r="L430" s="619"/>
      <c r="M430" s="619">
        <v>3360</v>
      </c>
      <c r="N430" s="619">
        <v>2</v>
      </c>
      <c r="O430" s="619">
        <v>6720</v>
      </c>
      <c r="P430" s="640"/>
      <c r="Q430" s="620">
        <v>3360</v>
      </c>
    </row>
    <row r="431" spans="1:17" ht="14.4" customHeight="1" x14ac:dyDescent="0.3">
      <c r="A431" s="615" t="s">
        <v>479</v>
      </c>
      <c r="B431" s="616" t="s">
        <v>3591</v>
      </c>
      <c r="C431" s="616" t="s">
        <v>4140</v>
      </c>
      <c r="D431" s="616" t="s">
        <v>4312</v>
      </c>
      <c r="E431" s="616" t="s">
        <v>4313</v>
      </c>
      <c r="F431" s="619"/>
      <c r="G431" s="619"/>
      <c r="H431" s="619"/>
      <c r="I431" s="619"/>
      <c r="J431" s="619">
        <v>1</v>
      </c>
      <c r="K431" s="619">
        <v>3360</v>
      </c>
      <c r="L431" s="619"/>
      <c r="M431" s="619">
        <v>3360</v>
      </c>
      <c r="N431" s="619"/>
      <c r="O431" s="619"/>
      <c r="P431" s="640"/>
      <c r="Q431" s="620"/>
    </row>
    <row r="432" spans="1:17" ht="14.4" customHeight="1" x14ac:dyDescent="0.3">
      <c r="A432" s="615" t="s">
        <v>479</v>
      </c>
      <c r="B432" s="616" t="s">
        <v>3591</v>
      </c>
      <c r="C432" s="616" t="s">
        <v>4140</v>
      </c>
      <c r="D432" s="616" t="s">
        <v>4314</v>
      </c>
      <c r="E432" s="616" t="s">
        <v>4315</v>
      </c>
      <c r="F432" s="619"/>
      <c r="G432" s="619"/>
      <c r="H432" s="619"/>
      <c r="I432" s="619"/>
      <c r="J432" s="619"/>
      <c r="K432" s="619"/>
      <c r="L432" s="619"/>
      <c r="M432" s="619"/>
      <c r="N432" s="619">
        <v>1</v>
      </c>
      <c r="O432" s="619">
        <v>9403</v>
      </c>
      <c r="P432" s="640"/>
      <c r="Q432" s="620">
        <v>9403</v>
      </c>
    </row>
    <row r="433" spans="1:17" ht="14.4" customHeight="1" x14ac:dyDescent="0.3">
      <c r="A433" s="615" t="s">
        <v>479</v>
      </c>
      <c r="B433" s="616" t="s">
        <v>3591</v>
      </c>
      <c r="C433" s="616" t="s">
        <v>4140</v>
      </c>
      <c r="D433" s="616" t="s">
        <v>4316</v>
      </c>
      <c r="E433" s="616" t="s">
        <v>4317</v>
      </c>
      <c r="F433" s="619">
        <v>1</v>
      </c>
      <c r="G433" s="619">
        <v>14706</v>
      </c>
      <c r="H433" s="619">
        <v>1</v>
      </c>
      <c r="I433" s="619">
        <v>14706</v>
      </c>
      <c r="J433" s="619"/>
      <c r="K433" s="619"/>
      <c r="L433" s="619"/>
      <c r="M433" s="619"/>
      <c r="N433" s="619"/>
      <c r="O433" s="619"/>
      <c r="P433" s="640"/>
      <c r="Q433" s="620"/>
    </row>
    <row r="434" spans="1:17" ht="14.4" customHeight="1" x14ac:dyDescent="0.3">
      <c r="A434" s="615" t="s">
        <v>479</v>
      </c>
      <c r="B434" s="616" t="s">
        <v>3591</v>
      </c>
      <c r="C434" s="616" t="s">
        <v>4140</v>
      </c>
      <c r="D434" s="616" t="s">
        <v>4318</v>
      </c>
      <c r="E434" s="616" t="s">
        <v>4319</v>
      </c>
      <c r="F434" s="619"/>
      <c r="G434" s="619"/>
      <c r="H434" s="619"/>
      <c r="I434" s="619"/>
      <c r="J434" s="619">
        <v>1</v>
      </c>
      <c r="K434" s="619">
        <v>9100</v>
      </c>
      <c r="L434" s="619"/>
      <c r="M434" s="619">
        <v>9100</v>
      </c>
      <c r="N434" s="619"/>
      <c r="O434" s="619"/>
      <c r="P434" s="640"/>
      <c r="Q434" s="620"/>
    </row>
    <row r="435" spans="1:17" ht="14.4" customHeight="1" x14ac:dyDescent="0.3">
      <c r="A435" s="615" t="s">
        <v>479</v>
      </c>
      <c r="B435" s="616" t="s">
        <v>3591</v>
      </c>
      <c r="C435" s="616" t="s">
        <v>4140</v>
      </c>
      <c r="D435" s="616" t="s">
        <v>4320</v>
      </c>
      <c r="E435" s="616" t="s">
        <v>4321</v>
      </c>
      <c r="F435" s="619"/>
      <c r="G435" s="619"/>
      <c r="H435" s="619"/>
      <c r="I435" s="619"/>
      <c r="J435" s="619"/>
      <c r="K435" s="619"/>
      <c r="L435" s="619"/>
      <c r="M435" s="619"/>
      <c r="N435" s="619">
        <v>1</v>
      </c>
      <c r="O435" s="619">
        <v>12019.2</v>
      </c>
      <c r="P435" s="640"/>
      <c r="Q435" s="620">
        <v>12019.2</v>
      </c>
    </row>
    <row r="436" spans="1:17" ht="14.4" customHeight="1" x14ac:dyDescent="0.3">
      <c r="A436" s="615" t="s">
        <v>479</v>
      </c>
      <c r="B436" s="616" t="s">
        <v>3591</v>
      </c>
      <c r="C436" s="616" t="s">
        <v>4140</v>
      </c>
      <c r="D436" s="616" t="s">
        <v>4322</v>
      </c>
      <c r="E436" s="616" t="s">
        <v>4323</v>
      </c>
      <c r="F436" s="619"/>
      <c r="G436" s="619"/>
      <c r="H436" s="619"/>
      <c r="I436" s="619"/>
      <c r="J436" s="619">
        <v>3</v>
      </c>
      <c r="K436" s="619">
        <v>4189.5</v>
      </c>
      <c r="L436" s="619"/>
      <c r="M436" s="619">
        <v>1396.5</v>
      </c>
      <c r="N436" s="619">
        <v>2</v>
      </c>
      <c r="O436" s="619">
        <v>2793</v>
      </c>
      <c r="P436" s="640"/>
      <c r="Q436" s="620">
        <v>1396.5</v>
      </c>
    </row>
    <row r="437" spans="1:17" ht="14.4" customHeight="1" x14ac:dyDescent="0.3">
      <c r="A437" s="615" t="s">
        <v>479</v>
      </c>
      <c r="B437" s="616" t="s">
        <v>3591</v>
      </c>
      <c r="C437" s="616" t="s">
        <v>4140</v>
      </c>
      <c r="D437" s="616" t="s">
        <v>4324</v>
      </c>
      <c r="E437" s="616" t="s">
        <v>4325</v>
      </c>
      <c r="F437" s="619"/>
      <c r="G437" s="619"/>
      <c r="H437" s="619"/>
      <c r="I437" s="619"/>
      <c r="J437" s="619">
        <v>1</v>
      </c>
      <c r="K437" s="619">
        <v>485.02</v>
      </c>
      <c r="L437" s="619"/>
      <c r="M437" s="619">
        <v>485.02</v>
      </c>
      <c r="N437" s="619"/>
      <c r="O437" s="619"/>
      <c r="P437" s="640"/>
      <c r="Q437" s="620"/>
    </row>
    <row r="438" spans="1:17" ht="14.4" customHeight="1" x14ac:dyDescent="0.3">
      <c r="A438" s="615" t="s">
        <v>479</v>
      </c>
      <c r="B438" s="616" t="s">
        <v>3591</v>
      </c>
      <c r="C438" s="616" t="s">
        <v>4140</v>
      </c>
      <c r="D438" s="616" t="s">
        <v>4326</v>
      </c>
      <c r="E438" s="616" t="s">
        <v>4325</v>
      </c>
      <c r="F438" s="619"/>
      <c r="G438" s="619"/>
      <c r="H438" s="619"/>
      <c r="I438" s="619"/>
      <c r="J438" s="619"/>
      <c r="K438" s="619"/>
      <c r="L438" s="619"/>
      <c r="M438" s="619"/>
      <c r="N438" s="619">
        <v>3</v>
      </c>
      <c r="O438" s="619">
        <v>1085.07</v>
      </c>
      <c r="P438" s="640"/>
      <c r="Q438" s="620">
        <v>361.69</v>
      </c>
    </row>
    <row r="439" spans="1:17" ht="14.4" customHeight="1" x14ac:dyDescent="0.3">
      <c r="A439" s="615" t="s">
        <v>479</v>
      </c>
      <c r="B439" s="616" t="s">
        <v>3591</v>
      </c>
      <c r="C439" s="616" t="s">
        <v>4140</v>
      </c>
      <c r="D439" s="616" t="s">
        <v>4327</v>
      </c>
      <c r="E439" s="616" t="s">
        <v>4328</v>
      </c>
      <c r="F439" s="619"/>
      <c r="G439" s="619"/>
      <c r="H439" s="619"/>
      <c r="I439" s="619"/>
      <c r="J439" s="619">
        <v>1</v>
      </c>
      <c r="K439" s="619">
        <v>4618</v>
      </c>
      <c r="L439" s="619"/>
      <c r="M439" s="619">
        <v>4618</v>
      </c>
      <c r="N439" s="619">
        <v>1</v>
      </c>
      <c r="O439" s="619">
        <v>4618</v>
      </c>
      <c r="P439" s="640"/>
      <c r="Q439" s="620">
        <v>4618</v>
      </c>
    </row>
    <row r="440" spans="1:17" ht="14.4" customHeight="1" x14ac:dyDescent="0.3">
      <c r="A440" s="615" t="s">
        <v>479</v>
      </c>
      <c r="B440" s="616" t="s">
        <v>3591</v>
      </c>
      <c r="C440" s="616" t="s">
        <v>4140</v>
      </c>
      <c r="D440" s="616" t="s">
        <v>4329</v>
      </c>
      <c r="E440" s="616" t="s">
        <v>4330</v>
      </c>
      <c r="F440" s="619"/>
      <c r="G440" s="619"/>
      <c r="H440" s="619"/>
      <c r="I440" s="619"/>
      <c r="J440" s="619">
        <v>1</v>
      </c>
      <c r="K440" s="619">
        <v>4676</v>
      </c>
      <c r="L440" s="619"/>
      <c r="M440" s="619">
        <v>4676</v>
      </c>
      <c r="N440" s="619"/>
      <c r="O440" s="619"/>
      <c r="P440" s="640"/>
      <c r="Q440" s="620"/>
    </row>
    <row r="441" spans="1:17" ht="14.4" customHeight="1" x14ac:dyDescent="0.3">
      <c r="A441" s="615" t="s">
        <v>479</v>
      </c>
      <c r="B441" s="616" t="s">
        <v>3591</v>
      </c>
      <c r="C441" s="616" t="s">
        <v>4140</v>
      </c>
      <c r="D441" s="616" t="s">
        <v>4331</v>
      </c>
      <c r="E441" s="616" t="s">
        <v>4332</v>
      </c>
      <c r="F441" s="619"/>
      <c r="G441" s="619"/>
      <c r="H441" s="619"/>
      <c r="I441" s="619"/>
      <c r="J441" s="619">
        <v>4</v>
      </c>
      <c r="K441" s="619">
        <v>2368</v>
      </c>
      <c r="L441" s="619"/>
      <c r="M441" s="619">
        <v>592</v>
      </c>
      <c r="N441" s="619"/>
      <c r="O441" s="619"/>
      <c r="P441" s="640"/>
      <c r="Q441" s="620"/>
    </row>
    <row r="442" spans="1:17" ht="14.4" customHeight="1" x14ac:dyDescent="0.3">
      <c r="A442" s="615" t="s">
        <v>479</v>
      </c>
      <c r="B442" s="616" t="s">
        <v>3591</v>
      </c>
      <c r="C442" s="616" t="s">
        <v>4140</v>
      </c>
      <c r="D442" s="616" t="s">
        <v>4333</v>
      </c>
      <c r="E442" s="616" t="s">
        <v>4334</v>
      </c>
      <c r="F442" s="619">
        <v>1</v>
      </c>
      <c r="G442" s="619">
        <v>13091</v>
      </c>
      <c r="H442" s="619">
        <v>1</v>
      </c>
      <c r="I442" s="619">
        <v>13091</v>
      </c>
      <c r="J442" s="619"/>
      <c r="K442" s="619"/>
      <c r="L442" s="619"/>
      <c r="M442" s="619"/>
      <c r="N442" s="619">
        <v>1</v>
      </c>
      <c r="O442" s="619">
        <v>13091</v>
      </c>
      <c r="P442" s="640">
        <v>1</v>
      </c>
      <c r="Q442" s="620">
        <v>13091</v>
      </c>
    </row>
    <row r="443" spans="1:17" ht="14.4" customHeight="1" x14ac:dyDescent="0.3">
      <c r="A443" s="615" t="s">
        <v>479</v>
      </c>
      <c r="B443" s="616" t="s">
        <v>3591</v>
      </c>
      <c r="C443" s="616" t="s">
        <v>4140</v>
      </c>
      <c r="D443" s="616" t="s">
        <v>4335</v>
      </c>
      <c r="E443" s="616" t="s">
        <v>4336</v>
      </c>
      <c r="F443" s="619">
        <v>1</v>
      </c>
      <c r="G443" s="619">
        <v>5918.67</v>
      </c>
      <c r="H443" s="619">
        <v>1</v>
      </c>
      <c r="I443" s="619">
        <v>5918.67</v>
      </c>
      <c r="J443" s="619"/>
      <c r="K443" s="619"/>
      <c r="L443" s="619"/>
      <c r="M443" s="619"/>
      <c r="N443" s="619">
        <v>1</v>
      </c>
      <c r="O443" s="619">
        <v>5918.67</v>
      </c>
      <c r="P443" s="640">
        <v>1</v>
      </c>
      <c r="Q443" s="620">
        <v>5918.67</v>
      </c>
    </row>
    <row r="444" spans="1:17" ht="14.4" customHeight="1" x14ac:dyDescent="0.3">
      <c r="A444" s="615" t="s">
        <v>479</v>
      </c>
      <c r="B444" s="616" t="s">
        <v>3591</v>
      </c>
      <c r="C444" s="616" t="s">
        <v>4140</v>
      </c>
      <c r="D444" s="616" t="s">
        <v>4337</v>
      </c>
      <c r="E444" s="616" t="s">
        <v>4336</v>
      </c>
      <c r="F444" s="619">
        <v>4</v>
      </c>
      <c r="G444" s="619">
        <v>11549.24</v>
      </c>
      <c r="H444" s="619">
        <v>1</v>
      </c>
      <c r="I444" s="619">
        <v>2887.31</v>
      </c>
      <c r="J444" s="619"/>
      <c r="K444" s="619"/>
      <c r="L444" s="619"/>
      <c r="M444" s="619"/>
      <c r="N444" s="619">
        <v>4</v>
      </c>
      <c r="O444" s="619">
        <v>11549.24</v>
      </c>
      <c r="P444" s="640">
        <v>1</v>
      </c>
      <c r="Q444" s="620">
        <v>2887.31</v>
      </c>
    </row>
    <row r="445" spans="1:17" ht="14.4" customHeight="1" x14ac:dyDescent="0.3">
      <c r="A445" s="615" t="s">
        <v>479</v>
      </c>
      <c r="B445" s="616" t="s">
        <v>3591</v>
      </c>
      <c r="C445" s="616" t="s">
        <v>4140</v>
      </c>
      <c r="D445" s="616" t="s">
        <v>4338</v>
      </c>
      <c r="E445" s="616" t="s">
        <v>4339</v>
      </c>
      <c r="F445" s="619">
        <v>8</v>
      </c>
      <c r="G445" s="619">
        <v>65064</v>
      </c>
      <c r="H445" s="619">
        <v>1</v>
      </c>
      <c r="I445" s="619">
        <v>8133</v>
      </c>
      <c r="J445" s="619">
        <v>8</v>
      </c>
      <c r="K445" s="619">
        <v>65064</v>
      </c>
      <c r="L445" s="619">
        <v>1</v>
      </c>
      <c r="M445" s="619">
        <v>8133</v>
      </c>
      <c r="N445" s="619">
        <v>4</v>
      </c>
      <c r="O445" s="619">
        <v>32532</v>
      </c>
      <c r="P445" s="640">
        <v>0.5</v>
      </c>
      <c r="Q445" s="620">
        <v>8133</v>
      </c>
    </row>
    <row r="446" spans="1:17" ht="14.4" customHeight="1" x14ac:dyDescent="0.3">
      <c r="A446" s="615" t="s">
        <v>479</v>
      </c>
      <c r="B446" s="616" t="s">
        <v>3591</v>
      </c>
      <c r="C446" s="616" t="s">
        <v>4140</v>
      </c>
      <c r="D446" s="616" t="s">
        <v>4340</v>
      </c>
      <c r="E446" s="616" t="s">
        <v>4339</v>
      </c>
      <c r="F446" s="619">
        <v>4</v>
      </c>
      <c r="G446" s="619">
        <v>22996</v>
      </c>
      <c r="H446" s="619">
        <v>1</v>
      </c>
      <c r="I446" s="619">
        <v>5749</v>
      </c>
      <c r="J446" s="619">
        <v>4</v>
      </c>
      <c r="K446" s="619">
        <v>22996</v>
      </c>
      <c r="L446" s="619">
        <v>1</v>
      </c>
      <c r="M446" s="619">
        <v>5749</v>
      </c>
      <c r="N446" s="619">
        <v>2</v>
      </c>
      <c r="O446" s="619">
        <v>11498</v>
      </c>
      <c r="P446" s="640">
        <v>0.5</v>
      </c>
      <c r="Q446" s="620">
        <v>5749</v>
      </c>
    </row>
    <row r="447" spans="1:17" ht="14.4" customHeight="1" x14ac:dyDescent="0.3">
      <c r="A447" s="615" t="s">
        <v>479</v>
      </c>
      <c r="B447" s="616" t="s">
        <v>3591</v>
      </c>
      <c r="C447" s="616" t="s">
        <v>4140</v>
      </c>
      <c r="D447" s="616" t="s">
        <v>4341</v>
      </c>
      <c r="E447" s="616" t="s">
        <v>4342</v>
      </c>
      <c r="F447" s="619">
        <v>8</v>
      </c>
      <c r="G447" s="619">
        <v>21776</v>
      </c>
      <c r="H447" s="619">
        <v>1</v>
      </c>
      <c r="I447" s="619">
        <v>2722</v>
      </c>
      <c r="J447" s="619">
        <v>8</v>
      </c>
      <c r="K447" s="619">
        <v>21776</v>
      </c>
      <c r="L447" s="619">
        <v>1</v>
      </c>
      <c r="M447" s="619">
        <v>2722</v>
      </c>
      <c r="N447" s="619">
        <v>4</v>
      </c>
      <c r="O447" s="619">
        <v>10888</v>
      </c>
      <c r="P447" s="640">
        <v>0.5</v>
      </c>
      <c r="Q447" s="620">
        <v>2722</v>
      </c>
    </row>
    <row r="448" spans="1:17" ht="14.4" customHeight="1" x14ac:dyDescent="0.3">
      <c r="A448" s="615" t="s">
        <v>479</v>
      </c>
      <c r="B448" s="616" t="s">
        <v>3591</v>
      </c>
      <c r="C448" s="616" t="s">
        <v>4140</v>
      </c>
      <c r="D448" s="616" t="s">
        <v>4343</v>
      </c>
      <c r="E448" s="616" t="s">
        <v>4344</v>
      </c>
      <c r="F448" s="619">
        <v>31</v>
      </c>
      <c r="G448" s="619">
        <v>17251.5</v>
      </c>
      <c r="H448" s="619">
        <v>1</v>
      </c>
      <c r="I448" s="619">
        <v>556.5</v>
      </c>
      <c r="J448" s="619">
        <v>39</v>
      </c>
      <c r="K448" s="619">
        <v>21703.5</v>
      </c>
      <c r="L448" s="619">
        <v>1.2580645161290323</v>
      </c>
      <c r="M448" s="619">
        <v>556.5</v>
      </c>
      <c r="N448" s="619">
        <v>24</v>
      </c>
      <c r="O448" s="619">
        <v>13356</v>
      </c>
      <c r="P448" s="640">
        <v>0.77419354838709675</v>
      </c>
      <c r="Q448" s="620">
        <v>556.5</v>
      </c>
    </row>
    <row r="449" spans="1:17" ht="14.4" customHeight="1" x14ac:dyDescent="0.3">
      <c r="A449" s="615" t="s">
        <v>479</v>
      </c>
      <c r="B449" s="616" t="s">
        <v>3591</v>
      </c>
      <c r="C449" s="616" t="s">
        <v>4140</v>
      </c>
      <c r="D449" s="616" t="s">
        <v>4345</v>
      </c>
      <c r="E449" s="616" t="s">
        <v>4346</v>
      </c>
      <c r="F449" s="619">
        <v>1</v>
      </c>
      <c r="G449" s="619">
        <v>852.31</v>
      </c>
      <c r="H449" s="619">
        <v>1</v>
      </c>
      <c r="I449" s="619">
        <v>852.31</v>
      </c>
      <c r="J449" s="619"/>
      <c r="K449" s="619"/>
      <c r="L449" s="619"/>
      <c r="M449" s="619"/>
      <c r="N449" s="619">
        <v>3</v>
      </c>
      <c r="O449" s="619">
        <v>2556.9299999999998</v>
      </c>
      <c r="P449" s="640">
        <v>3</v>
      </c>
      <c r="Q449" s="620">
        <v>852.31</v>
      </c>
    </row>
    <row r="450" spans="1:17" ht="14.4" customHeight="1" x14ac:dyDescent="0.3">
      <c r="A450" s="615" t="s">
        <v>479</v>
      </c>
      <c r="B450" s="616" t="s">
        <v>3591</v>
      </c>
      <c r="C450" s="616" t="s">
        <v>4140</v>
      </c>
      <c r="D450" s="616" t="s">
        <v>4347</v>
      </c>
      <c r="E450" s="616" t="s">
        <v>4348</v>
      </c>
      <c r="F450" s="619"/>
      <c r="G450" s="619"/>
      <c r="H450" s="619"/>
      <c r="I450" s="619"/>
      <c r="J450" s="619"/>
      <c r="K450" s="619"/>
      <c r="L450" s="619"/>
      <c r="M450" s="619"/>
      <c r="N450" s="619">
        <v>2</v>
      </c>
      <c r="O450" s="619">
        <v>9470.7000000000007</v>
      </c>
      <c r="P450" s="640"/>
      <c r="Q450" s="620">
        <v>4735.3500000000004</v>
      </c>
    </row>
    <row r="451" spans="1:17" ht="14.4" customHeight="1" x14ac:dyDescent="0.3">
      <c r="A451" s="615" t="s">
        <v>479</v>
      </c>
      <c r="B451" s="616" t="s">
        <v>3591</v>
      </c>
      <c r="C451" s="616" t="s">
        <v>4140</v>
      </c>
      <c r="D451" s="616" t="s">
        <v>4349</v>
      </c>
      <c r="E451" s="616" t="s">
        <v>4350</v>
      </c>
      <c r="F451" s="619"/>
      <c r="G451" s="619"/>
      <c r="H451" s="619"/>
      <c r="I451" s="619"/>
      <c r="J451" s="619"/>
      <c r="K451" s="619"/>
      <c r="L451" s="619"/>
      <c r="M451" s="619"/>
      <c r="N451" s="619">
        <v>2</v>
      </c>
      <c r="O451" s="619">
        <v>15986.32</v>
      </c>
      <c r="P451" s="640"/>
      <c r="Q451" s="620">
        <v>7993.16</v>
      </c>
    </row>
    <row r="452" spans="1:17" ht="14.4" customHeight="1" x14ac:dyDescent="0.3">
      <c r="A452" s="615" t="s">
        <v>479</v>
      </c>
      <c r="B452" s="616" t="s">
        <v>3591</v>
      </c>
      <c r="C452" s="616" t="s">
        <v>4140</v>
      </c>
      <c r="D452" s="616" t="s">
        <v>4351</v>
      </c>
      <c r="E452" s="616" t="s">
        <v>4352</v>
      </c>
      <c r="F452" s="619"/>
      <c r="G452" s="619"/>
      <c r="H452" s="619"/>
      <c r="I452" s="619"/>
      <c r="J452" s="619"/>
      <c r="K452" s="619"/>
      <c r="L452" s="619"/>
      <c r="M452" s="619"/>
      <c r="N452" s="619">
        <v>2</v>
      </c>
      <c r="O452" s="619">
        <v>5732.54</v>
      </c>
      <c r="P452" s="640"/>
      <c r="Q452" s="620">
        <v>2866.27</v>
      </c>
    </row>
    <row r="453" spans="1:17" ht="14.4" customHeight="1" x14ac:dyDescent="0.3">
      <c r="A453" s="615" t="s">
        <v>479</v>
      </c>
      <c r="B453" s="616" t="s">
        <v>3591</v>
      </c>
      <c r="C453" s="616" t="s">
        <v>4140</v>
      </c>
      <c r="D453" s="616" t="s">
        <v>4353</v>
      </c>
      <c r="E453" s="616" t="s">
        <v>4354</v>
      </c>
      <c r="F453" s="619"/>
      <c r="G453" s="619"/>
      <c r="H453" s="619"/>
      <c r="I453" s="619"/>
      <c r="J453" s="619"/>
      <c r="K453" s="619"/>
      <c r="L453" s="619"/>
      <c r="M453" s="619"/>
      <c r="N453" s="619">
        <v>0.1</v>
      </c>
      <c r="O453" s="619">
        <v>177.31</v>
      </c>
      <c r="P453" s="640"/>
      <c r="Q453" s="620">
        <v>1773.1</v>
      </c>
    </row>
    <row r="454" spans="1:17" ht="14.4" customHeight="1" x14ac:dyDescent="0.3">
      <c r="A454" s="615" t="s">
        <v>479</v>
      </c>
      <c r="B454" s="616" t="s">
        <v>3591</v>
      </c>
      <c r="C454" s="616" t="s">
        <v>4140</v>
      </c>
      <c r="D454" s="616" t="s">
        <v>4355</v>
      </c>
      <c r="E454" s="616" t="s">
        <v>4155</v>
      </c>
      <c r="F454" s="619">
        <v>0.89999999999999991</v>
      </c>
      <c r="G454" s="619">
        <v>226.81</v>
      </c>
      <c r="H454" s="619">
        <v>1</v>
      </c>
      <c r="I454" s="619">
        <v>252.01111111111115</v>
      </c>
      <c r="J454" s="619">
        <v>2.6</v>
      </c>
      <c r="K454" s="619">
        <v>655.27</v>
      </c>
      <c r="L454" s="619">
        <v>2.889070146818923</v>
      </c>
      <c r="M454" s="619">
        <v>252.02692307692305</v>
      </c>
      <c r="N454" s="619">
        <v>6.6</v>
      </c>
      <c r="O454" s="619">
        <v>1663.37</v>
      </c>
      <c r="P454" s="640">
        <v>7.3337595344120627</v>
      </c>
      <c r="Q454" s="620">
        <v>252.02575757575758</v>
      </c>
    </row>
    <row r="455" spans="1:17" ht="14.4" customHeight="1" x14ac:dyDescent="0.3">
      <c r="A455" s="615" t="s">
        <v>479</v>
      </c>
      <c r="B455" s="616" t="s">
        <v>3591</v>
      </c>
      <c r="C455" s="616" t="s">
        <v>4140</v>
      </c>
      <c r="D455" s="616" t="s">
        <v>4356</v>
      </c>
      <c r="E455" s="616" t="s">
        <v>4155</v>
      </c>
      <c r="F455" s="619">
        <v>1</v>
      </c>
      <c r="G455" s="619">
        <v>547.20000000000005</v>
      </c>
      <c r="H455" s="619">
        <v>1</v>
      </c>
      <c r="I455" s="619">
        <v>547.20000000000005</v>
      </c>
      <c r="J455" s="619"/>
      <c r="K455" s="619"/>
      <c r="L455" s="619"/>
      <c r="M455" s="619"/>
      <c r="N455" s="619">
        <v>39</v>
      </c>
      <c r="O455" s="619">
        <v>21340.799999999999</v>
      </c>
      <c r="P455" s="640">
        <v>38.999999999999993</v>
      </c>
      <c r="Q455" s="620">
        <v>547.19999999999993</v>
      </c>
    </row>
    <row r="456" spans="1:17" ht="14.4" customHeight="1" x14ac:dyDescent="0.3">
      <c r="A456" s="615" t="s">
        <v>479</v>
      </c>
      <c r="B456" s="616" t="s">
        <v>3591</v>
      </c>
      <c r="C456" s="616" t="s">
        <v>4140</v>
      </c>
      <c r="D456" s="616" t="s">
        <v>4357</v>
      </c>
      <c r="E456" s="616" t="s">
        <v>4155</v>
      </c>
      <c r="F456" s="619">
        <v>24</v>
      </c>
      <c r="G456" s="619">
        <v>44372.880000000005</v>
      </c>
      <c r="H456" s="619">
        <v>1</v>
      </c>
      <c r="I456" s="619">
        <v>1848.8700000000001</v>
      </c>
      <c r="J456" s="619">
        <v>25</v>
      </c>
      <c r="K456" s="619">
        <v>46221.75</v>
      </c>
      <c r="L456" s="619">
        <v>1.0416666666666665</v>
      </c>
      <c r="M456" s="619">
        <v>1848.87</v>
      </c>
      <c r="N456" s="619">
        <v>72</v>
      </c>
      <c r="O456" s="619">
        <v>133118.64000000001</v>
      </c>
      <c r="P456" s="640">
        <v>3</v>
      </c>
      <c r="Q456" s="620">
        <v>1848.8700000000001</v>
      </c>
    </row>
    <row r="457" spans="1:17" ht="14.4" customHeight="1" x14ac:dyDescent="0.3">
      <c r="A457" s="615" t="s">
        <v>479</v>
      </c>
      <c r="B457" s="616" t="s">
        <v>3591</v>
      </c>
      <c r="C457" s="616" t="s">
        <v>4140</v>
      </c>
      <c r="D457" s="616" t="s">
        <v>4358</v>
      </c>
      <c r="E457" s="616" t="s">
        <v>4359</v>
      </c>
      <c r="F457" s="619"/>
      <c r="G457" s="619"/>
      <c r="H457" s="619"/>
      <c r="I457" s="619"/>
      <c r="J457" s="619"/>
      <c r="K457" s="619"/>
      <c r="L457" s="619"/>
      <c r="M457" s="619"/>
      <c r="N457" s="619">
        <v>5</v>
      </c>
      <c r="O457" s="619">
        <v>7563.4000000000005</v>
      </c>
      <c r="P457" s="640"/>
      <c r="Q457" s="620">
        <v>1512.68</v>
      </c>
    </row>
    <row r="458" spans="1:17" ht="14.4" customHeight="1" x14ac:dyDescent="0.3">
      <c r="A458" s="615" t="s">
        <v>479</v>
      </c>
      <c r="B458" s="616" t="s">
        <v>3591</v>
      </c>
      <c r="C458" s="616" t="s">
        <v>4140</v>
      </c>
      <c r="D458" s="616" t="s">
        <v>4360</v>
      </c>
      <c r="E458" s="616" t="s">
        <v>4361</v>
      </c>
      <c r="F458" s="619"/>
      <c r="G458" s="619"/>
      <c r="H458" s="619"/>
      <c r="I458" s="619"/>
      <c r="J458" s="619"/>
      <c r="K458" s="619"/>
      <c r="L458" s="619"/>
      <c r="M458" s="619"/>
      <c r="N458" s="619">
        <v>1</v>
      </c>
      <c r="O458" s="619">
        <v>22843.53</v>
      </c>
      <c r="P458" s="640"/>
      <c r="Q458" s="620">
        <v>22843.53</v>
      </c>
    </row>
    <row r="459" spans="1:17" ht="14.4" customHeight="1" x14ac:dyDescent="0.3">
      <c r="A459" s="615" t="s">
        <v>479</v>
      </c>
      <c r="B459" s="616" t="s">
        <v>3591</v>
      </c>
      <c r="C459" s="616" t="s">
        <v>4140</v>
      </c>
      <c r="D459" s="616" t="s">
        <v>4362</v>
      </c>
      <c r="E459" s="616" t="s">
        <v>4363</v>
      </c>
      <c r="F459" s="619"/>
      <c r="G459" s="619"/>
      <c r="H459" s="619"/>
      <c r="I459" s="619"/>
      <c r="J459" s="619"/>
      <c r="K459" s="619"/>
      <c r="L459" s="619"/>
      <c r="M459" s="619"/>
      <c r="N459" s="619">
        <v>2</v>
      </c>
      <c r="O459" s="619">
        <v>16982.919999999998</v>
      </c>
      <c r="P459" s="640"/>
      <c r="Q459" s="620">
        <v>8491.4599999999991</v>
      </c>
    </row>
    <row r="460" spans="1:17" ht="14.4" customHeight="1" x14ac:dyDescent="0.3">
      <c r="A460" s="615" t="s">
        <v>479</v>
      </c>
      <c r="B460" s="616" t="s">
        <v>3591</v>
      </c>
      <c r="C460" s="616" t="s">
        <v>4140</v>
      </c>
      <c r="D460" s="616" t="s">
        <v>4364</v>
      </c>
      <c r="E460" s="616" t="s">
        <v>4365</v>
      </c>
      <c r="F460" s="619"/>
      <c r="G460" s="619"/>
      <c r="H460" s="619"/>
      <c r="I460" s="619"/>
      <c r="J460" s="619"/>
      <c r="K460" s="619"/>
      <c r="L460" s="619"/>
      <c r="M460" s="619"/>
      <c r="N460" s="619">
        <v>9</v>
      </c>
      <c r="O460" s="619">
        <v>26993.159999999996</v>
      </c>
      <c r="P460" s="640"/>
      <c r="Q460" s="620">
        <v>2999.24</v>
      </c>
    </row>
    <row r="461" spans="1:17" ht="14.4" customHeight="1" x14ac:dyDescent="0.3">
      <c r="A461" s="615" t="s">
        <v>479</v>
      </c>
      <c r="B461" s="616" t="s">
        <v>3591</v>
      </c>
      <c r="C461" s="616" t="s">
        <v>4140</v>
      </c>
      <c r="D461" s="616" t="s">
        <v>4366</v>
      </c>
      <c r="E461" s="616" t="s">
        <v>4367</v>
      </c>
      <c r="F461" s="619">
        <v>1</v>
      </c>
      <c r="G461" s="619">
        <v>1233.27</v>
      </c>
      <c r="H461" s="619">
        <v>1</v>
      </c>
      <c r="I461" s="619">
        <v>1233.27</v>
      </c>
      <c r="J461" s="619"/>
      <c r="K461" s="619"/>
      <c r="L461" s="619"/>
      <c r="M461" s="619"/>
      <c r="N461" s="619"/>
      <c r="O461" s="619"/>
      <c r="P461" s="640"/>
      <c r="Q461" s="620"/>
    </row>
    <row r="462" spans="1:17" ht="14.4" customHeight="1" x14ac:dyDescent="0.3">
      <c r="A462" s="615" t="s">
        <v>479</v>
      </c>
      <c r="B462" s="616" t="s">
        <v>3591</v>
      </c>
      <c r="C462" s="616" t="s">
        <v>4140</v>
      </c>
      <c r="D462" s="616" t="s">
        <v>4368</v>
      </c>
      <c r="E462" s="616" t="s">
        <v>4369</v>
      </c>
      <c r="F462" s="619">
        <v>1</v>
      </c>
      <c r="G462" s="619">
        <v>5774.62</v>
      </c>
      <c r="H462" s="619">
        <v>1</v>
      </c>
      <c r="I462" s="619">
        <v>5774.62</v>
      </c>
      <c r="J462" s="619"/>
      <c r="K462" s="619"/>
      <c r="L462" s="619"/>
      <c r="M462" s="619"/>
      <c r="N462" s="619"/>
      <c r="O462" s="619"/>
      <c r="P462" s="640"/>
      <c r="Q462" s="620"/>
    </row>
    <row r="463" spans="1:17" ht="14.4" customHeight="1" x14ac:dyDescent="0.3">
      <c r="A463" s="615" t="s">
        <v>479</v>
      </c>
      <c r="B463" s="616" t="s">
        <v>3591</v>
      </c>
      <c r="C463" s="616" t="s">
        <v>4140</v>
      </c>
      <c r="D463" s="616" t="s">
        <v>4370</v>
      </c>
      <c r="E463" s="616" t="s">
        <v>4371</v>
      </c>
      <c r="F463" s="619">
        <v>1</v>
      </c>
      <c r="G463" s="619">
        <v>8704.42</v>
      </c>
      <c r="H463" s="619">
        <v>1</v>
      </c>
      <c r="I463" s="619">
        <v>8704.42</v>
      </c>
      <c r="J463" s="619"/>
      <c r="K463" s="619"/>
      <c r="L463" s="619"/>
      <c r="M463" s="619"/>
      <c r="N463" s="619"/>
      <c r="O463" s="619"/>
      <c r="P463" s="640"/>
      <c r="Q463" s="620"/>
    </row>
    <row r="464" spans="1:17" ht="14.4" customHeight="1" x14ac:dyDescent="0.3">
      <c r="A464" s="615" t="s">
        <v>479</v>
      </c>
      <c r="B464" s="616" t="s">
        <v>3591</v>
      </c>
      <c r="C464" s="616" t="s">
        <v>4140</v>
      </c>
      <c r="D464" s="616" t="s">
        <v>4372</v>
      </c>
      <c r="E464" s="616" t="s">
        <v>4373</v>
      </c>
      <c r="F464" s="619">
        <v>1</v>
      </c>
      <c r="G464" s="619">
        <v>1664.4</v>
      </c>
      <c r="H464" s="619">
        <v>1</v>
      </c>
      <c r="I464" s="619">
        <v>1664.4</v>
      </c>
      <c r="J464" s="619"/>
      <c r="K464" s="619"/>
      <c r="L464" s="619"/>
      <c r="M464" s="619"/>
      <c r="N464" s="619"/>
      <c r="O464" s="619"/>
      <c r="P464" s="640"/>
      <c r="Q464" s="620"/>
    </row>
    <row r="465" spans="1:17" ht="14.4" customHeight="1" x14ac:dyDescent="0.3">
      <c r="A465" s="615" t="s">
        <v>479</v>
      </c>
      <c r="B465" s="616" t="s">
        <v>3591</v>
      </c>
      <c r="C465" s="616" t="s">
        <v>4140</v>
      </c>
      <c r="D465" s="616" t="s">
        <v>4374</v>
      </c>
      <c r="E465" s="616" t="s">
        <v>4375</v>
      </c>
      <c r="F465" s="619">
        <v>3</v>
      </c>
      <c r="G465" s="619">
        <v>3114</v>
      </c>
      <c r="H465" s="619">
        <v>1</v>
      </c>
      <c r="I465" s="619">
        <v>1038</v>
      </c>
      <c r="J465" s="619"/>
      <c r="K465" s="619"/>
      <c r="L465" s="619"/>
      <c r="M465" s="619"/>
      <c r="N465" s="619"/>
      <c r="O465" s="619"/>
      <c r="P465" s="640"/>
      <c r="Q465" s="620"/>
    </row>
    <row r="466" spans="1:17" ht="14.4" customHeight="1" x14ac:dyDescent="0.3">
      <c r="A466" s="615" t="s">
        <v>479</v>
      </c>
      <c r="B466" s="616" t="s">
        <v>3591</v>
      </c>
      <c r="C466" s="616" t="s">
        <v>4140</v>
      </c>
      <c r="D466" s="616" t="s">
        <v>4376</v>
      </c>
      <c r="E466" s="616" t="s">
        <v>4377</v>
      </c>
      <c r="F466" s="619">
        <v>28</v>
      </c>
      <c r="G466" s="619">
        <v>36736</v>
      </c>
      <c r="H466" s="619">
        <v>1</v>
      </c>
      <c r="I466" s="619">
        <v>1312</v>
      </c>
      <c r="J466" s="619"/>
      <c r="K466" s="619"/>
      <c r="L466" s="619"/>
      <c r="M466" s="619"/>
      <c r="N466" s="619">
        <v>2</v>
      </c>
      <c r="O466" s="619">
        <v>2624</v>
      </c>
      <c r="P466" s="640">
        <v>7.1428571428571425E-2</v>
      </c>
      <c r="Q466" s="620">
        <v>1312</v>
      </c>
    </row>
    <row r="467" spans="1:17" ht="14.4" customHeight="1" x14ac:dyDescent="0.3">
      <c r="A467" s="615" t="s">
        <v>479</v>
      </c>
      <c r="B467" s="616" t="s">
        <v>3591</v>
      </c>
      <c r="C467" s="616" t="s">
        <v>4140</v>
      </c>
      <c r="D467" s="616" t="s">
        <v>4378</v>
      </c>
      <c r="E467" s="616" t="s">
        <v>4379</v>
      </c>
      <c r="F467" s="619">
        <v>14</v>
      </c>
      <c r="G467" s="619">
        <v>21840</v>
      </c>
      <c r="H467" s="619">
        <v>1</v>
      </c>
      <c r="I467" s="619">
        <v>1560</v>
      </c>
      <c r="J467" s="619">
        <v>1</v>
      </c>
      <c r="K467" s="619">
        <v>1560</v>
      </c>
      <c r="L467" s="619">
        <v>7.1428571428571425E-2</v>
      </c>
      <c r="M467" s="619">
        <v>1560</v>
      </c>
      <c r="N467" s="619"/>
      <c r="O467" s="619"/>
      <c r="P467" s="640"/>
      <c r="Q467" s="620"/>
    </row>
    <row r="468" spans="1:17" ht="14.4" customHeight="1" x14ac:dyDescent="0.3">
      <c r="A468" s="615" t="s">
        <v>479</v>
      </c>
      <c r="B468" s="616" t="s">
        <v>3591</v>
      </c>
      <c r="C468" s="616" t="s">
        <v>4140</v>
      </c>
      <c r="D468" s="616" t="s">
        <v>4380</v>
      </c>
      <c r="E468" s="616" t="s">
        <v>4381</v>
      </c>
      <c r="F468" s="619"/>
      <c r="G468" s="619"/>
      <c r="H468" s="619"/>
      <c r="I468" s="619"/>
      <c r="J468" s="619">
        <v>47</v>
      </c>
      <c r="K468" s="619">
        <v>4540.2</v>
      </c>
      <c r="L468" s="619"/>
      <c r="M468" s="619">
        <v>96.6</v>
      </c>
      <c r="N468" s="619">
        <v>19</v>
      </c>
      <c r="O468" s="619">
        <v>1835.4</v>
      </c>
      <c r="P468" s="640"/>
      <c r="Q468" s="620">
        <v>96.600000000000009</v>
      </c>
    </row>
    <row r="469" spans="1:17" ht="14.4" customHeight="1" x14ac:dyDescent="0.3">
      <c r="A469" s="615" t="s">
        <v>479</v>
      </c>
      <c r="B469" s="616" t="s">
        <v>3591</v>
      </c>
      <c r="C469" s="616" t="s">
        <v>4140</v>
      </c>
      <c r="D469" s="616" t="s">
        <v>4382</v>
      </c>
      <c r="E469" s="616" t="s">
        <v>4383</v>
      </c>
      <c r="F469" s="619"/>
      <c r="G469" s="619"/>
      <c r="H469" s="619"/>
      <c r="I469" s="619"/>
      <c r="J469" s="619"/>
      <c r="K469" s="619"/>
      <c r="L469" s="619"/>
      <c r="M469" s="619"/>
      <c r="N469" s="619">
        <v>1</v>
      </c>
      <c r="O469" s="619">
        <v>564</v>
      </c>
      <c r="P469" s="640"/>
      <c r="Q469" s="620">
        <v>564</v>
      </c>
    </row>
    <row r="470" spans="1:17" ht="14.4" customHeight="1" x14ac:dyDescent="0.3">
      <c r="A470" s="615" t="s">
        <v>479</v>
      </c>
      <c r="B470" s="616" t="s">
        <v>3591</v>
      </c>
      <c r="C470" s="616" t="s">
        <v>4140</v>
      </c>
      <c r="D470" s="616" t="s">
        <v>4384</v>
      </c>
      <c r="E470" s="616" t="s">
        <v>4385</v>
      </c>
      <c r="F470" s="619"/>
      <c r="G470" s="619"/>
      <c r="H470" s="619"/>
      <c r="I470" s="619"/>
      <c r="J470" s="619"/>
      <c r="K470" s="619"/>
      <c r="L470" s="619"/>
      <c r="M470" s="619"/>
      <c r="N470" s="619">
        <v>2</v>
      </c>
      <c r="O470" s="619">
        <v>5594.3</v>
      </c>
      <c r="P470" s="640"/>
      <c r="Q470" s="620">
        <v>2797.15</v>
      </c>
    </row>
    <row r="471" spans="1:17" ht="14.4" customHeight="1" x14ac:dyDescent="0.3">
      <c r="A471" s="615" t="s">
        <v>479</v>
      </c>
      <c r="B471" s="616" t="s">
        <v>3591</v>
      </c>
      <c r="C471" s="616" t="s">
        <v>4140</v>
      </c>
      <c r="D471" s="616" t="s">
        <v>4386</v>
      </c>
      <c r="E471" s="616" t="s">
        <v>4387</v>
      </c>
      <c r="F471" s="619"/>
      <c r="G471" s="619"/>
      <c r="H471" s="619"/>
      <c r="I471" s="619"/>
      <c r="J471" s="619">
        <v>1</v>
      </c>
      <c r="K471" s="619">
        <v>3278.02</v>
      </c>
      <c r="L471" s="619"/>
      <c r="M471" s="619">
        <v>3278.02</v>
      </c>
      <c r="N471" s="619">
        <v>1</v>
      </c>
      <c r="O471" s="619">
        <v>3278.02</v>
      </c>
      <c r="P471" s="640"/>
      <c r="Q471" s="620">
        <v>3278.02</v>
      </c>
    </row>
    <row r="472" spans="1:17" ht="14.4" customHeight="1" x14ac:dyDescent="0.3">
      <c r="A472" s="615" t="s">
        <v>479</v>
      </c>
      <c r="B472" s="616" t="s">
        <v>3591</v>
      </c>
      <c r="C472" s="616" t="s">
        <v>4140</v>
      </c>
      <c r="D472" s="616" t="s">
        <v>4388</v>
      </c>
      <c r="E472" s="616" t="s">
        <v>4389</v>
      </c>
      <c r="F472" s="619">
        <v>1</v>
      </c>
      <c r="G472" s="619">
        <v>6968.51</v>
      </c>
      <c r="H472" s="619">
        <v>1</v>
      </c>
      <c r="I472" s="619">
        <v>6968.51</v>
      </c>
      <c r="J472" s="619">
        <v>1</v>
      </c>
      <c r="K472" s="619">
        <v>6968.51</v>
      </c>
      <c r="L472" s="619">
        <v>1</v>
      </c>
      <c r="M472" s="619">
        <v>6968.51</v>
      </c>
      <c r="N472" s="619">
        <v>1</v>
      </c>
      <c r="O472" s="619">
        <v>6968.51</v>
      </c>
      <c r="P472" s="640">
        <v>1</v>
      </c>
      <c r="Q472" s="620">
        <v>6968.51</v>
      </c>
    </row>
    <row r="473" spans="1:17" ht="14.4" customHeight="1" x14ac:dyDescent="0.3">
      <c r="A473" s="615" t="s">
        <v>479</v>
      </c>
      <c r="B473" s="616" t="s">
        <v>3591</v>
      </c>
      <c r="C473" s="616" t="s">
        <v>4140</v>
      </c>
      <c r="D473" s="616" t="s">
        <v>4390</v>
      </c>
      <c r="E473" s="616" t="s">
        <v>4389</v>
      </c>
      <c r="F473" s="619"/>
      <c r="G473" s="619"/>
      <c r="H473" s="619"/>
      <c r="I473" s="619"/>
      <c r="J473" s="619"/>
      <c r="K473" s="619"/>
      <c r="L473" s="619"/>
      <c r="M473" s="619"/>
      <c r="N473" s="619">
        <v>2</v>
      </c>
      <c r="O473" s="619">
        <v>16685.46</v>
      </c>
      <c r="P473" s="640"/>
      <c r="Q473" s="620">
        <v>8342.73</v>
      </c>
    </row>
    <row r="474" spans="1:17" ht="14.4" customHeight="1" x14ac:dyDescent="0.3">
      <c r="A474" s="615" t="s">
        <v>479</v>
      </c>
      <c r="B474" s="616" t="s">
        <v>3591</v>
      </c>
      <c r="C474" s="616" t="s">
        <v>4140</v>
      </c>
      <c r="D474" s="616" t="s">
        <v>4391</v>
      </c>
      <c r="E474" s="616" t="s">
        <v>4392</v>
      </c>
      <c r="F474" s="619"/>
      <c r="G474" s="619"/>
      <c r="H474" s="619"/>
      <c r="I474" s="619"/>
      <c r="J474" s="619"/>
      <c r="K474" s="619"/>
      <c r="L474" s="619"/>
      <c r="M474" s="619"/>
      <c r="N474" s="619">
        <v>1</v>
      </c>
      <c r="O474" s="619">
        <v>9736.64</v>
      </c>
      <c r="P474" s="640"/>
      <c r="Q474" s="620">
        <v>9736.64</v>
      </c>
    </row>
    <row r="475" spans="1:17" ht="14.4" customHeight="1" x14ac:dyDescent="0.3">
      <c r="A475" s="615" t="s">
        <v>479</v>
      </c>
      <c r="B475" s="616" t="s">
        <v>3591</v>
      </c>
      <c r="C475" s="616" t="s">
        <v>4140</v>
      </c>
      <c r="D475" s="616" t="s">
        <v>4393</v>
      </c>
      <c r="E475" s="616" t="s">
        <v>4394</v>
      </c>
      <c r="F475" s="619"/>
      <c r="G475" s="619"/>
      <c r="H475" s="619"/>
      <c r="I475" s="619"/>
      <c r="J475" s="619">
        <v>1</v>
      </c>
      <c r="K475" s="619">
        <v>13666.42</v>
      </c>
      <c r="L475" s="619"/>
      <c r="M475" s="619">
        <v>13666.42</v>
      </c>
      <c r="N475" s="619">
        <v>3</v>
      </c>
      <c r="O475" s="619">
        <v>40999.26</v>
      </c>
      <c r="P475" s="640"/>
      <c r="Q475" s="620">
        <v>13666.42</v>
      </c>
    </row>
    <row r="476" spans="1:17" ht="14.4" customHeight="1" x14ac:dyDescent="0.3">
      <c r="A476" s="615" t="s">
        <v>479</v>
      </c>
      <c r="B476" s="616" t="s">
        <v>3591</v>
      </c>
      <c r="C476" s="616" t="s">
        <v>4140</v>
      </c>
      <c r="D476" s="616" t="s">
        <v>4395</v>
      </c>
      <c r="E476" s="616" t="s">
        <v>4396</v>
      </c>
      <c r="F476" s="619"/>
      <c r="G476" s="619"/>
      <c r="H476" s="619"/>
      <c r="I476" s="619"/>
      <c r="J476" s="619"/>
      <c r="K476" s="619"/>
      <c r="L476" s="619"/>
      <c r="M476" s="619"/>
      <c r="N476" s="619">
        <v>1</v>
      </c>
      <c r="O476" s="619">
        <v>6755.23</v>
      </c>
      <c r="P476" s="640"/>
      <c r="Q476" s="620">
        <v>6755.23</v>
      </c>
    </row>
    <row r="477" spans="1:17" ht="14.4" customHeight="1" x14ac:dyDescent="0.3">
      <c r="A477" s="615" t="s">
        <v>479</v>
      </c>
      <c r="B477" s="616" t="s">
        <v>3591</v>
      </c>
      <c r="C477" s="616" t="s">
        <v>4140</v>
      </c>
      <c r="D477" s="616" t="s">
        <v>4397</v>
      </c>
      <c r="E477" s="616" t="s">
        <v>4398</v>
      </c>
      <c r="F477" s="619"/>
      <c r="G477" s="619"/>
      <c r="H477" s="619"/>
      <c r="I477" s="619"/>
      <c r="J477" s="619">
        <v>1</v>
      </c>
      <c r="K477" s="619">
        <v>5610</v>
      </c>
      <c r="L477" s="619"/>
      <c r="M477" s="619">
        <v>5610</v>
      </c>
      <c r="N477" s="619"/>
      <c r="O477" s="619"/>
      <c r="P477" s="640"/>
      <c r="Q477" s="620"/>
    </row>
    <row r="478" spans="1:17" ht="14.4" customHeight="1" x14ac:dyDescent="0.3">
      <c r="A478" s="615" t="s">
        <v>479</v>
      </c>
      <c r="B478" s="616" t="s">
        <v>3591</v>
      </c>
      <c r="C478" s="616" t="s">
        <v>4140</v>
      </c>
      <c r="D478" s="616" t="s">
        <v>4399</v>
      </c>
      <c r="E478" s="616" t="s">
        <v>4398</v>
      </c>
      <c r="F478" s="619"/>
      <c r="G478" s="619"/>
      <c r="H478" s="619"/>
      <c r="I478" s="619"/>
      <c r="J478" s="619">
        <v>1</v>
      </c>
      <c r="K478" s="619">
        <v>6154</v>
      </c>
      <c r="L478" s="619"/>
      <c r="M478" s="619">
        <v>6154</v>
      </c>
      <c r="N478" s="619"/>
      <c r="O478" s="619"/>
      <c r="P478" s="640"/>
      <c r="Q478" s="620"/>
    </row>
    <row r="479" spans="1:17" ht="14.4" customHeight="1" x14ac:dyDescent="0.3">
      <c r="A479" s="615" t="s">
        <v>479</v>
      </c>
      <c r="B479" s="616" t="s">
        <v>3591</v>
      </c>
      <c r="C479" s="616" t="s">
        <v>4140</v>
      </c>
      <c r="D479" s="616" t="s">
        <v>4400</v>
      </c>
      <c r="E479" s="616" t="s">
        <v>4401</v>
      </c>
      <c r="F479" s="619"/>
      <c r="G479" s="619"/>
      <c r="H479" s="619"/>
      <c r="I479" s="619"/>
      <c r="J479" s="619">
        <v>1</v>
      </c>
      <c r="K479" s="619">
        <v>22007</v>
      </c>
      <c r="L479" s="619"/>
      <c r="M479" s="619">
        <v>22007</v>
      </c>
      <c r="N479" s="619"/>
      <c r="O479" s="619"/>
      <c r="P479" s="640"/>
      <c r="Q479" s="620"/>
    </row>
    <row r="480" spans="1:17" ht="14.4" customHeight="1" x14ac:dyDescent="0.3">
      <c r="A480" s="615" t="s">
        <v>479</v>
      </c>
      <c r="B480" s="616" t="s">
        <v>3591</v>
      </c>
      <c r="C480" s="616" t="s">
        <v>4140</v>
      </c>
      <c r="D480" s="616" t="s">
        <v>4402</v>
      </c>
      <c r="E480" s="616" t="s">
        <v>4403</v>
      </c>
      <c r="F480" s="619"/>
      <c r="G480" s="619"/>
      <c r="H480" s="619"/>
      <c r="I480" s="619"/>
      <c r="J480" s="619">
        <v>1</v>
      </c>
      <c r="K480" s="619">
        <v>11571</v>
      </c>
      <c r="L480" s="619"/>
      <c r="M480" s="619">
        <v>11571</v>
      </c>
      <c r="N480" s="619"/>
      <c r="O480" s="619"/>
      <c r="P480" s="640"/>
      <c r="Q480" s="620"/>
    </row>
    <row r="481" spans="1:17" ht="14.4" customHeight="1" x14ac:dyDescent="0.3">
      <c r="A481" s="615" t="s">
        <v>479</v>
      </c>
      <c r="B481" s="616" t="s">
        <v>3591</v>
      </c>
      <c r="C481" s="616" t="s">
        <v>4140</v>
      </c>
      <c r="D481" s="616" t="s">
        <v>4404</v>
      </c>
      <c r="E481" s="616" t="s">
        <v>4232</v>
      </c>
      <c r="F481" s="619"/>
      <c r="G481" s="619"/>
      <c r="H481" s="619"/>
      <c r="I481" s="619"/>
      <c r="J481" s="619">
        <v>4</v>
      </c>
      <c r="K481" s="619">
        <v>5438.84</v>
      </c>
      <c r="L481" s="619"/>
      <c r="M481" s="619">
        <v>1359.71</v>
      </c>
      <c r="N481" s="619">
        <v>2</v>
      </c>
      <c r="O481" s="619">
        <v>2719.42</v>
      </c>
      <c r="P481" s="640"/>
      <c r="Q481" s="620">
        <v>1359.71</v>
      </c>
    </row>
    <row r="482" spans="1:17" ht="14.4" customHeight="1" x14ac:dyDescent="0.3">
      <c r="A482" s="615" t="s">
        <v>479</v>
      </c>
      <c r="B482" s="616" t="s">
        <v>3591</v>
      </c>
      <c r="C482" s="616" t="s">
        <v>4140</v>
      </c>
      <c r="D482" s="616" t="s">
        <v>4405</v>
      </c>
      <c r="E482" s="616" t="s">
        <v>4406</v>
      </c>
      <c r="F482" s="619"/>
      <c r="G482" s="619"/>
      <c r="H482" s="619"/>
      <c r="I482" s="619"/>
      <c r="J482" s="619">
        <v>1</v>
      </c>
      <c r="K482" s="619">
        <v>1423.96</v>
      </c>
      <c r="L482" s="619"/>
      <c r="M482" s="619">
        <v>1423.96</v>
      </c>
      <c r="N482" s="619"/>
      <c r="O482" s="619"/>
      <c r="P482" s="640"/>
      <c r="Q482" s="620"/>
    </row>
    <row r="483" spans="1:17" ht="14.4" customHeight="1" x14ac:dyDescent="0.3">
      <c r="A483" s="615" t="s">
        <v>479</v>
      </c>
      <c r="B483" s="616" t="s">
        <v>3591</v>
      </c>
      <c r="C483" s="616" t="s">
        <v>4140</v>
      </c>
      <c r="D483" s="616" t="s">
        <v>4407</v>
      </c>
      <c r="E483" s="616" t="s">
        <v>4408</v>
      </c>
      <c r="F483" s="619">
        <v>1</v>
      </c>
      <c r="G483" s="619">
        <v>1783.48</v>
      </c>
      <c r="H483" s="619">
        <v>1</v>
      </c>
      <c r="I483" s="619">
        <v>1783.48</v>
      </c>
      <c r="J483" s="619"/>
      <c r="K483" s="619"/>
      <c r="L483" s="619"/>
      <c r="M483" s="619"/>
      <c r="N483" s="619">
        <v>4</v>
      </c>
      <c r="O483" s="619">
        <v>7133.92</v>
      </c>
      <c r="P483" s="640">
        <v>4</v>
      </c>
      <c r="Q483" s="620">
        <v>1783.48</v>
      </c>
    </row>
    <row r="484" spans="1:17" ht="14.4" customHeight="1" x14ac:dyDescent="0.3">
      <c r="A484" s="615" t="s">
        <v>479</v>
      </c>
      <c r="B484" s="616" t="s">
        <v>3591</v>
      </c>
      <c r="C484" s="616" t="s">
        <v>4140</v>
      </c>
      <c r="D484" s="616" t="s">
        <v>4409</v>
      </c>
      <c r="E484" s="616" t="s">
        <v>4410</v>
      </c>
      <c r="F484" s="619"/>
      <c r="G484" s="619"/>
      <c r="H484" s="619"/>
      <c r="I484" s="619"/>
      <c r="J484" s="619"/>
      <c r="K484" s="619"/>
      <c r="L484" s="619"/>
      <c r="M484" s="619"/>
      <c r="N484" s="619">
        <v>2</v>
      </c>
      <c r="O484" s="619">
        <v>478.8</v>
      </c>
      <c r="P484" s="640"/>
      <c r="Q484" s="620">
        <v>239.4</v>
      </c>
    </row>
    <row r="485" spans="1:17" ht="14.4" customHeight="1" x14ac:dyDescent="0.3">
      <c r="A485" s="615" t="s">
        <v>479</v>
      </c>
      <c r="B485" s="616" t="s">
        <v>3591</v>
      </c>
      <c r="C485" s="616" t="s">
        <v>4140</v>
      </c>
      <c r="D485" s="616" t="s">
        <v>4411</v>
      </c>
      <c r="E485" s="616" t="s">
        <v>4412</v>
      </c>
      <c r="F485" s="619"/>
      <c r="G485" s="619"/>
      <c r="H485" s="619"/>
      <c r="I485" s="619"/>
      <c r="J485" s="619"/>
      <c r="K485" s="619"/>
      <c r="L485" s="619"/>
      <c r="M485" s="619"/>
      <c r="N485" s="619">
        <v>6</v>
      </c>
      <c r="O485" s="619">
        <v>68028</v>
      </c>
      <c r="P485" s="640"/>
      <c r="Q485" s="620">
        <v>11338</v>
      </c>
    </row>
    <row r="486" spans="1:17" ht="14.4" customHeight="1" x14ac:dyDescent="0.3">
      <c r="A486" s="615" t="s">
        <v>479</v>
      </c>
      <c r="B486" s="616" t="s">
        <v>3591</v>
      </c>
      <c r="C486" s="616" t="s">
        <v>4140</v>
      </c>
      <c r="D486" s="616" t="s">
        <v>4413</v>
      </c>
      <c r="E486" s="616" t="s">
        <v>4414</v>
      </c>
      <c r="F486" s="619"/>
      <c r="G486" s="619"/>
      <c r="H486" s="619"/>
      <c r="I486" s="619"/>
      <c r="J486" s="619"/>
      <c r="K486" s="619"/>
      <c r="L486" s="619"/>
      <c r="M486" s="619"/>
      <c r="N486" s="619">
        <v>1</v>
      </c>
      <c r="O486" s="619">
        <v>2707</v>
      </c>
      <c r="P486" s="640"/>
      <c r="Q486" s="620">
        <v>2707</v>
      </c>
    </row>
    <row r="487" spans="1:17" ht="14.4" customHeight="1" x14ac:dyDescent="0.3">
      <c r="A487" s="615" t="s">
        <v>479</v>
      </c>
      <c r="B487" s="616" t="s">
        <v>3591</v>
      </c>
      <c r="C487" s="616" t="s">
        <v>4140</v>
      </c>
      <c r="D487" s="616" t="s">
        <v>4415</v>
      </c>
      <c r="E487" s="616" t="s">
        <v>4416</v>
      </c>
      <c r="F487" s="619"/>
      <c r="G487" s="619"/>
      <c r="H487" s="619"/>
      <c r="I487" s="619"/>
      <c r="J487" s="619"/>
      <c r="K487" s="619"/>
      <c r="L487" s="619"/>
      <c r="M487" s="619"/>
      <c r="N487" s="619">
        <v>7</v>
      </c>
      <c r="O487" s="619">
        <v>32256</v>
      </c>
      <c r="P487" s="640"/>
      <c r="Q487" s="620">
        <v>4608</v>
      </c>
    </row>
    <row r="488" spans="1:17" ht="14.4" customHeight="1" x14ac:dyDescent="0.3">
      <c r="A488" s="615" t="s">
        <v>479</v>
      </c>
      <c r="B488" s="616" t="s">
        <v>3591</v>
      </c>
      <c r="C488" s="616" t="s">
        <v>4140</v>
      </c>
      <c r="D488" s="616" t="s">
        <v>4417</v>
      </c>
      <c r="E488" s="616" t="s">
        <v>4418</v>
      </c>
      <c r="F488" s="619"/>
      <c r="G488" s="619"/>
      <c r="H488" s="619"/>
      <c r="I488" s="619"/>
      <c r="J488" s="619"/>
      <c r="K488" s="619"/>
      <c r="L488" s="619"/>
      <c r="M488" s="619"/>
      <c r="N488" s="619">
        <v>7</v>
      </c>
      <c r="O488" s="619">
        <v>18949</v>
      </c>
      <c r="P488" s="640"/>
      <c r="Q488" s="620">
        <v>2707</v>
      </c>
    </row>
    <row r="489" spans="1:17" ht="14.4" customHeight="1" x14ac:dyDescent="0.3">
      <c r="A489" s="615" t="s">
        <v>479</v>
      </c>
      <c r="B489" s="616" t="s">
        <v>3591</v>
      </c>
      <c r="C489" s="616" t="s">
        <v>4140</v>
      </c>
      <c r="D489" s="616" t="s">
        <v>4419</v>
      </c>
      <c r="E489" s="616" t="s">
        <v>4257</v>
      </c>
      <c r="F489" s="619"/>
      <c r="G489" s="619"/>
      <c r="H489" s="619"/>
      <c r="I489" s="619"/>
      <c r="J489" s="619">
        <v>1</v>
      </c>
      <c r="K489" s="619">
        <v>1386.65</v>
      </c>
      <c r="L489" s="619"/>
      <c r="M489" s="619">
        <v>1386.65</v>
      </c>
      <c r="N489" s="619">
        <v>1</v>
      </c>
      <c r="O489" s="619">
        <v>1386.65</v>
      </c>
      <c r="P489" s="640"/>
      <c r="Q489" s="620">
        <v>1386.65</v>
      </c>
    </row>
    <row r="490" spans="1:17" ht="14.4" customHeight="1" x14ac:dyDescent="0.3">
      <c r="A490" s="615" t="s">
        <v>479</v>
      </c>
      <c r="B490" s="616" t="s">
        <v>3591</v>
      </c>
      <c r="C490" s="616" t="s">
        <v>4140</v>
      </c>
      <c r="D490" s="616" t="s">
        <v>4420</v>
      </c>
      <c r="E490" s="616" t="s">
        <v>4421</v>
      </c>
      <c r="F490" s="619"/>
      <c r="G490" s="619"/>
      <c r="H490" s="619"/>
      <c r="I490" s="619"/>
      <c r="J490" s="619">
        <v>1</v>
      </c>
      <c r="K490" s="619">
        <v>9139.69</v>
      </c>
      <c r="L490" s="619"/>
      <c r="M490" s="619">
        <v>9139.69</v>
      </c>
      <c r="N490" s="619">
        <v>2</v>
      </c>
      <c r="O490" s="619">
        <v>18279.38</v>
      </c>
      <c r="P490" s="640"/>
      <c r="Q490" s="620">
        <v>9139.69</v>
      </c>
    </row>
    <row r="491" spans="1:17" ht="14.4" customHeight="1" x14ac:dyDescent="0.3">
      <c r="A491" s="615" t="s">
        <v>479</v>
      </c>
      <c r="B491" s="616" t="s">
        <v>3591</v>
      </c>
      <c r="C491" s="616" t="s">
        <v>4140</v>
      </c>
      <c r="D491" s="616" t="s">
        <v>4422</v>
      </c>
      <c r="E491" s="616" t="s">
        <v>4423</v>
      </c>
      <c r="F491" s="619"/>
      <c r="G491" s="619"/>
      <c r="H491" s="619"/>
      <c r="I491" s="619"/>
      <c r="J491" s="619">
        <v>2</v>
      </c>
      <c r="K491" s="619">
        <v>4259.46</v>
      </c>
      <c r="L491" s="619"/>
      <c r="M491" s="619">
        <v>2129.73</v>
      </c>
      <c r="N491" s="619">
        <v>1</v>
      </c>
      <c r="O491" s="619">
        <v>2129.73</v>
      </c>
      <c r="P491" s="640"/>
      <c r="Q491" s="620">
        <v>2129.73</v>
      </c>
    </row>
    <row r="492" spans="1:17" ht="14.4" customHeight="1" x14ac:dyDescent="0.3">
      <c r="A492" s="615" t="s">
        <v>479</v>
      </c>
      <c r="B492" s="616" t="s">
        <v>3591</v>
      </c>
      <c r="C492" s="616" t="s">
        <v>4140</v>
      </c>
      <c r="D492" s="616" t="s">
        <v>4424</v>
      </c>
      <c r="E492" s="616" t="s">
        <v>4425</v>
      </c>
      <c r="F492" s="619">
        <v>1</v>
      </c>
      <c r="G492" s="619">
        <v>3960</v>
      </c>
      <c r="H492" s="619">
        <v>1</v>
      </c>
      <c r="I492" s="619">
        <v>3960</v>
      </c>
      <c r="J492" s="619">
        <v>1</v>
      </c>
      <c r="K492" s="619">
        <v>3960</v>
      </c>
      <c r="L492" s="619">
        <v>1</v>
      </c>
      <c r="M492" s="619">
        <v>3960</v>
      </c>
      <c r="N492" s="619"/>
      <c r="O492" s="619"/>
      <c r="P492" s="640"/>
      <c r="Q492" s="620"/>
    </row>
    <row r="493" spans="1:17" ht="14.4" customHeight="1" x14ac:dyDescent="0.3">
      <c r="A493" s="615" t="s">
        <v>479</v>
      </c>
      <c r="B493" s="616" t="s">
        <v>3591</v>
      </c>
      <c r="C493" s="616" t="s">
        <v>4140</v>
      </c>
      <c r="D493" s="616" t="s">
        <v>4426</v>
      </c>
      <c r="E493" s="616" t="s">
        <v>4425</v>
      </c>
      <c r="F493" s="619">
        <v>2</v>
      </c>
      <c r="G493" s="619">
        <v>10800</v>
      </c>
      <c r="H493" s="619">
        <v>1</v>
      </c>
      <c r="I493" s="619">
        <v>5400</v>
      </c>
      <c r="J493" s="619"/>
      <c r="K493" s="619"/>
      <c r="L493" s="619"/>
      <c r="M493" s="619"/>
      <c r="N493" s="619"/>
      <c r="O493" s="619"/>
      <c r="P493" s="640"/>
      <c r="Q493" s="620"/>
    </row>
    <row r="494" spans="1:17" ht="14.4" customHeight="1" x14ac:dyDescent="0.3">
      <c r="A494" s="615" t="s">
        <v>479</v>
      </c>
      <c r="B494" s="616" t="s">
        <v>3591</v>
      </c>
      <c r="C494" s="616" t="s">
        <v>4140</v>
      </c>
      <c r="D494" s="616" t="s">
        <v>4427</v>
      </c>
      <c r="E494" s="616" t="s">
        <v>4428</v>
      </c>
      <c r="F494" s="619">
        <v>20</v>
      </c>
      <c r="G494" s="619">
        <v>11006</v>
      </c>
      <c r="H494" s="619">
        <v>1</v>
      </c>
      <c r="I494" s="619">
        <v>550.29999999999995</v>
      </c>
      <c r="J494" s="619">
        <v>6</v>
      </c>
      <c r="K494" s="619">
        <v>3301.8</v>
      </c>
      <c r="L494" s="619">
        <v>0.3</v>
      </c>
      <c r="M494" s="619">
        <v>550.30000000000007</v>
      </c>
      <c r="N494" s="619"/>
      <c r="O494" s="619"/>
      <c r="P494" s="640"/>
      <c r="Q494" s="620"/>
    </row>
    <row r="495" spans="1:17" ht="14.4" customHeight="1" x14ac:dyDescent="0.3">
      <c r="A495" s="615" t="s">
        <v>479</v>
      </c>
      <c r="B495" s="616" t="s">
        <v>3591</v>
      </c>
      <c r="C495" s="616" t="s">
        <v>4140</v>
      </c>
      <c r="D495" s="616" t="s">
        <v>4429</v>
      </c>
      <c r="E495" s="616" t="s">
        <v>4430</v>
      </c>
      <c r="F495" s="619">
        <v>9</v>
      </c>
      <c r="G495" s="619">
        <v>5436</v>
      </c>
      <c r="H495" s="619">
        <v>1</v>
      </c>
      <c r="I495" s="619">
        <v>604</v>
      </c>
      <c r="J495" s="619"/>
      <c r="K495" s="619"/>
      <c r="L495" s="619"/>
      <c r="M495" s="619"/>
      <c r="N495" s="619"/>
      <c r="O495" s="619"/>
      <c r="P495" s="640"/>
      <c r="Q495" s="620"/>
    </row>
    <row r="496" spans="1:17" ht="14.4" customHeight="1" x14ac:dyDescent="0.3">
      <c r="A496" s="615" t="s">
        <v>479</v>
      </c>
      <c r="B496" s="616" t="s">
        <v>3591</v>
      </c>
      <c r="C496" s="616" t="s">
        <v>4140</v>
      </c>
      <c r="D496" s="616" t="s">
        <v>4431</v>
      </c>
      <c r="E496" s="616" t="s">
        <v>4432</v>
      </c>
      <c r="F496" s="619"/>
      <c r="G496" s="619"/>
      <c r="H496" s="619"/>
      <c r="I496" s="619"/>
      <c r="J496" s="619"/>
      <c r="K496" s="619"/>
      <c r="L496" s="619"/>
      <c r="M496" s="619"/>
      <c r="N496" s="619">
        <v>1</v>
      </c>
      <c r="O496" s="619">
        <v>8691.98</v>
      </c>
      <c r="P496" s="640"/>
      <c r="Q496" s="620">
        <v>8691.98</v>
      </c>
    </row>
    <row r="497" spans="1:17" ht="14.4" customHeight="1" x14ac:dyDescent="0.3">
      <c r="A497" s="615" t="s">
        <v>479</v>
      </c>
      <c r="B497" s="616" t="s">
        <v>3591</v>
      </c>
      <c r="C497" s="616" t="s">
        <v>4140</v>
      </c>
      <c r="D497" s="616" t="s">
        <v>4433</v>
      </c>
      <c r="E497" s="616" t="s">
        <v>4434</v>
      </c>
      <c r="F497" s="619">
        <v>2</v>
      </c>
      <c r="G497" s="619">
        <v>6810.98</v>
      </c>
      <c r="H497" s="619">
        <v>1</v>
      </c>
      <c r="I497" s="619">
        <v>3405.49</v>
      </c>
      <c r="J497" s="619"/>
      <c r="K497" s="619"/>
      <c r="L497" s="619"/>
      <c r="M497" s="619"/>
      <c r="N497" s="619"/>
      <c r="O497" s="619"/>
      <c r="P497" s="640"/>
      <c r="Q497" s="620"/>
    </row>
    <row r="498" spans="1:17" ht="14.4" customHeight="1" x14ac:dyDescent="0.3">
      <c r="A498" s="615" t="s">
        <v>479</v>
      </c>
      <c r="B498" s="616" t="s">
        <v>3591</v>
      </c>
      <c r="C498" s="616" t="s">
        <v>4140</v>
      </c>
      <c r="D498" s="616" t="s">
        <v>4435</v>
      </c>
      <c r="E498" s="616" t="s">
        <v>4436</v>
      </c>
      <c r="F498" s="619"/>
      <c r="G498" s="619"/>
      <c r="H498" s="619"/>
      <c r="I498" s="619"/>
      <c r="J498" s="619">
        <v>3</v>
      </c>
      <c r="K498" s="619">
        <v>12546.12</v>
      </c>
      <c r="L498" s="619"/>
      <c r="M498" s="619">
        <v>4182.04</v>
      </c>
      <c r="N498" s="619"/>
      <c r="O498" s="619"/>
      <c r="P498" s="640"/>
      <c r="Q498" s="620"/>
    </row>
    <row r="499" spans="1:17" ht="14.4" customHeight="1" x14ac:dyDescent="0.3">
      <c r="A499" s="615" t="s">
        <v>479</v>
      </c>
      <c r="B499" s="616" t="s">
        <v>3591</v>
      </c>
      <c r="C499" s="616" t="s">
        <v>4140</v>
      </c>
      <c r="D499" s="616" t="s">
        <v>4437</v>
      </c>
      <c r="E499" s="616" t="s">
        <v>4438</v>
      </c>
      <c r="F499" s="619"/>
      <c r="G499" s="619"/>
      <c r="H499" s="619"/>
      <c r="I499" s="619"/>
      <c r="J499" s="619">
        <v>1</v>
      </c>
      <c r="K499" s="619">
        <v>4487.38</v>
      </c>
      <c r="L499" s="619"/>
      <c r="M499" s="619">
        <v>4487.38</v>
      </c>
      <c r="N499" s="619">
        <v>1</v>
      </c>
      <c r="O499" s="619">
        <v>4487.38</v>
      </c>
      <c r="P499" s="640"/>
      <c r="Q499" s="620">
        <v>4487.38</v>
      </c>
    </row>
    <row r="500" spans="1:17" ht="14.4" customHeight="1" x14ac:dyDescent="0.3">
      <c r="A500" s="615" t="s">
        <v>479</v>
      </c>
      <c r="B500" s="616" t="s">
        <v>3591</v>
      </c>
      <c r="C500" s="616" t="s">
        <v>4140</v>
      </c>
      <c r="D500" s="616" t="s">
        <v>4439</v>
      </c>
      <c r="E500" s="616" t="s">
        <v>4440</v>
      </c>
      <c r="F500" s="619">
        <v>1</v>
      </c>
      <c r="G500" s="619">
        <v>19433.599999999999</v>
      </c>
      <c r="H500" s="619">
        <v>1</v>
      </c>
      <c r="I500" s="619">
        <v>19433.599999999999</v>
      </c>
      <c r="J500" s="619"/>
      <c r="K500" s="619"/>
      <c r="L500" s="619"/>
      <c r="M500" s="619"/>
      <c r="N500" s="619"/>
      <c r="O500" s="619"/>
      <c r="P500" s="640"/>
      <c r="Q500" s="620"/>
    </row>
    <row r="501" spans="1:17" ht="14.4" customHeight="1" x14ac:dyDescent="0.3">
      <c r="A501" s="615" t="s">
        <v>479</v>
      </c>
      <c r="B501" s="616" t="s">
        <v>3591</v>
      </c>
      <c r="C501" s="616" t="s">
        <v>4140</v>
      </c>
      <c r="D501" s="616" t="s">
        <v>4441</v>
      </c>
      <c r="E501" s="616" t="s">
        <v>4442</v>
      </c>
      <c r="F501" s="619">
        <v>9</v>
      </c>
      <c r="G501" s="619">
        <v>1408.41</v>
      </c>
      <c r="H501" s="619">
        <v>1</v>
      </c>
      <c r="I501" s="619">
        <v>156.49</v>
      </c>
      <c r="J501" s="619">
        <v>40</v>
      </c>
      <c r="K501" s="619">
        <v>6259.6</v>
      </c>
      <c r="L501" s="619">
        <v>4.4444444444444446</v>
      </c>
      <c r="M501" s="619">
        <v>156.49</v>
      </c>
      <c r="N501" s="619">
        <v>5</v>
      </c>
      <c r="O501" s="619">
        <v>782.45</v>
      </c>
      <c r="P501" s="640">
        <v>0.55555555555555558</v>
      </c>
      <c r="Q501" s="620">
        <v>156.49</v>
      </c>
    </row>
    <row r="502" spans="1:17" ht="14.4" customHeight="1" x14ac:dyDescent="0.3">
      <c r="A502" s="615" t="s">
        <v>479</v>
      </c>
      <c r="B502" s="616" t="s">
        <v>3591</v>
      </c>
      <c r="C502" s="616" t="s">
        <v>4140</v>
      </c>
      <c r="D502" s="616" t="s">
        <v>4443</v>
      </c>
      <c r="E502" s="616" t="s">
        <v>4442</v>
      </c>
      <c r="F502" s="619">
        <v>8</v>
      </c>
      <c r="G502" s="619">
        <v>1376.32</v>
      </c>
      <c r="H502" s="619">
        <v>1</v>
      </c>
      <c r="I502" s="619">
        <v>172.04</v>
      </c>
      <c r="J502" s="619">
        <v>27</v>
      </c>
      <c r="K502" s="619">
        <v>4645.08</v>
      </c>
      <c r="L502" s="619">
        <v>3.375</v>
      </c>
      <c r="M502" s="619">
        <v>172.04</v>
      </c>
      <c r="N502" s="619">
        <v>28</v>
      </c>
      <c r="O502" s="619">
        <v>4817.12</v>
      </c>
      <c r="P502" s="640">
        <v>3.5</v>
      </c>
      <c r="Q502" s="620">
        <v>172.04</v>
      </c>
    </row>
    <row r="503" spans="1:17" ht="14.4" customHeight="1" x14ac:dyDescent="0.3">
      <c r="A503" s="615" t="s">
        <v>479</v>
      </c>
      <c r="B503" s="616" t="s">
        <v>3591</v>
      </c>
      <c r="C503" s="616" t="s">
        <v>4140</v>
      </c>
      <c r="D503" s="616" t="s">
        <v>4444</v>
      </c>
      <c r="E503" s="616" t="s">
        <v>4442</v>
      </c>
      <c r="F503" s="619"/>
      <c r="G503" s="619"/>
      <c r="H503" s="619"/>
      <c r="I503" s="619"/>
      <c r="J503" s="619">
        <v>2</v>
      </c>
      <c r="K503" s="619">
        <v>393.82</v>
      </c>
      <c r="L503" s="619"/>
      <c r="M503" s="619">
        <v>196.91</v>
      </c>
      <c r="N503" s="619">
        <v>2</v>
      </c>
      <c r="O503" s="619">
        <v>393.82</v>
      </c>
      <c r="P503" s="640"/>
      <c r="Q503" s="620">
        <v>196.91</v>
      </c>
    </row>
    <row r="504" spans="1:17" ht="14.4" customHeight="1" x14ac:dyDescent="0.3">
      <c r="A504" s="615" t="s">
        <v>479</v>
      </c>
      <c r="B504" s="616" t="s">
        <v>3591</v>
      </c>
      <c r="C504" s="616" t="s">
        <v>4140</v>
      </c>
      <c r="D504" s="616" t="s">
        <v>4445</v>
      </c>
      <c r="E504" s="616" t="s">
        <v>4442</v>
      </c>
      <c r="F504" s="619"/>
      <c r="G504" s="619"/>
      <c r="H504" s="619"/>
      <c r="I504" s="619"/>
      <c r="J504" s="619">
        <v>2</v>
      </c>
      <c r="K504" s="619">
        <v>625.96</v>
      </c>
      <c r="L504" s="619"/>
      <c r="M504" s="619">
        <v>312.98</v>
      </c>
      <c r="N504" s="619"/>
      <c r="O504" s="619"/>
      <c r="P504" s="640"/>
      <c r="Q504" s="620"/>
    </row>
    <row r="505" spans="1:17" ht="14.4" customHeight="1" x14ac:dyDescent="0.3">
      <c r="A505" s="615" t="s">
        <v>479</v>
      </c>
      <c r="B505" s="616" t="s">
        <v>3591</v>
      </c>
      <c r="C505" s="616" t="s">
        <v>4140</v>
      </c>
      <c r="D505" s="616" t="s">
        <v>4446</v>
      </c>
      <c r="E505" s="616" t="s">
        <v>4442</v>
      </c>
      <c r="F505" s="619">
        <v>1</v>
      </c>
      <c r="G505" s="619">
        <v>312.98</v>
      </c>
      <c r="H505" s="619">
        <v>1</v>
      </c>
      <c r="I505" s="619">
        <v>312.98</v>
      </c>
      <c r="J505" s="619">
        <v>1</v>
      </c>
      <c r="K505" s="619">
        <v>312.98</v>
      </c>
      <c r="L505" s="619">
        <v>1</v>
      </c>
      <c r="M505" s="619">
        <v>312.98</v>
      </c>
      <c r="N505" s="619"/>
      <c r="O505" s="619"/>
      <c r="P505" s="640"/>
      <c r="Q505" s="620"/>
    </row>
    <row r="506" spans="1:17" ht="14.4" customHeight="1" x14ac:dyDescent="0.3">
      <c r="A506" s="615" t="s">
        <v>479</v>
      </c>
      <c r="B506" s="616" t="s">
        <v>3591</v>
      </c>
      <c r="C506" s="616" t="s">
        <v>4140</v>
      </c>
      <c r="D506" s="616" t="s">
        <v>4447</v>
      </c>
      <c r="E506" s="616" t="s">
        <v>4442</v>
      </c>
      <c r="F506" s="619">
        <v>2</v>
      </c>
      <c r="G506" s="619">
        <v>750.32</v>
      </c>
      <c r="H506" s="619">
        <v>1</v>
      </c>
      <c r="I506" s="619">
        <v>375.16</v>
      </c>
      <c r="J506" s="619">
        <v>6</v>
      </c>
      <c r="K506" s="619">
        <v>2250.96</v>
      </c>
      <c r="L506" s="619">
        <v>3</v>
      </c>
      <c r="M506" s="619">
        <v>375.16</v>
      </c>
      <c r="N506" s="619">
        <v>4</v>
      </c>
      <c r="O506" s="619">
        <v>1500.64</v>
      </c>
      <c r="P506" s="640">
        <v>2</v>
      </c>
      <c r="Q506" s="620">
        <v>375.16</v>
      </c>
    </row>
    <row r="507" spans="1:17" ht="14.4" customHeight="1" x14ac:dyDescent="0.3">
      <c r="A507" s="615" t="s">
        <v>479</v>
      </c>
      <c r="B507" s="616" t="s">
        <v>3591</v>
      </c>
      <c r="C507" s="616" t="s">
        <v>4140</v>
      </c>
      <c r="D507" s="616" t="s">
        <v>4448</v>
      </c>
      <c r="E507" s="616" t="s">
        <v>4442</v>
      </c>
      <c r="F507" s="619">
        <v>2</v>
      </c>
      <c r="G507" s="619">
        <v>837.38</v>
      </c>
      <c r="H507" s="619">
        <v>1</v>
      </c>
      <c r="I507" s="619">
        <v>418.69</v>
      </c>
      <c r="J507" s="619">
        <v>1</v>
      </c>
      <c r="K507" s="619">
        <v>418.69</v>
      </c>
      <c r="L507" s="619">
        <v>0.5</v>
      </c>
      <c r="M507" s="619">
        <v>418.69</v>
      </c>
      <c r="N507" s="619">
        <v>1</v>
      </c>
      <c r="O507" s="619">
        <v>418.69</v>
      </c>
      <c r="P507" s="640">
        <v>0.5</v>
      </c>
      <c r="Q507" s="620">
        <v>418.69</v>
      </c>
    </row>
    <row r="508" spans="1:17" ht="14.4" customHeight="1" x14ac:dyDescent="0.3">
      <c r="A508" s="615" t="s">
        <v>479</v>
      </c>
      <c r="B508" s="616" t="s">
        <v>3591</v>
      </c>
      <c r="C508" s="616" t="s">
        <v>4140</v>
      </c>
      <c r="D508" s="616" t="s">
        <v>4449</v>
      </c>
      <c r="E508" s="616" t="s">
        <v>4442</v>
      </c>
      <c r="F508" s="619"/>
      <c r="G508" s="619"/>
      <c r="H508" s="619"/>
      <c r="I508" s="619"/>
      <c r="J508" s="619"/>
      <c r="K508" s="619"/>
      <c r="L508" s="619"/>
      <c r="M508" s="619"/>
      <c r="N508" s="619">
        <v>1</v>
      </c>
      <c r="O508" s="619">
        <v>536.84</v>
      </c>
      <c r="P508" s="640"/>
      <c r="Q508" s="620">
        <v>536.84</v>
      </c>
    </row>
    <row r="509" spans="1:17" ht="14.4" customHeight="1" x14ac:dyDescent="0.3">
      <c r="A509" s="615" t="s">
        <v>479</v>
      </c>
      <c r="B509" s="616" t="s">
        <v>3591</v>
      </c>
      <c r="C509" s="616" t="s">
        <v>4140</v>
      </c>
      <c r="D509" s="616" t="s">
        <v>4450</v>
      </c>
      <c r="E509" s="616" t="s">
        <v>4442</v>
      </c>
      <c r="F509" s="619"/>
      <c r="G509" s="619"/>
      <c r="H509" s="619"/>
      <c r="I509" s="619"/>
      <c r="J509" s="619">
        <v>2</v>
      </c>
      <c r="K509" s="619">
        <v>835.3</v>
      </c>
      <c r="L509" s="619"/>
      <c r="M509" s="619">
        <v>417.65</v>
      </c>
      <c r="N509" s="619"/>
      <c r="O509" s="619"/>
      <c r="P509" s="640"/>
      <c r="Q509" s="620"/>
    </row>
    <row r="510" spans="1:17" ht="14.4" customHeight="1" x14ac:dyDescent="0.3">
      <c r="A510" s="615" t="s">
        <v>479</v>
      </c>
      <c r="B510" s="616" t="s">
        <v>3591</v>
      </c>
      <c r="C510" s="616" t="s">
        <v>4140</v>
      </c>
      <c r="D510" s="616" t="s">
        <v>4451</v>
      </c>
      <c r="E510" s="616" t="s">
        <v>4442</v>
      </c>
      <c r="F510" s="619"/>
      <c r="G510" s="619"/>
      <c r="H510" s="619"/>
      <c r="I510" s="619"/>
      <c r="J510" s="619"/>
      <c r="K510" s="619"/>
      <c r="L510" s="619"/>
      <c r="M510" s="619"/>
      <c r="N510" s="619">
        <v>1</v>
      </c>
      <c r="O510" s="619">
        <v>519.22</v>
      </c>
      <c r="P510" s="640"/>
      <c r="Q510" s="620">
        <v>519.22</v>
      </c>
    </row>
    <row r="511" spans="1:17" ht="14.4" customHeight="1" x14ac:dyDescent="0.3">
      <c r="A511" s="615" t="s">
        <v>479</v>
      </c>
      <c r="B511" s="616" t="s">
        <v>3591</v>
      </c>
      <c r="C511" s="616" t="s">
        <v>4140</v>
      </c>
      <c r="D511" s="616" t="s">
        <v>4452</v>
      </c>
      <c r="E511" s="616" t="s">
        <v>4453</v>
      </c>
      <c r="F511" s="619">
        <v>6</v>
      </c>
      <c r="G511" s="619">
        <v>1032.24</v>
      </c>
      <c r="H511" s="619">
        <v>1</v>
      </c>
      <c r="I511" s="619">
        <v>172.04</v>
      </c>
      <c r="J511" s="619"/>
      <c r="K511" s="619"/>
      <c r="L511" s="619"/>
      <c r="M511" s="619"/>
      <c r="N511" s="619"/>
      <c r="O511" s="619"/>
      <c r="P511" s="640"/>
      <c r="Q511" s="620"/>
    </row>
    <row r="512" spans="1:17" ht="14.4" customHeight="1" x14ac:dyDescent="0.3">
      <c r="A512" s="615" t="s">
        <v>479</v>
      </c>
      <c r="B512" s="616" t="s">
        <v>3591</v>
      </c>
      <c r="C512" s="616" t="s">
        <v>4140</v>
      </c>
      <c r="D512" s="616" t="s">
        <v>4454</v>
      </c>
      <c r="E512" s="616" t="s">
        <v>4453</v>
      </c>
      <c r="F512" s="619">
        <v>1</v>
      </c>
      <c r="G512" s="619">
        <v>4349.62</v>
      </c>
      <c r="H512" s="619">
        <v>1</v>
      </c>
      <c r="I512" s="619">
        <v>4349.62</v>
      </c>
      <c r="J512" s="619"/>
      <c r="K512" s="619"/>
      <c r="L512" s="619"/>
      <c r="M512" s="619"/>
      <c r="N512" s="619"/>
      <c r="O512" s="619"/>
      <c r="P512" s="640"/>
      <c r="Q512" s="620"/>
    </row>
    <row r="513" spans="1:17" ht="14.4" customHeight="1" x14ac:dyDescent="0.3">
      <c r="A513" s="615" t="s">
        <v>479</v>
      </c>
      <c r="B513" s="616" t="s">
        <v>3591</v>
      </c>
      <c r="C513" s="616" t="s">
        <v>4140</v>
      </c>
      <c r="D513" s="616" t="s">
        <v>4455</v>
      </c>
      <c r="E513" s="616" t="s">
        <v>4456</v>
      </c>
      <c r="F513" s="619"/>
      <c r="G513" s="619"/>
      <c r="H513" s="619"/>
      <c r="I513" s="619"/>
      <c r="J513" s="619">
        <v>1</v>
      </c>
      <c r="K513" s="619">
        <v>563</v>
      </c>
      <c r="L513" s="619"/>
      <c r="M513" s="619">
        <v>563</v>
      </c>
      <c r="N513" s="619">
        <v>6</v>
      </c>
      <c r="O513" s="619">
        <v>3378</v>
      </c>
      <c r="P513" s="640"/>
      <c r="Q513" s="620">
        <v>563</v>
      </c>
    </row>
    <row r="514" spans="1:17" ht="14.4" customHeight="1" x14ac:dyDescent="0.3">
      <c r="A514" s="615" t="s">
        <v>479</v>
      </c>
      <c r="B514" s="616" t="s">
        <v>3591</v>
      </c>
      <c r="C514" s="616" t="s">
        <v>4140</v>
      </c>
      <c r="D514" s="616" t="s">
        <v>4457</v>
      </c>
      <c r="E514" s="616" t="s">
        <v>4458</v>
      </c>
      <c r="F514" s="619"/>
      <c r="G514" s="619"/>
      <c r="H514" s="619"/>
      <c r="I514" s="619"/>
      <c r="J514" s="619">
        <v>1</v>
      </c>
      <c r="K514" s="619">
        <v>15234.55</v>
      </c>
      <c r="L514" s="619"/>
      <c r="M514" s="619">
        <v>15234.55</v>
      </c>
      <c r="N514" s="619"/>
      <c r="O514" s="619"/>
      <c r="P514" s="640"/>
      <c r="Q514" s="620"/>
    </row>
    <row r="515" spans="1:17" ht="14.4" customHeight="1" x14ac:dyDescent="0.3">
      <c r="A515" s="615" t="s">
        <v>479</v>
      </c>
      <c r="B515" s="616" t="s">
        <v>3591</v>
      </c>
      <c r="C515" s="616" t="s">
        <v>4140</v>
      </c>
      <c r="D515" s="616" t="s">
        <v>4459</v>
      </c>
      <c r="E515" s="616" t="s">
        <v>4460</v>
      </c>
      <c r="F515" s="619">
        <v>0.1</v>
      </c>
      <c r="G515" s="619">
        <v>633.25</v>
      </c>
      <c r="H515" s="619">
        <v>1</v>
      </c>
      <c r="I515" s="619">
        <v>6332.5</v>
      </c>
      <c r="J515" s="619"/>
      <c r="K515" s="619"/>
      <c r="L515" s="619"/>
      <c r="M515" s="619"/>
      <c r="N515" s="619"/>
      <c r="O515" s="619"/>
      <c r="P515" s="640"/>
      <c r="Q515" s="620"/>
    </row>
    <row r="516" spans="1:17" ht="14.4" customHeight="1" x14ac:dyDescent="0.3">
      <c r="A516" s="615" t="s">
        <v>479</v>
      </c>
      <c r="B516" s="616" t="s">
        <v>3591</v>
      </c>
      <c r="C516" s="616" t="s">
        <v>4140</v>
      </c>
      <c r="D516" s="616" t="s">
        <v>4461</v>
      </c>
      <c r="E516" s="616" t="s">
        <v>4462</v>
      </c>
      <c r="F516" s="619"/>
      <c r="G516" s="619"/>
      <c r="H516" s="619"/>
      <c r="I516" s="619"/>
      <c r="J516" s="619">
        <v>2</v>
      </c>
      <c r="K516" s="619">
        <v>20376.98</v>
      </c>
      <c r="L516" s="619"/>
      <c r="M516" s="619">
        <v>10188.49</v>
      </c>
      <c r="N516" s="619"/>
      <c r="O516" s="619"/>
      <c r="P516" s="640"/>
      <c r="Q516" s="620"/>
    </row>
    <row r="517" spans="1:17" ht="14.4" customHeight="1" x14ac:dyDescent="0.3">
      <c r="A517" s="615" t="s">
        <v>479</v>
      </c>
      <c r="B517" s="616" t="s">
        <v>3591</v>
      </c>
      <c r="C517" s="616" t="s">
        <v>4140</v>
      </c>
      <c r="D517" s="616" t="s">
        <v>4463</v>
      </c>
      <c r="E517" s="616" t="s">
        <v>4464</v>
      </c>
      <c r="F517" s="619"/>
      <c r="G517" s="619"/>
      <c r="H517" s="619"/>
      <c r="I517" s="619"/>
      <c r="J517" s="619"/>
      <c r="K517" s="619"/>
      <c r="L517" s="619"/>
      <c r="M517" s="619"/>
      <c r="N517" s="619">
        <v>1</v>
      </c>
      <c r="O517" s="619">
        <v>3416</v>
      </c>
      <c r="P517" s="640"/>
      <c r="Q517" s="620">
        <v>3416</v>
      </c>
    </row>
    <row r="518" spans="1:17" ht="14.4" customHeight="1" x14ac:dyDescent="0.3">
      <c r="A518" s="615" t="s">
        <v>479</v>
      </c>
      <c r="B518" s="616" t="s">
        <v>3591</v>
      </c>
      <c r="C518" s="616" t="s">
        <v>4140</v>
      </c>
      <c r="D518" s="616" t="s">
        <v>4465</v>
      </c>
      <c r="E518" s="616" t="s">
        <v>4297</v>
      </c>
      <c r="F518" s="619"/>
      <c r="G518" s="619"/>
      <c r="H518" s="619"/>
      <c r="I518" s="619"/>
      <c r="J518" s="619"/>
      <c r="K518" s="619"/>
      <c r="L518" s="619"/>
      <c r="M518" s="619"/>
      <c r="N518" s="619">
        <v>2</v>
      </c>
      <c r="O518" s="619">
        <v>3744.4</v>
      </c>
      <c r="P518" s="640"/>
      <c r="Q518" s="620">
        <v>1872.2</v>
      </c>
    </row>
    <row r="519" spans="1:17" ht="14.4" customHeight="1" x14ac:dyDescent="0.3">
      <c r="A519" s="615" t="s">
        <v>479</v>
      </c>
      <c r="B519" s="616" t="s">
        <v>3591</v>
      </c>
      <c r="C519" s="616" t="s">
        <v>4140</v>
      </c>
      <c r="D519" s="616" t="s">
        <v>4466</v>
      </c>
      <c r="E519" s="616" t="s">
        <v>4467</v>
      </c>
      <c r="F519" s="619"/>
      <c r="G519" s="619"/>
      <c r="H519" s="619"/>
      <c r="I519" s="619"/>
      <c r="J519" s="619"/>
      <c r="K519" s="619"/>
      <c r="L519" s="619"/>
      <c r="M519" s="619"/>
      <c r="N519" s="619">
        <v>1</v>
      </c>
      <c r="O519" s="619">
        <v>5486</v>
      </c>
      <c r="P519" s="640"/>
      <c r="Q519" s="620">
        <v>5486</v>
      </c>
    </row>
    <row r="520" spans="1:17" ht="14.4" customHeight="1" x14ac:dyDescent="0.3">
      <c r="A520" s="615" t="s">
        <v>479</v>
      </c>
      <c r="B520" s="616" t="s">
        <v>3591</v>
      </c>
      <c r="C520" s="616" t="s">
        <v>4140</v>
      </c>
      <c r="D520" s="616" t="s">
        <v>4468</v>
      </c>
      <c r="E520" s="616" t="s">
        <v>4469</v>
      </c>
      <c r="F520" s="619"/>
      <c r="G520" s="619"/>
      <c r="H520" s="619"/>
      <c r="I520" s="619"/>
      <c r="J520" s="619">
        <v>1</v>
      </c>
      <c r="K520" s="619">
        <v>1430.18</v>
      </c>
      <c r="L520" s="619"/>
      <c r="M520" s="619">
        <v>1430.18</v>
      </c>
      <c r="N520" s="619">
        <v>5</v>
      </c>
      <c r="O520" s="619">
        <v>7150.9000000000005</v>
      </c>
      <c r="P520" s="640"/>
      <c r="Q520" s="620">
        <v>1430.18</v>
      </c>
    </row>
    <row r="521" spans="1:17" ht="14.4" customHeight="1" x14ac:dyDescent="0.3">
      <c r="A521" s="615" t="s">
        <v>479</v>
      </c>
      <c r="B521" s="616" t="s">
        <v>3591</v>
      </c>
      <c r="C521" s="616" t="s">
        <v>4140</v>
      </c>
      <c r="D521" s="616" t="s">
        <v>4470</v>
      </c>
      <c r="E521" s="616" t="s">
        <v>4151</v>
      </c>
      <c r="F521" s="619"/>
      <c r="G521" s="619"/>
      <c r="H521" s="619"/>
      <c r="I521" s="619"/>
      <c r="J521" s="619"/>
      <c r="K521" s="619"/>
      <c r="L521" s="619"/>
      <c r="M521" s="619"/>
      <c r="N521" s="619">
        <v>1</v>
      </c>
      <c r="O521" s="619">
        <v>139.91</v>
      </c>
      <c r="P521" s="640"/>
      <c r="Q521" s="620">
        <v>139.91</v>
      </c>
    </row>
    <row r="522" spans="1:17" ht="14.4" customHeight="1" x14ac:dyDescent="0.3">
      <c r="A522" s="615" t="s">
        <v>479</v>
      </c>
      <c r="B522" s="616" t="s">
        <v>3591</v>
      </c>
      <c r="C522" s="616" t="s">
        <v>4140</v>
      </c>
      <c r="D522" s="616" t="s">
        <v>4471</v>
      </c>
      <c r="E522" s="616" t="s">
        <v>4472</v>
      </c>
      <c r="F522" s="619"/>
      <c r="G522" s="619"/>
      <c r="H522" s="619"/>
      <c r="I522" s="619"/>
      <c r="J522" s="619"/>
      <c r="K522" s="619"/>
      <c r="L522" s="619"/>
      <c r="M522" s="619"/>
      <c r="N522" s="619">
        <v>1</v>
      </c>
      <c r="O522" s="619">
        <v>12468.8</v>
      </c>
      <c r="P522" s="640"/>
      <c r="Q522" s="620">
        <v>12468.8</v>
      </c>
    </row>
    <row r="523" spans="1:17" ht="14.4" customHeight="1" x14ac:dyDescent="0.3">
      <c r="A523" s="615" t="s">
        <v>479</v>
      </c>
      <c r="B523" s="616" t="s">
        <v>3591</v>
      </c>
      <c r="C523" s="616" t="s">
        <v>4140</v>
      </c>
      <c r="D523" s="616" t="s">
        <v>4473</v>
      </c>
      <c r="E523" s="616" t="s">
        <v>4474</v>
      </c>
      <c r="F523" s="619"/>
      <c r="G523" s="619"/>
      <c r="H523" s="619"/>
      <c r="I523" s="619"/>
      <c r="J523" s="619">
        <v>1</v>
      </c>
      <c r="K523" s="619">
        <v>1030</v>
      </c>
      <c r="L523" s="619"/>
      <c r="M523" s="619">
        <v>1030</v>
      </c>
      <c r="N523" s="619">
        <v>2</v>
      </c>
      <c r="O523" s="619">
        <v>2060</v>
      </c>
      <c r="P523" s="640"/>
      <c r="Q523" s="620">
        <v>1030</v>
      </c>
    </row>
    <row r="524" spans="1:17" ht="14.4" customHeight="1" x14ac:dyDescent="0.3">
      <c r="A524" s="615" t="s">
        <v>479</v>
      </c>
      <c r="B524" s="616" t="s">
        <v>3591</v>
      </c>
      <c r="C524" s="616" t="s">
        <v>4140</v>
      </c>
      <c r="D524" s="616" t="s">
        <v>4475</v>
      </c>
      <c r="E524" s="616" t="s">
        <v>4476</v>
      </c>
      <c r="F524" s="619"/>
      <c r="G524" s="619"/>
      <c r="H524" s="619"/>
      <c r="I524" s="619"/>
      <c r="J524" s="619">
        <v>4</v>
      </c>
      <c r="K524" s="619">
        <v>2064</v>
      </c>
      <c r="L524" s="619"/>
      <c r="M524" s="619">
        <v>516</v>
      </c>
      <c r="N524" s="619">
        <v>2</v>
      </c>
      <c r="O524" s="619">
        <v>1032</v>
      </c>
      <c r="P524" s="640"/>
      <c r="Q524" s="620">
        <v>516</v>
      </c>
    </row>
    <row r="525" spans="1:17" ht="14.4" customHeight="1" x14ac:dyDescent="0.3">
      <c r="A525" s="615" t="s">
        <v>479</v>
      </c>
      <c r="B525" s="616" t="s">
        <v>3591</v>
      </c>
      <c r="C525" s="616" t="s">
        <v>4140</v>
      </c>
      <c r="D525" s="616" t="s">
        <v>4477</v>
      </c>
      <c r="E525" s="616" t="s">
        <v>4478</v>
      </c>
      <c r="F525" s="619"/>
      <c r="G525" s="619"/>
      <c r="H525" s="619"/>
      <c r="I525" s="619"/>
      <c r="J525" s="619">
        <v>3</v>
      </c>
      <c r="K525" s="619">
        <v>1236</v>
      </c>
      <c r="L525" s="619"/>
      <c r="M525" s="619">
        <v>412</v>
      </c>
      <c r="N525" s="619">
        <v>2</v>
      </c>
      <c r="O525" s="619">
        <v>824</v>
      </c>
      <c r="P525" s="640"/>
      <c r="Q525" s="620">
        <v>412</v>
      </c>
    </row>
    <row r="526" spans="1:17" ht="14.4" customHeight="1" x14ac:dyDescent="0.3">
      <c r="A526" s="615" t="s">
        <v>479</v>
      </c>
      <c r="B526" s="616" t="s">
        <v>3591</v>
      </c>
      <c r="C526" s="616" t="s">
        <v>4140</v>
      </c>
      <c r="D526" s="616" t="s">
        <v>4479</v>
      </c>
      <c r="E526" s="616" t="s">
        <v>4480</v>
      </c>
      <c r="F526" s="619">
        <v>1</v>
      </c>
      <c r="G526" s="619">
        <v>3360</v>
      </c>
      <c r="H526" s="619">
        <v>1</v>
      </c>
      <c r="I526" s="619">
        <v>3360</v>
      </c>
      <c r="J526" s="619"/>
      <c r="K526" s="619"/>
      <c r="L526" s="619"/>
      <c r="M526" s="619"/>
      <c r="N526" s="619"/>
      <c r="O526" s="619"/>
      <c r="P526" s="640"/>
      <c r="Q526" s="620"/>
    </row>
    <row r="527" spans="1:17" ht="14.4" customHeight="1" x14ac:dyDescent="0.3">
      <c r="A527" s="615" t="s">
        <v>479</v>
      </c>
      <c r="B527" s="616" t="s">
        <v>3591</v>
      </c>
      <c r="C527" s="616" t="s">
        <v>4140</v>
      </c>
      <c r="D527" s="616" t="s">
        <v>4481</v>
      </c>
      <c r="E527" s="616" t="s">
        <v>4482</v>
      </c>
      <c r="F527" s="619"/>
      <c r="G527" s="619"/>
      <c r="H527" s="619"/>
      <c r="I527" s="619"/>
      <c r="J527" s="619">
        <v>3</v>
      </c>
      <c r="K527" s="619">
        <v>25362</v>
      </c>
      <c r="L527" s="619"/>
      <c r="M527" s="619">
        <v>8454</v>
      </c>
      <c r="N527" s="619">
        <v>2</v>
      </c>
      <c r="O527" s="619">
        <v>16908</v>
      </c>
      <c r="P527" s="640"/>
      <c r="Q527" s="620">
        <v>8454</v>
      </c>
    </row>
    <row r="528" spans="1:17" ht="14.4" customHeight="1" x14ac:dyDescent="0.3">
      <c r="A528" s="615" t="s">
        <v>479</v>
      </c>
      <c r="B528" s="616" t="s">
        <v>3591</v>
      </c>
      <c r="C528" s="616" t="s">
        <v>4140</v>
      </c>
      <c r="D528" s="616" t="s">
        <v>4483</v>
      </c>
      <c r="E528" s="616" t="s">
        <v>4484</v>
      </c>
      <c r="F528" s="619">
        <v>2</v>
      </c>
      <c r="G528" s="619">
        <v>2719.42</v>
      </c>
      <c r="H528" s="619">
        <v>1</v>
      </c>
      <c r="I528" s="619">
        <v>1359.71</v>
      </c>
      <c r="J528" s="619">
        <v>19</v>
      </c>
      <c r="K528" s="619">
        <v>25834.49</v>
      </c>
      <c r="L528" s="619">
        <v>9.5</v>
      </c>
      <c r="M528" s="619">
        <v>1359.71</v>
      </c>
      <c r="N528" s="619">
        <v>15</v>
      </c>
      <c r="O528" s="619">
        <v>20395.650000000001</v>
      </c>
      <c r="P528" s="640">
        <v>7.5</v>
      </c>
      <c r="Q528" s="620">
        <v>1359.71</v>
      </c>
    </row>
    <row r="529" spans="1:17" ht="14.4" customHeight="1" x14ac:dyDescent="0.3">
      <c r="A529" s="615" t="s">
        <v>479</v>
      </c>
      <c r="B529" s="616" t="s">
        <v>3591</v>
      </c>
      <c r="C529" s="616" t="s">
        <v>4140</v>
      </c>
      <c r="D529" s="616" t="s">
        <v>4485</v>
      </c>
      <c r="E529" s="616" t="s">
        <v>4486</v>
      </c>
      <c r="F529" s="619"/>
      <c r="G529" s="619"/>
      <c r="H529" s="619"/>
      <c r="I529" s="619"/>
      <c r="J529" s="619"/>
      <c r="K529" s="619"/>
      <c r="L529" s="619"/>
      <c r="M529" s="619"/>
      <c r="N529" s="619">
        <v>2</v>
      </c>
      <c r="O529" s="619">
        <v>37014</v>
      </c>
      <c r="P529" s="640"/>
      <c r="Q529" s="620">
        <v>18507</v>
      </c>
    </row>
    <row r="530" spans="1:17" ht="14.4" customHeight="1" x14ac:dyDescent="0.3">
      <c r="A530" s="615" t="s">
        <v>479</v>
      </c>
      <c r="B530" s="616" t="s">
        <v>3591</v>
      </c>
      <c r="C530" s="616" t="s">
        <v>4140</v>
      </c>
      <c r="D530" s="616" t="s">
        <v>4487</v>
      </c>
      <c r="E530" s="616" t="s">
        <v>4488</v>
      </c>
      <c r="F530" s="619"/>
      <c r="G530" s="619"/>
      <c r="H530" s="619"/>
      <c r="I530" s="619"/>
      <c r="J530" s="619"/>
      <c r="K530" s="619"/>
      <c r="L530" s="619"/>
      <c r="M530" s="619"/>
      <c r="N530" s="619">
        <v>1</v>
      </c>
      <c r="O530" s="619">
        <v>10077.6</v>
      </c>
      <c r="P530" s="640"/>
      <c r="Q530" s="620">
        <v>10077.6</v>
      </c>
    </row>
    <row r="531" spans="1:17" ht="14.4" customHeight="1" x14ac:dyDescent="0.3">
      <c r="A531" s="615" t="s">
        <v>479</v>
      </c>
      <c r="B531" s="616" t="s">
        <v>3591</v>
      </c>
      <c r="C531" s="616" t="s">
        <v>4140</v>
      </c>
      <c r="D531" s="616" t="s">
        <v>4489</v>
      </c>
      <c r="E531" s="616" t="s">
        <v>4490</v>
      </c>
      <c r="F531" s="619"/>
      <c r="G531" s="619"/>
      <c r="H531" s="619"/>
      <c r="I531" s="619"/>
      <c r="J531" s="619">
        <v>5</v>
      </c>
      <c r="K531" s="619">
        <v>5378.75</v>
      </c>
      <c r="L531" s="619"/>
      <c r="M531" s="619">
        <v>1075.75</v>
      </c>
      <c r="N531" s="619">
        <v>15</v>
      </c>
      <c r="O531" s="619">
        <v>16136.25</v>
      </c>
      <c r="P531" s="640"/>
      <c r="Q531" s="620">
        <v>1075.75</v>
      </c>
    </row>
    <row r="532" spans="1:17" ht="14.4" customHeight="1" x14ac:dyDescent="0.3">
      <c r="A532" s="615" t="s">
        <v>479</v>
      </c>
      <c r="B532" s="616" t="s">
        <v>3591</v>
      </c>
      <c r="C532" s="616" t="s">
        <v>4140</v>
      </c>
      <c r="D532" s="616" t="s">
        <v>4491</v>
      </c>
      <c r="E532" s="616" t="s">
        <v>4492</v>
      </c>
      <c r="F532" s="619"/>
      <c r="G532" s="619"/>
      <c r="H532" s="619"/>
      <c r="I532" s="619"/>
      <c r="J532" s="619"/>
      <c r="K532" s="619"/>
      <c r="L532" s="619"/>
      <c r="M532" s="619"/>
      <c r="N532" s="619">
        <v>6</v>
      </c>
      <c r="O532" s="619">
        <v>4586.3999999999996</v>
      </c>
      <c r="P532" s="640"/>
      <c r="Q532" s="620">
        <v>764.4</v>
      </c>
    </row>
    <row r="533" spans="1:17" ht="14.4" customHeight="1" x14ac:dyDescent="0.3">
      <c r="A533" s="615" t="s">
        <v>479</v>
      </c>
      <c r="B533" s="616" t="s">
        <v>3591</v>
      </c>
      <c r="C533" s="616" t="s">
        <v>4140</v>
      </c>
      <c r="D533" s="616" t="s">
        <v>4493</v>
      </c>
      <c r="E533" s="616" t="s">
        <v>4494</v>
      </c>
      <c r="F533" s="619"/>
      <c r="G533" s="619"/>
      <c r="H533" s="619"/>
      <c r="I533" s="619"/>
      <c r="J533" s="619">
        <v>20</v>
      </c>
      <c r="K533" s="619">
        <v>32334.6</v>
      </c>
      <c r="L533" s="619"/>
      <c r="M533" s="619">
        <v>1616.73</v>
      </c>
      <c r="N533" s="619">
        <v>31</v>
      </c>
      <c r="O533" s="619">
        <v>50118.630000000005</v>
      </c>
      <c r="P533" s="640"/>
      <c r="Q533" s="620">
        <v>1616.7300000000002</v>
      </c>
    </row>
    <row r="534" spans="1:17" ht="14.4" customHeight="1" x14ac:dyDescent="0.3">
      <c r="A534" s="615" t="s">
        <v>479</v>
      </c>
      <c r="B534" s="616" t="s">
        <v>3591</v>
      </c>
      <c r="C534" s="616" t="s">
        <v>4140</v>
      </c>
      <c r="D534" s="616" t="s">
        <v>4495</v>
      </c>
      <c r="E534" s="616" t="s">
        <v>4496</v>
      </c>
      <c r="F534" s="619"/>
      <c r="G534" s="619"/>
      <c r="H534" s="619"/>
      <c r="I534" s="619"/>
      <c r="J534" s="619">
        <v>1</v>
      </c>
      <c r="K534" s="619">
        <v>248.73</v>
      </c>
      <c r="L534" s="619"/>
      <c r="M534" s="619">
        <v>248.73</v>
      </c>
      <c r="N534" s="619">
        <v>3</v>
      </c>
      <c r="O534" s="619">
        <v>746.19</v>
      </c>
      <c r="P534" s="640"/>
      <c r="Q534" s="620">
        <v>248.73000000000002</v>
      </c>
    </row>
    <row r="535" spans="1:17" ht="14.4" customHeight="1" x14ac:dyDescent="0.3">
      <c r="A535" s="615" t="s">
        <v>479</v>
      </c>
      <c r="B535" s="616" t="s">
        <v>3591</v>
      </c>
      <c r="C535" s="616" t="s">
        <v>4140</v>
      </c>
      <c r="D535" s="616" t="s">
        <v>4495</v>
      </c>
      <c r="E535" s="616" t="s">
        <v>4497</v>
      </c>
      <c r="F535" s="619"/>
      <c r="G535" s="619"/>
      <c r="H535" s="619"/>
      <c r="I535" s="619"/>
      <c r="J535" s="619"/>
      <c r="K535" s="619"/>
      <c r="L535" s="619"/>
      <c r="M535" s="619"/>
      <c r="N535" s="619">
        <v>2</v>
      </c>
      <c r="O535" s="619">
        <v>497.46</v>
      </c>
      <c r="P535" s="640"/>
      <c r="Q535" s="620">
        <v>248.73</v>
      </c>
    </row>
    <row r="536" spans="1:17" ht="14.4" customHeight="1" x14ac:dyDescent="0.3">
      <c r="A536" s="615" t="s">
        <v>479</v>
      </c>
      <c r="B536" s="616" t="s">
        <v>3591</v>
      </c>
      <c r="C536" s="616" t="s">
        <v>4140</v>
      </c>
      <c r="D536" s="616" t="s">
        <v>4498</v>
      </c>
      <c r="E536" s="616" t="s">
        <v>4499</v>
      </c>
      <c r="F536" s="619"/>
      <c r="G536" s="619"/>
      <c r="H536" s="619"/>
      <c r="I536" s="619"/>
      <c r="J536" s="619">
        <v>2</v>
      </c>
      <c r="K536" s="619">
        <v>2553.6</v>
      </c>
      <c r="L536" s="619"/>
      <c r="M536" s="619">
        <v>1276.8</v>
      </c>
      <c r="N536" s="619">
        <v>2</v>
      </c>
      <c r="O536" s="619">
        <v>2553.6</v>
      </c>
      <c r="P536" s="640"/>
      <c r="Q536" s="620">
        <v>1276.8</v>
      </c>
    </row>
    <row r="537" spans="1:17" ht="14.4" customHeight="1" x14ac:dyDescent="0.3">
      <c r="A537" s="615" t="s">
        <v>479</v>
      </c>
      <c r="B537" s="616" t="s">
        <v>3591</v>
      </c>
      <c r="C537" s="616" t="s">
        <v>4140</v>
      </c>
      <c r="D537" s="616" t="s">
        <v>4500</v>
      </c>
      <c r="E537" s="616" t="s">
        <v>4501</v>
      </c>
      <c r="F537" s="619"/>
      <c r="G537" s="619"/>
      <c r="H537" s="619"/>
      <c r="I537" s="619"/>
      <c r="J537" s="619"/>
      <c r="K537" s="619"/>
      <c r="L537" s="619"/>
      <c r="M537" s="619"/>
      <c r="N537" s="619">
        <v>10</v>
      </c>
      <c r="O537" s="619">
        <v>889</v>
      </c>
      <c r="P537" s="640"/>
      <c r="Q537" s="620">
        <v>88.9</v>
      </c>
    </row>
    <row r="538" spans="1:17" ht="14.4" customHeight="1" x14ac:dyDescent="0.3">
      <c r="A538" s="615" t="s">
        <v>479</v>
      </c>
      <c r="B538" s="616" t="s">
        <v>3591</v>
      </c>
      <c r="C538" s="616" t="s">
        <v>4140</v>
      </c>
      <c r="D538" s="616" t="s">
        <v>4502</v>
      </c>
      <c r="E538" s="616" t="s">
        <v>4503</v>
      </c>
      <c r="F538" s="619"/>
      <c r="G538" s="619"/>
      <c r="H538" s="619"/>
      <c r="I538" s="619"/>
      <c r="J538" s="619">
        <v>1</v>
      </c>
      <c r="K538" s="619">
        <v>1497.44</v>
      </c>
      <c r="L538" s="619"/>
      <c r="M538" s="619">
        <v>1497.44</v>
      </c>
      <c r="N538" s="619"/>
      <c r="O538" s="619"/>
      <c r="P538" s="640"/>
      <c r="Q538" s="620"/>
    </row>
    <row r="539" spans="1:17" ht="14.4" customHeight="1" x14ac:dyDescent="0.3">
      <c r="A539" s="615" t="s">
        <v>479</v>
      </c>
      <c r="B539" s="616" t="s">
        <v>3591</v>
      </c>
      <c r="C539" s="616" t="s">
        <v>4140</v>
      </c>
      <c r="D539" s="616" t="s">
        <v>4504</v>
      </c>
      <c r="E539" s="616" t="s">
        <v>4505</v>
      </c>
      <c r="F539" s="619"/>
      <c r="G539" s="619"/>
      <c r="H539" s="619"/>
      <c r="I539" s="619"/>
      <c r="J539" s="619">
        <v>6</v>
      </c>
      <c r="K539" s="619">
        <v>53100</v>
      </c>
      <c r="L539" s="619"/>
      <c r="M539" s="619">
        <v>8850</v>
      </c>
      <c r="N539" s="619"/>
      <c r="O539" s="619"/>
      <c r="P539" s="640"/>
      <c r="Q539" s="620"/>
    </row>
    <row r="540" spans="1:17" ht="14.4" customHeight="1" x14ac:dyDescent="0.3">
      <c r="A540" s="615" t="s">
        <v>479</v>
      </c>
      <c r="B540" s="616" t="s">
        <v>3591</v>
      </c>
      <c r="C540" s="616" t="s">
        <v>4140</v>
      </c>
      <c r="D540" s="616" t="s">
        <v>4506</v>
      </c>
      <c r="E540" s="616" t="s">
        <v>4505</v>
      </c>
      <c r="F540" s="619"/>
      <c r="G540" s="619"/>
      <c r="H540" s="619"/>
      <c r="I540" s="619"/>
      <c r="J540" s="619">
        <v>2</v>
      </c>
      <c r="K540" s="619">
        <v>9062</v>
      </c>
      <c r="L540" s="619"/>
      <c r="M540" s="619">
        <v>4531</v>
      </c>
      <c r="N540" s="619"/>
      <c r="O540" s="619"/>
      <c r="P540" s="640"/>
      <c r="Q540" s="620"/>
    </row>
    <row r="541" spans="1:17" ht="14.4" customHeight="1" x14ac:dyDescent="0.3">
      <c r="A541" s="615" t="s">
        <v>479</v>
      </c>
      <c r="B541" s="616" t="s">
        <v>3591</v>
      </c>
      <c r="C541" s="616" t="s">
        <v>4140</v>
      </c>
      <c r="D541" s="616" t="s">
        <v>4507</v>
      </c>
      <c r="E541" s="616" t="s">
        <v>4508</v>
      </c>
      <c r="F541" s="619"/>
      <c r="G541" s="619"/>
      <c r="H541" s="619"/>
      <c r="I541" s="619"/>
      <c r="J541" s="619">
        <v>1</v>
      </c>
      <c r="K541" s="619">
        <v>18285</v>
      </c>
      <c r="L541" s="619"/>
      <c r="M541" s="619">
        <v>18285</v>
      </c>
      <c r="N541" s="619"/>
      <c r="O541" s="619"/>
      <c r="P541" s="640"/>
      <c r="Q541" s="620"/>
    </row>
    <row r="542" spans="1:17" ht="14.4" customHeight="1" x14ac:dyDescent="0.3">
      <c r="A542" s="615" t="s">
        <v>479</v>
      </c>
      <c r="B542" s="616" t="s">
        <v>3591</v>
      </c>
      <c r="C542" s="616" t="s">
        <v>4140</v>
      </c>
      <c r="D542" s="616" t="s">
        <v>4509</v>
      </c>
      <c r="E542" s="616" t="s">
        <v>4505</v>
      </c>
      <c r="F542" s="619"/>
      <c r="G542" s="619"/>
      <c r="H542" s="619"/>
      <c r="I542" s="619"/>
      <c r="J542" s="619">
        <v>6</v>
      </c>
      <c r="K542" s="619">
        <v>11976</v>
      </c>
      <c r="L542" s="619"/>
      <c r="M542" s="619">
        <v>1996</v>
      </c>
      <c r="N542" s="619"/>
      <c r="O542" s="619"/>
      <c r="P542" s="640"/>
      <c r="Q542" s="620"/>
    </row>
    <row r="543" spans="1:17" ht="14.4" customHeight="1" x14ac:dyDescent="0.3">
      <c r="A543" s="615" t="s">
        <v>479</v>
      </c>
      <c r="B543" s="616" t="s">
        <v>3591</v>
      </c>
      <c r="C543" s="616" t="s">
        <v>4140</v>
      </c>
      <c r="D543" s="616" t="s">
        <v>4510</v>
      </c>
      <c r="E543" s="616" t="s">
        <v>4511</v>
      </c>
      <c r="F543" s="619"/>
      <c r="G543" s="619"/>
      <c r="H543" s="619"/>
      <c r="I543" s="619"/>
      <c r="J543" s="619">
        <v>1.1000000000000001</v>
      </c>
      <c r="K543" s="619">
        <v>73.7</v>
      </c>
      <c r="L543" s="619"/>
      <c r="M543" s="619">
        <v>67</v>
      </c>
      <c r="N543" s="619">
        <v>4.2</v>
      </c>
      <c r="O543" s="619">
        <v>281.39999999999998</v>
      </c>
      <c r="P543" s="640"/>
      <c r="Q543" s="620">
        <v>66.999999999999986</v>
      </c>
    </row>
    <row r="544" spans="1:17" ht="14.4" customHeight="1" x14ac:dyDescent="0.3">
      <c r="A544" s="615" t="s">
        <v>479</v>
      </c>
      <c r="B544" s="616" t="s">
        <v>3591</v>
      </c>
      <c r="C544" s="616" t="s">
        <v>4140</v>
      </c>
      <c r="D544" s="616" t="s">
        <v>4512</v>
      </c>
      <c r="E544" s="616" t="s">
        <v>4513</v>
      </c>
      <c r="F544" s="619"/>
      <c r="G544" s="619"/>
      <c r="H544" s="619"/>
      <c r="I544" s="619"/>
      <c r="J544" s="619"/>
      <c r="K544" s="619"/>
      <c r="L544" s="619"/>
      <c r="M544" s="619"/>
      <c r="N544" s="619">
        <v>6</v>
      </c>
      <c r="O544" s="619">
        <v>32777.879999999997</v>
      </c>
      <c r="P544" s="640"/>
      <c r="Q544" s="620">
        <v>5462.98</v>
      </c>
    </row>
    <row r="545" spans="1:17" ht="14.4" customHeight="1" x14ac:dyDescent="0.3">
      <c r="A545" s="615" t="s">
        <v>479</v>
      </c>
      <c r="B545" s="616" t="s">
        <v>3591</v>
      </c>
      <c r="C545" s="616" t="s">
        <v>4140</v>
      </c>
      <c r="D545" s="616" t="s">
        <v>4514</v>
      </c>
      <c r="E545" s="616" t="s">
        <v>4515</v>
      </c>
      <c r="F545" s="619"/>
      <c r="G545" s="619"/>
      <c r="H545" s="619"/>
      <c r="I545" s="619"/>
      <c r="J545" s="619"/>
      <c r="K545" s="619"/>
      <c r="L545" s="619"/>
      <c r="M545" s="619"/>
      <c r="N545" s="619">
        <v>1</v>
      </c>
      <c r="O545" s="619">
        <v>12262.25</v>
      </c>
      <c r="P545" s="640"/>
      <c r="Q545" s="620">
        <v>12262.25</v>
      </c>
    </row>
    <row r="546" spans="1:17" ht="14.4" customHeight="1" x14ac:dyDescent="0.3">
      <c r="A546" s="615" t="s">
        <v>479</v>
      </c>
      <c r="B546" s="616" t="s">
        <v>3591</v>
      </c>
      <c r="C546" s="616" t="s">
        <v>4140</v>
      </c>
      <c r="D546" s="616" t="s">
        <v>4516</v>
      </c>
      <c r="E546" s="616" t="s">
        <v>4517</v>
      </c>
      <c r="F546" s="619"/>
      <c r="G546" s="619"/>
      <c r="H546" s="619"/>
      <c r="I546" s="619"/>
      <c r="J546" s="619"/>
      <c r="K546" s="619"/>
      <c r="L546" s="619"/>
      <c r="M546" s="619"/>
      <c r="N546" s="619">
        <v>1</v>
      </c>
      <c r="O546" s="619">
        <v>5298.34</v>
      </c>
      <c r="P546" s="640"/>
      <c r="Q546" s="620">
        <v>5298.34</v>
      </c>
    </row>
    <row r="547" spans="1:17" ht="14.4" customHeight="1" x14ac:dyDescent="0.3">
      <c r="A547" s="615" t="s">
        <v>479</v>
      </c>
      <c r="B547" s="616" t="s">
        <v>3591</v>
      </c>
      <c r="C547" s="616" t="s">
        <v>4140</v>
      </c>
      <c r="D547" s="616" t="s">
        <v>4518</v>
      </c>
      <c r="E547" s="616" t="s">
        <v>4519</v>
      </c>
      <c r="F547" s="619"/>
      <c r="G547" s="619"/>
      <c r="H547" s="619"/>
      <c r="I547" s="619"/>
      <c r="J547" s="619"/>
      <c r="K547" s="619"/>
      <c r="L547" s="619"/>
      <c r="M547" s="619"/>
      <c r="N547" s="619">
        <v>1</v>
      </c>
      <c r="O547" s="619">
        <v>521</v>
      </c>
      <c r="P547" s="640"/>
      <c r="Q547" s="620">
        <v>521</v>
      </c>
    </row>
    <row r="548" spans="1:17" ht="14.4" customHeight="1" x14ac:dyDescent="0.3">
      <c r="A548" s="615" t="s">
        <v>479</v>
      </c>
      <c r="B548" s="616" t="s">
        <v>3591</v>
      </c>
      <c r="C548" s="616" t="s">
        <v>4140</v>
      </c>
      <c r="D548" s="616" t="s">
        <v>4520</v>
      </c>
      <c r="E548" s="616" t="s">
        <v>4442</v>
      </c>
      <c r="F548" s="619"/>
      <c r="G548" s="619"/>
      <c r="H548" s="619"/>
      <c r="I548" s="619"/>
      <c r="J548" s="619">
        <v>1</v>
      </c>
      <c r="K548" s="619">
        <v>555.49</v>
      </c>
      <c r="L548" s="619"/>
      <c r="M548" s="619">
        <v>555.49</v>
      </c>
      <c r="N548" s="619"/>
      <c r="O548" s="619"/>
      <c r="P548" s="640"/>
      <c r="Q548" s="620"/>
    </row>
    <row r="549" spans="1:17" ht="14.4" customHeight="1" x14ac:dyDescent="0.3">
      <c r="A549" s="615" t="s">
        <v>479</v>
      </c>
      <c r="B549" s="616" t="s">
        <v>3591</v>
      </c>
      <c r="C549" s="616" t="s">
        <v>4140</v>
      </c>
      <c r="D549" s="616" t="s">
        <v>4521</v>
      </c>
      <c r="E549" s="616" t="s">
        <v>4522</v>
      </c>
      <c r="F549" s="619"/>
      <c r="G549" s="619"/>
      <c r="H549" s="619"/>
      <c r="I549" s="619"/>
      <c r="J549" s="619"/>
      <c r="K549" s="619"/>
      <c r="L549" s="619"/>
      <c r="M549" s="619"/>
      <c r="N549" s="619">
        <v>3</v>
      </c>
      <c r="O549" s="619">
        <v>1415.88</v>
      </c>
      <c r="P549" s="640"/>
      <c r="Q549" s="620">
        <v>471.96000000000004</v>
      </c>
    </row>
    <row r="550" spans="1:17" ht="14.4" customHeight="1" x14ac:dyDescent="0.3">
      <c r="A550" s="615" t="s">
        <v>479</v>
      </c>
      <c r="B550" s="616" t="s">
        <v>3591</v>
      </c>
      <c r="C550" s="616" t="s">
        <v>4140</v>
      </c>
      <c r="D550" s="616" t="s">
        <v>4523</v>
      </c>
      <c r="E550" s="616" t="s">
        <v>4524</v>
      </c>
      <c r="F550" s="619"/>
      <c r="G550" s="619"/>
      <c r="H550" s="619"/>
      <c r="I550" s="619"/>
      <c r="J550" s="619"/>
      <c r="K550" s="619"/>
      <c r="L550" s="619"/>
      <c r="M550" s="619"/>
      <c r="N550" s="619">
        <v>2</v>
      </c>
      <c r="O550" s="619">
        <v>1544.4</v>
      </c>
      <c r="P550" s="640"/>
      <c r="Q550" s="620">
        <v>772.2</v>
      </c>
    </row>
    <row r="551" spans="1:17" ht="14.4" customHeight="1" x14ac:dyDescent="0.3">
      <c r="A551" s="615" t="s">
        <v>479</v>
      </c>
      <c r="B551" s="616" t="s">
        <v>3591</v>
      </c>
      <c r="C551" s="616" t="s">
        <v>3592</v>
      </c>
      <c r="D551" s="616" t="s">
        <v>4525</v>
      </c>
      <c r="E551" s="616" t="s">
        <v>4526</v>
      </c>
      <c r="F551" s="619">
        <v>9</v>
      </c>
      <c r="G551" s="619">
        <v>287694</v>
      </c>
      <c r="H551" s="619">
        <v>1</v>
      </c>
      <c r="I551" s="619">
        <v>31966</v>
      </c>
      <c r="J551" s="619">
        <v>6</v>
      </c>
      <c r="K551" s="619">
        <v>191796</v>
      </c>
      <c r="L551" s="619">
        <v>0.66666666666666663</v>
      </c>
      <c r="M551" s="619">
        <v>31966</v>
      </c>
      <c r="N551" s="619">
        <v>10</v>
      </c>
      <c r="O551" s="619">
        <v>319660</v>
      </c>
      <c r="P551" s="640">
        <v>1.1111111111111112</v>
      </c>
      <c r="Q551" s="620">
        <v>31966</v>
      </c>
    </row>
    <row r="552" spans="1:17" ht="14.4" customHeight="1" x14ac:dyDescent="0.3">
      <c r="A552" s="615" t="s">
        <v>479</v>
      </c>
      <c r="B552" s="616" t="s">
        <v>3591</v>
      </c>
      <c r="C552" s="616" t="s">
        <v>3592</v>
      </c>
      <c r="D552" s="616" t="s">
        <v>4527</v>
      </c>
      <c r="E552" s="616" t="s">
        <v>4528</v>
      </c>
      <c r="F552" s="619">
        <v>2724</v>
      </c>
      <c r="G552" s="619">
        <v>32407428</v>
      </c>
      <c r="H552" s="619">
        <v>1</v>
      </c>
      <c r="I552" s="619">
        <v>11897</v>
      </c>
      <c r="J552" s="619">
        <v>2634</v>
      </c>
      <c r="K552" s="619">
        <v>31336698</v>
      </c>
      <c r="L552" s="619">
        <v>0.96696035242290745</v>
      </c>
      <c r="M552" s="619">
        <v>11897</v>
      </c>
      <c r="N552" s="619">
        <v>3033</v>
      </c>
      <c r="O552" s="619">
        <v>36083601</v>
      </c>
      <c r="P552" s="640">
        <v>1.1134361233480177</v>
      </c>
      <c r="Q552" s="620">
        <v>11897</v>
      </c>
    </row>
    <row r="553" spans="1:17" ht="14.4" customHeight="1" x14ac:dyDescent="0.3">
      <c r="A553" s="615" t="s">
        <v>479</v>
      </c>
      <c r="B553" s="616" t="s">
        <v>3591</v>
      </c>
      <c r="C553" s="616" t="s">
        <v>3592</v>
      </c>
      <c r="D553" s="616" t="s">
        <v>4529</v>
      </c>
      <c r="E553" s="616" t="s">
        <v>4530</v>
      </c>
      <c r="F553" s="619">
        <v>1</v>
      </c>
      <c r="G553" s="619">
        <v>188</v>
      </c>
      <c r="H553" s="619">
        <v>1</v>
      </c>
      <c r="I553" s="619">
        <v>188</v>
      </c>
      <c r="J553" s="619"/>
      <c r="K553" s="619"/>
      <c r="L553" s="619"/>
      <c r="M553" s="619"/>
      <c r="N553" s="619"/>
      <c r="O553" s="619"/>
      <c r="P553" s="640"/>
      <c r="Q553" s="620"/>
    </row>
    <row r="554" spans="1:17" ht="14.4" customHeight="1" x14ac:dyDescent="0.3">
      <c r="A554" s="615" t="s">
        <v>479</v>
      </c>
      <c r="B554" s="616" t="s">
        <v>3591</v>
      </c>
      <c r="C554" s="616" t="s">
        <v>3592</v>
      </c>
      <c r="D554" s="616" t="s">
        <v>4531</v>
      </c>
      <c r="E554" s="616" t="s">
        <v>4532</v>
      </c>
      <c r="F554" s="619">
        <v>13</v>
      </c>
      <c r="G554" s="619">
        <v>5551</v>
      </c>
      <c r="H554" s="619">
        <v>1</v>
      </c>
      <c r="I554" s="619">
        <v>427</v>
      </c>
      <c r="J554" s="619">
        <v>22</v>
      </c>
      <c r="K554" s="619">
        <v>9438</v>
      </c>
      <c r="L554" s="619">
        <v>1.7002341920374706</v>
      </c>
      <c r="M554" s="619">
        <v>429</v>
      </c>
      <c r="N554" s="619">
        <v>15</v>
      </c>
      <c r="O554" s="619">
        <v>6525</v>
      </c>
      <c r="P554" s="640">
        <v>1.1754638803819131</v>
      </c>
      <c r="Q554" s="620">
        <v>435</v>
      </c>
    </row>
    <row r="555" spans="1:17" ht="14.4" customHeight="1" x14ac:dyDescent="0.3">
      <c r="A555" s="615" t="s">
        <v>479</v>
      </c>
      <c r="B555" s="616" t="s">
        <v>3591</v>
      </c>
      <c r="C555" s="616" t="s">
        <v>3592</v>
      </c>
      <c r="D555" s="616" t="s">
        <v>4533</v>
      </c>
      <c r="E555" s="616" t="s">
        <v>4534</v>
      </c>
      <c r="F555" s="619">
        <v>1685</v>
      </c>
      <c r="G555" s="619">
        <v>645024</v>
      </c>
      <c r="H555" s="619">
        <v>1</v>
      </c>
      <c r="I555" s="619">
        <v>382.80356083086053</v>
      </c>
      <c r="J555" s="619">
        <v>1623</v>
      </c>
      <c r="K555" s="619">
        <v>623232</v>
      </c>
      <c r="L555" s="619">
        <v>0.96621521059681503</v>
      </c>
      <c r="M555" s="619">
        <v>384</v>
      </c>
      <c r="N555" s="619">
        <v>1903</v>
      </c>
      <c r="O555" s="619">
        <v>742170</v>
      </c>
      <c r="P555" s="640">
        <v>1.1506083494567645</v>
      </c>
      <c r="Q555" s="620">
        <v>390</v>
      </c>
    </row>
    <row r="556" spans="1:17" ht="14.4" customHeight="1" x14ac:dyDescent="0.3">
      <c r="A556" s="615" t="s">
        <v>479</v>
      </c>
      <c r="B556" s="616" t="s">
        <v>3591</v>
      </c>
      <c r="C556" s="616" t="s">
        <v>3592</v>
      </c>
      <c r="D556" s="616" t="s">
        <v>4535</v>
      </c>
      <c r="E556" s="616" t="s">
        <v>4536</v>
      </c>
      <c r="F556" s="619">
        <v>1210</v>
      </c>
      <c r="G556" s="619">
        <v>282514</v>
      </c>
      <c r="H556" s="619">
        <v>1</v>
      </c>
      <c r="I556" s="619">
        <v>233.48264462809917</v>
      </c>
      <c r="J556" s="619">
        <v>1234</v>
      </c>
      <c r="K556" s="619">
        <v>289990</v>
      </c>
      <c r="L556" s="619">
        <v>1.0264624054029181</v>
      </c>
      <c r="M556" s="619">
        <v>235</v>
      </c>
      <c r="N556" s="619">
        <v>1207</v>
      </c>
      <c r="O556" s="619">
        <v>302957</v>
      </c>
      <c r="P556" s="640">
        <v>1.0723610157372732</v>
      </c>
      <c r="Q556" s="620">
        <v>251</v>
      </c>
    </row>
    <row r="557" spans="1:17" ht="14.4" customHeight="1" x14ac:dyDescent="0.3">
      <c r="A557" s="615" t="s">
        <v>479</v>
      </c>
      <c r="B557" s="616" t="s">
        <v>3591</v>
      </c>
      <c r="C557" s="616" t="s">
        <v>3592</v>
      </c>
      <c r="D557" s="616" t="s">
        <v>4537</v>
      </c>
      <c r="E557" s="616" t="s">
        <v>4538</v>
      </c>
      <c r="F557" s="619">
        <v>0</v>
      </c>
      <c r="G557" s="619">
        <v>0</v>
      </c>
      <c r="H557" s="619"/>
      <c r="I557" s="619"/>
      <c r="J557" s="619"/>
      <c r="K557" s="619"/>
      <c r="L557" s="619"/>
      <c r="M557" s="619"/>
      <c r="N557" s="619"/>
      <c r="O557" s="619"/>
      <c r="P557" s="640"/>
      <c r="Q557" s="620"/>
    </row>
    <row r="558" spans="1:17" ht="14.4" customHeight="1" x14ac:dyDescent="0.3">
      <c r="A558" s="615" t="s">
        <v>479</v>
      </c>
      <c r="B558" s="616" t="s">
        <v>3591</v>
      </c>
      <c r="C558" s="616" t="s">
        <v>3592</v>
      </c>
      <c r="D558" s="616" t="s">
        <v>4539</v>
      </c>
      <c r="E558" s="616" t="s">
        <v>4540</v>
      </c>
      <c r="F558" s="619">
        <v>0</v>
      </c>
      <c r="G558" s="619">
        <v>0</v>
      </c>
      <c r="H558" s="619"/>
      <c r="I558" s="619"/>
      <c r="J558" s="619">
        <v>0</v>
      </c>
      <c r="K558" s="619">
        <v>0</v>
      </c>
      <c r="L558" s="619"/>
      <c r="M558" s="619"/>
      <c r="N558" s="619">
        <v>0</v>
      </c>
      <c r="O558" s="619">
        <v>0</v>
      </c>
      <c r="P558" s="640"/>
      <c r="Q558" s="620"/>
    </row>
    <row r="559" spans="1:17" ht="14.4" customHeight="1" x14ac:dyDescent="0.3">
      <c r="A559" s="615" t="s">
        <v>479</v>
      </c>
      <c r="B559" s="616" t="s">
        <v>3591</v>
      </c>
      <c r="C559" s="616" t="s">
        <v>3592</v>
      </c>
      <c r="D559" s="616" t="s">
        <v>4541</v>
      </c>
      <c r="E559" s="616" t="s">
        <v>4542</v>
      </c>
      <c r="F559" s="619">
        <v>1347</v>
      </c>
      <c r="G559" s="619">
        <v>0</v>
      </c>
      <c r="H559" s="619"/>
      <c r="I559" s="619">
        <v>0</v>
      </c>
      <c r="J559" s="619">
        <v>1160</v>
      </c>
      <c r="K559" s="619">
        <v>0</v>
      </c>
      <c r="L559" s="619"/>
      <c r="M559" s="619">
        <v>0</v>
      </c>
      <c r="N559" s="619">
        <v>1224</v>
      </c>
      <c r="O559" s="619">
        <v>0</v>
      </c>
      <c r="P559" s="640"/>
      <c r="Q559" s="620">
        <v>0</v>
      </c>
    </row>
    <row r="560" spans="1:17" ht="14.4" customHeight="1" x14ac:dyDescent="0.3">
      <c r="A560" s="615" t="s">
        <v>479</v>
      </c>
      <c r="B560" s="616" t="s">
        <v>3591</v>
      </c>
      <c r="C560" s="616" t="s">
        <v>3592</v>
      </c>
      <c r="D560" s="616" t="s">
        <v>4543</v>
      </c>
      <c r="E560" s="616" t="s">
        <v>4544</v>
      </c>
      <c r="F560" s="619">
        <v>258</v>
      </c>
      <c r="G560" s="619">
        <v>0</v>
      </c>
      <c r="H560" s="619"/>
      <c r="I560" s="619">
        <v>0</v>
      </c>
      <c r="J560" s="619">
        <v>282</v>
      </c>
      <c r="K560" s="619">
        <v>0</v>
      </c>
      <c r="L560" s="619"/>
      <c r="M560" s="619">
        <v>0</v>
      </c>
      <c r="N560" s="619">
        <v>282</v>
      </c>
      <c r="O560" s="619">
        <v>0</v>
      </c>
      <c r="P560" s="640"/>
      <c r="Q560" s="620">
        <v>0</v>
      </c>
    </row>
    <row r="561" spans="1:17" ht="14.4" customHeight="1" x14ac:dyDescent="0.3">
      <c r="A561" s="615" t="s">
        <v>479</v>
      </c>
      <c r="B561" s="616" t="s">
        <v>3591</v>
      </c>
      <c r="C561" s="616" t="s">
        <v>3592</v>
      </c>
      <c r="D561" s="616" t="s">
        <v>4545</v>
      </c>
      <c r="E561" s="616" t="s">
        <v>4546</v>
      </c>
      <c r="F561" s="619">
        <v>78</v>
      </c>
      <c r="G561" s="619">
        <v>0</v>
      </c>
      <c r="H561" s="619"/>
      <c r="I561" s="619">
        <v>0</v>
      </c>
      <c r="J561" s="619">
        <v>93</v>
      </c>
      <c r="K561" s="619">
        <v>0</v>
      </c>
      <c r="L561" s="619"/>
      <c r="M561" s="619">
        <v>0</v>
      </c>
      <c r="N561" s="619">
        <v>119</v>
      </c>
      <c r="O561" s="619">
        <v>0</v>
      </c>
      <c r="P561" s="640"/>
      <c r="Q561" s="620">
        <v>0</v>
      </c>
    </row>
    <row r="562" spans="1:17" ht="14.4" customHeight="1" x14ac:dyDescent="0.3">
      <c r="A562" s="615" t="s">
        <v>479</v>
      </c>
      <c r="B562" s="616" t="s">
        <v>3591</v>
      </c>
      <c r="C562" s="616" t="s">
        <v>3592</v>
      </c>
      <c r="D562" s="616" t="s">
        <v>4547</v>
      </c>
      <c r="E562" s="616" t="s">
        <v>4548</v>
      </c>
      <c r="F562" s="619">
        <v>14</v>
      </c>
      <c r="G562" s="619">
        <v>0</v>
      </c>
      <c r="H562" s="619"/>
      <c r="I562" s="619">
        <v>0</v>
      </c>
      <c r="J562" s="619">
        <v>8</v>
      </c>
      <c r="K562" s="619">
        <v>0</v>
      </c>
      <c r="L562" s="619"/>
      <c r="M562" s="619">
        <v>0</v>
      </c>
      <c r="N562" s="619">
        <v>19</v>
      </c>
      <c r="O562" s="619">
        <v>0</v>
      </c>
      <c r="P562" s="640"/>
      <c r="Q562" s="620">
        <v>0</v>
      </c>
    </row>
    <row r="563" spans="1:17" ht="14.4" customHeight="1" x14ac:dyDescent="0.3">
      <c r="A563" s="615" t="s">
        <v>479</v>
      </c>
      <c r="B563" s="616" t="s">
        <v>3591</v>
      </c>
      <c r="C563" s="616" t="s">
        <v>3592</v>
      </c>
      <c r="D563" s="616" t="s">
        <v>4549</v>
      </c>
      <c r="E563" s="616" t="s">
        <v>4546</v>
      </c>
      <c r="F563" s="619">
        <v>1</v>
      </c>
      <c r="G563" s="619">
        <v>0</v>
      </c>
      <c r="H563" s="619"/>
      <c r="I563" s="619">
        <v>0</v>
      </c>
      <c r="J563" s="619"/>
      <c r="K563" s="619"/>
      <c r="L563" s="619"/>
      <c r="M563" s="619"/>
      <c r="N563" s="619"/>
      <c r="O563" s="619"/>
      <c r="P563" s="640"/>
      <c r="Q563" s="620"/>
    </row>
    <row r="564" spans="1:17" ht="14.4" customHeight="1" x14ac:dyDescent="0.3">
      <c r="A564" s="615" t="s">
        <v>479</v>
      </c>
      <c r="B564" s="616" t="s">
        <v>3591</v>
      </c>
      <c r="C564" s="616" t="s">
        <v>3592</v>
      </c>
      <c r="D564" s="616" t="s">
        <v>4550</v>
      </c>
      <c r="E564" s="616" t="s">
        <v>4551</v>
      </c>
      <c r="F564" s="619">
        <v>1</v>
      </c>
      <c r="G564" s="619">
        <v>706</v>
      </c>
      <c r="H564" s="619">
        <v>1</v>
      </c>
      <c r="I564" s="619">
        <v>706</v>
      </c>
      <c r="J564" s="619"/>
      <c r="K564" s="619"/>
      <c r="L564" s="619"/>
      <c r="M564" s="619"/>
      <c r="N564" s="619"/>
      <c r="O564" s="619"/>
      <c r="P564" s="640"/>
      <c r="Q564" s="620"/>
    </row>
    <row r="565" spans="1:17" ht="14.4" customHeight="1" x14ac:dyDescent="0.3">
      <c r="A565" s="615" t="s">
        <v>479</v>
      </c>
      <c r="B565" s="616" t="s">
        <v>3591</v>
      </c>
      <c r="C565" s="616" t="s">
        <v>3592</v>
      </c>
      <c r="D565" s="616" t="s">
        <v>4552</v>
      </c>
      <c r="E565" s="616" t="s">
        <v>4546</v>
      </c>
      <c r="F565" s="619">
        <v>45</v>
      </c>
      <c r="G565" s="619">
        <v>0</v>
      </c>
      <c r="H565" s="619"/>
      <c r="I565" s="619">
        <v>0</v>
      </c>
      <c r="J565" s="619">
        <v>44</v>
      </c>
      <c r="K565" s="619">
        <v>0</v>
      </c>
      <c r="L565" s="619"/>
      <c r="M565" s="619">
        <v>0</v>
      </c>
      <c r="N565" s="619">
        <v>45</v>
      </c>
      <c r="O565" s="619">
        <v>0</v>
      </c>
      <c r="P565" s="640"/>
      <c r="Q565" s="620">
        <v>0</v>
      </c>
    </row>
    <row r="566" spans="1:17" ht="14.4" customHeight="1" x14ac:dyDescent="0.3">
      <c r="A566" s="615" t="s">
        <v>479</v>
      </c>
      <c r="B566" s="616" t="s">
        <v>3591</v>
      </c>
      <c r="C566" s="616" t="s">
        <v>3592</v>
      </c>
      <c r="D566" s="616" t="s">
        <v>4553</v>
      </c>
      <c r="E566" s="616" t="s">
        <v>4554</v>
      </c>
      <c r="F566" s="619">
        <v>60</v>
      </c>
      <c r="G566" s="619">
        <v>328560</v>
      </c>
      <c r="H566" s="619">
        <v>1</v>
      </c>
      <c r="I566" s="619">
        <v>5476</v>
      </c>
      <c r="J566" s="619">
        <v>48</v>
      </c>
      <c r="K566" s="619">
        <v>262848</v>
      </c>
      <c r="L566" s="619">
        <v>0.8</v>
      </c>
      <c r="M566" s="619">
        <v>5476</v>
      </c>
      <c r="N566" s="619">
        <v>39</v>
      </c>
      <c r="O566" s="619">
        <v>213564</v>
      </c>
      <c r="P566" s="640">
        <v>0.65</v>
      </c>
      <c r="Q566" s="620">
        <v>5476</v>
      </c>
    </row>
    <row r="567" spans="1:17" ht="14.4" customHeight="1" x14ac:dyDescent="0.3">
      <c r="A567" s="615" t="s">
        <v>479</v>
      </c>
      <c r="B567" s="616" t="s">
        <v>3591</v>
      </c>
      <c r="C567" s="616" t="s">
        <v>3592</v>
      </c>
      <c r="D567" s="616" t="s">
        <v>4555</v>
      </c>
      <c r="E567" s="616" t="s">
        <v>4556</v>
      </c>
      <c r="F567" s="619">
        <v>3</v>
      </c>
      <c r="G567" s="619">
        <v>0</v>
      </c>
      <c r="H567" s="619"/>
      <c r="I567" s="619">
        <v>0</v>
      </c>
      <c r="J567" s="619">
        <v>2</v>
      </c>
      <c r="K567" s="619">
        <v>0</v>
      </c>
      <c r="L567" s="619"/>
      <c r="M567" s="619">
        <v>0</v>
      </c>
      <c r="N567" s="619">
        <v>1</v>
      </c>
      <c r="O567" s="619">
        <v>0</v>
      </c>
      <c r="P567" s="640"/>
      <c r="Q567" s="620">
        <v>0</v>
      </c>
    </row>
    <row r="568" spans="1:17" ht="14.4" customHeight="1" x14ac:dyDescent="0.3">
      <c r="A568" s="615" t="s">
        <v>479</v>
      </c>
      <c r="B568" s="616" t="s">
        <v>3591</v>
      </c>
      <c r="C568" s="616" t="s">
        <v>3592</v>
      </c>
      <c r="D568" s="616" t="s">
        <v>4557</v>
      </c>
      <c r="E568" s="616" t="s">
        <v>4558</v>
      </c>
      <c r="F568" s="619">
        <v>169</v>
      </c>
      <c r="G568" s="619">
        <v>4050254</v>
      </c>
      <c r="H568" s="619">
        <v>1</v>
      </c>
      <c r="I568" s="619">
        <v>23966</v>
      </c>
      <c r="J568" s="619">
        <v>214</v>
      </c>
      <c r="K568" s="619">
        <v>5128724</v>
      </c>
      <c r="L568" s="619">
        <v>1.2662721893491125</v>
      </c>
      <c r="M568" s="619">
        <v>23966</v>
      </c>
      <c r="N568" s="619">
        <v>123</v>
      </c>
      <c r="O568" s="619">
        <v>2947818</v>
      </c>
      <c r="P568" s="640">
        <v>0.72781065088757402</v>
      </c>
      <c r="Q568" s="620">
        <v>23966</v>
      </c>
    </row>
    <row r="569" spans="1:17" ht="14.4" customHeight="1" x14ac:dyDescent="0.3">
      <c r="A569" s="615" t="s">
        <v>479</v>
      </c>
      <c r="B569" s="616" t="s">
        <v>3591</v>
      </c>
      <c r="C569" s="616" t="s">
        <v>3592</v>
      </c>
      <c r="D569" s="616" t="s">
        <v>4559</v>
      </c>
      <c r="E569" s="616" t="s">
        <v>4560</v>
      </c>
      <c r="F569" s="619">
        <v>463</v>
      </c>
      <c r="G569" s="619">
        <v>3090988</v>
      </c>
      <c r="H569" s="619">
        <v>1</v>
      </c>
      <c r="I569" s="619">
        <v>6676</v>
      </c>
      <c r="J569" s="619">
        <v>379</v>
      </c>
      <c r="K569" s="619">
        <v>2530204</v>
      </c>
      <c r="L569" s="619">
        <v>0.81857451403887693</v>
      </c>
      <c r="M569" s="619">
        <v>6676</v>
      </c>
      <c r="N569" s="619">
        <v>301</v>
      </c>
      <c r="O569" s="619">
        <v>2009476</v>
      </c>
      <c r="P569" s="640">
        <v>0.6501079913606912</v>
      </c>
      <c r="Q569" s="620">
        <v>6676</v>
      </c>
    </row>
    <row r="570" spans="1:17" ht="14.4" customHeight="1" x14ac:dyDescent="0.3">
      <c r="A570" s="615" t="s">
        <v>479</v>
      </c>
      <c r="B570" s="616" t="s">
        <v>3591</v>
      </c>
      <c r="C570" s="616" t="s">
        <v>3592</v>
      </c>
      <c r="D570" s="616" t="s">
        <v>4561</v>
      </c>
      <c r="E570" s="616" t="s">
        <v>4546</v>
      </c>
      <c r="F570" s="619">
        <v>12</v>
      </c>
      <c r="G570" s="619">
        <v>0</v>
      </c>
      <c r="H570" s="619"/>
      <c r="I570" s="619">
        <v>0</v>
      </c>
      <c r="J570" s="619">
        <v>16</v>
      </c>
      <c r="K570" s="619">
        <v>0</v>
      </c>
      <c r="L570" s="619"/>
      <c r="M570" s="619">
        <v>0</v>
      </c>
      <c r="N570" s="619">
        <v>10</v>
      </c>
      <c r="O570" s="619">
        <v>0</v>
      </c>
      <c r="P570" s="640"/>
      <c r="Q570" s="620">
        <v>0</v>
      </c>
    </row>
    <row r="571" spans="1:17" ht="14.4" customHeight="1" x14ac:dyDescent="0.3">
      <c r="A571" s="615" t="s">
        <v>479</v>
      </c>
      <c r="B571" s="616" t="s">
        <v>3591</v>
      </c>
      <c r="C571" s="616" t="s">
        <v>3592</v>
      </c>
      <c r="D571" s="616" t="s">
        <v>4562</v>
      </c>
      <c r="E571" s="616" t="s">
        <v>4563</v>
      </c>
      <c r="F571" s="619">
        <v>59</v>
      </c>
      <c r="G571" s="619">
        <v>1649994</v>
      </c>
      <c r="H571" s="619">
        <v>1</v>
      </c>
      <c r="I571" s="619">
        <v>27966</v>
      </c>
      <c r="J571" s="619">
        <v>140</v>
      </c>
      <c r="K571" s="619">
        <v>3915240</v>
      </c>
      <c r="L571" s="619">
        <v>2.3728813559322033</v>
      </c>
      <c r="M571" s="619">
        <v>27966</v>
      </c>
      <c r="N571" s="619">
        <v>68</v>
      </c>
      <c r="O571" s="619">
        <v>1901688</v>
      </c>
      <c r="P571" s="640">
        <v>1.152542372881356</v>
      </c>
      <c r="Q571" s="620">
        <v>27966</v>
      </c>
    </row>
    <row r="572" spans="1:17" ht="14.4" customHeight="1" x14ac:dyDescent="0.3">
      <c r="A572" s="615" t="s">
        <v>479</v>
      </c>
      <c r="B572" s="616" t="s">
        <v>3591</v>
      </c>
      <c r="C572" s="616" t="s">
        <v>3592</v>
      </c>
      <c r="D572" s="616" t="s">
        <v>3593</v>
      </c>
      <c r="E572" s="616" t="s">
        <v>3594</v>
      </c>
      <c r="F572" s="619">
        <v>523</v>
      </c>
      <c r="G572" s="619">
        <v>181464</v>
      </c>
      <c r="H572" s="619">
        <v>1</v>
      </c>
      <c r="I572" s="619">
        <v>346.96749521988528</v>
      </c>
      <c r="J572" s="619">
        <v>625</v>
      </c>
      <c r="K572" s="619">
        <v>218125</v>
      </c>
      <c r="L572" s="619">
        <v>1.2020290525944539</v>
      </c>
      <c r="M572" s="619">
        <v>349</v>
      </c>
      <c r="N572" s="619">
        <v>677</v>
      </c>
      <c r="O572" s="619">
        <v>251844</v>
      </c>
      <c r="P572" s="640">
        <v>1.3878455230789577</v>
      </c>
      <c r="Q572" s="620">
        <v>372</v>
      </c>
    </row>
    <row r="573" spans="1:17" ht="14.4" customHeight="1" x14ac:dyDescent="0.3">
      <c r="A573" s="615" t="s">
        <v>479</v>
      </c>
      <c r="B573" s="616" t="s">
        <v>3591</v>
      </c>
      <c r="C573" s="616" t="s">
        <v>3592</v>
      </c>
      <c r="D573" s="616" t="s">
        <v>4564</v>
      </c>
      <c r="E573" s="616" t="s">
        <v>4565</v>
      </c>
      <c r="F573" s="619">
        <v>42</v>
      </c>
      <c r="G573" s="619">
        <v>46760</v>
      </c>
      <c r="H573" s="619">
        <v>1</v>
      </c>
      <c r="I573" s="619">
        <v>1113.3333333333333</v>
      </c>
      <c r="J573" s="619">
        <v>11</v>
      </c>
      <c r="K573" s="619">
        <v>12320</v>
      </c>
      <c r="L573" s="619">
        <v>0.26347305389221559</v>
      </c>
      <c r="M573" s="619">
        <v>1120</v>
      </c>
      <c r="N573" s="619">
        <v>5</v>
      </c>
      <c r="O573" s="619">
        <v>5760</v>
      </c>
      <c r="P573" s="640">
        <v>0.12318220701454234</v>
      </c>
      <c r="Q573" s="620">
        <v>1152</v>
      </c>
    </row>
    <row r="574" spans="1:17" ht="14.4" customHeight="1" x14ac:dyDescent="0.3">
      <c r="A574" s="615" t="s">
        <v>479</v>
      </c>
      <c r="B574" s="616" t="s">
        <v>3591</v>
      </c>
      <c r="C574" s="616" t="s">
        <v>3592</v>
      </c>
      <c r="D574" s="616" t="s">
        <v>4566</v>
      </c>
      <c r="E574" s="616" t="s">
        <v>4567</v>
      </c>
      <c r="F574" s="619">
        <v>15</v>
      </c>
      <c r="G574" s="619">
        <v>0</v>
      </c>
      <c r="H574" s="619"/>
      <c r="I574" s="619">
        <v>0</v>
      </c>
      <c r="J574" s="619">
        <v>23</v>
      </c>
      <c r="K574" s="619">
        <v>0</v>
      </c>
      <c r="L574" s="619"/>
      <c r="M574" s="619">
        <v>0</v>
      </c>
      <c r="N574" s="619">
        <v>32</v>
      </c>
      <c r="O574" s="619">
        <v>0</v>
      </c>
      <c r="P574" s="640"/>
      <c r="Q574" s="620">
        <v>0</v>
      </c>
    </row>
    <row r="575" spans="1:17" ht="14.4" customHeight="1" x14ac:dyDescent="0.3">
      <c r="A575" s="615" t="s">
        <v>479</v>
      </c>
      <c r="B575" s="616" t="s">
        <v>3591</v>
      </c>
      <c r="C575" s="616" t="s">
        <v>3592</v>
      </c>
      <c r="D575" s="616" t="s">
        <v>4568</v>
      </c>
      <c r="E575" s="616" t="s">
        <v>4569</v>
      </c>
      <c r="F575" s="619">
        <v>4</v>
      </c>
      <c r="G575" s="619">
        <v>2440</v>
      </c>
      <c r="H575" s="619">
        <v>1</v>
      </c>
      <c r="I575" s="619">
        <v>610</v>
      </c>
      <c r="J575" s="619">
        <v>2</v>
      </c>
      <c r="K575" s="619">
        <v>1222</v>
      </c>
      <c r="L575" s="619">
        <v>0.50081967213114753</v>
      </c>
      <c r="M575" s="619">
        <v>611</v>
      </c>
      <c r="N575" s="619">
        <v>2</v>
      </c>
      <c r="O575" s="619">
        <v>1246</v>
      </c>
      <c r="P575" s="640">
        <v>0.51065573770491801</v>
      </c>
      <c r="Q575" s="620">
        <v>623</v>
      </c>
    </row>
    <row r="576" spans="1:17" ht="14.4" customHeight="1" x14ac:dyDescent="0.3">
      <c r="A576" s="615" t="s">
        <v>479</v>
      </c>
      <c r="B576" s="616" t="s">
        <v>3591</v>
      </c>
      <c r="C576" s="616" t="s">
        <v>3592</v>
      </c>
      <c r="D576" s="616" t="s">
        <v>4570</v>
      </c>
      <c r="E576" s="616" t="s">
        <v>4569</v>
      </c>
      <c r="F576" s="619"/>
      <c r="G576" s="619"/>
      <c r="H576" s="619"/>
      <c r="I576" s="619"/>
      <c r="J576" s="619">
        <v>1</v>
      </c>
      <c r="K576" s="619">
        <v>525</v>
      </c>
      <c r="L576" s="619"/>
      <c r="M576" s="619">
        <v>525</v>
      </c>
      <c r="N576" s="619"/>
      <c r="O576" s="619"/>
      <c r="P576" s="640"/>
      <c r="Q576" s="620"/>
    </row>
    <row r="577" spans="1:17" ht="14.4" customHeight="1" x14ac:dyDescent="0.3">
      <c r="A577" s="615" t="s">
        <v>479</v>
      </c>
      <c r="B577" s="616" t="s">
        <v>3591</v>
      </c>
      <c r="C577" s="616" t="s">
        <v>3592</v>
      </c>
      <c r="D577" s="616" t="s">
        <v>4571</v>
      </c>
      <c r="E577" s="616" t="s">
        <v>4546</v>
      </c>
      <c r="F577" s="619">
        <v>1</v>
      </c>
      <c r="G577" s="619">
        <v>0</v>
      </c>
      <c r="H577" s="619"/>
      <c r="I577" s="619">
        <v>0</v>
      </c>
      <c r="J577" s="619">
        <v>4</v>
      </c>
      <c r="K577" s="619">
        <v>0</v>
      </c>
      <c r="L577" s="619"/>
      <c r="M577" s="619">
        <v>0</v>
      </c>
      <c r="N577" s="619">
        <v>2</v>
      </c>
      <c r="O577" s="619">
        <v>0</v>
      </c>
      <c r="P577" s="640"/>
      <c r="Q577" s="620">
        <v>0</v>
      </c>
    </row>
    <row r="578" spans="1:17" ht="14.4" customHeight="1" x14ac:dyDescent="0.3">
      <c r="A578" s="615" t="s">
        <v>479</v>
      </c>
      <c r="B578" s="616" t="s">
        <v>4572</v>
      </c>
      <c r="C578" s="616" t="s">
        <v>3592</v>
      </c>
      <c r="D578" s="616" t="s">
        <v>3634</v>
      </c>
      <c r="E578" s="616" t="s">
        <v>3635</v>
      </c>
      <c r="F578" s="619"/>
      <c r="G578" s="619"/>
      <c r="H578" s="619"/>
      <c r="I578" s="619"/>
      <c r="J578" s="619">
        <v>1</v>
      </c>
      <c r="K578" s="619">
        <v>696</v>
      </c>
      <c r="L578" s="619"/>
      <c r="M578" s="619">
        <v>696</v>
      </c>
      <c r="N578" s="619">
        <v>1</v>
      </c>
      <c r="O578" s="619">
        <v>709</v>
      </c>
      <c r="P578" s="640"/>
      <c r="Q578" s="620">
        <v>709</v>
      </c>
    </row>
    <row r="579" spans="1:17" ht="14.4" customHeight="1" x14ac:dyDescent="0.3">
      <c r="A579" s="615" t="s">
        <v>479</v>
      </c>
      <c r="B579" s="616" t="s">
        <v>4572</v>
      </c>
      <c r="C579" s="616" t="s">
        <v>3592</v>
      </c>
      <c r="D579" s="616" t="s">
        <v>4573</v>
      </c>
      <c r="E579" s="616" t="s">
        <v>4574</v>
      </c>
      <c r="F579" s="619"/>
      <c r="G579" s="619"/>
      <c r="H579" s="619"/>
      <c r="I579" s="619"/>
      <c r="J579" s="619"/>
      <c r="K579" s="619"/>
      <c r="L579" s="619"/>
      <c r="M579" s="619"/>
      <c r="N579" s="619">
        <v>1</v>
      </c>
      <c r="O579" s="619">
        <v>5923</v>
      </c>
      <c r="P579" s="640"/>
      <c r="Q579" s="620">
        <v>5923</v>
      </c>
    </row>
    <row r="580" spans="1:17" ht="14.4" customHeight="1" x14ac:dyDescent="0.3">
      <c r="A580" s="615" t="s">
        <v>479</v>
      </c>
      <c r="B580" s="616" t="s">
        <v>4572</v>
      </c>
      <c r="C580" s="616" t="s">
        <v>3592</v>
      </c>
      <c r="D580" s="616" t="s">
        <v>3933</v>
      </c>
      <c r="E580" s="616" t="s">
        <v>3934</v>
      </c>
      <c r="F580" s="619"/>
      <c r="G580" s="619"/>
      <c r="H580" s="619"/>
      <c r="I580" s="619"/>
      <c r="J580" s="619"/>
      <c r="K580" s="619"/>
      <c r="L580" s="619"/>
      <c r="M580" s="619"/>
      <c r="N580" s="619">
        <v>15</v>
      </c>
      <c r="O580" s="619">
        <v>2610</v>
      </c>
      <c r="P580" s="640"/>
      <c r="Q580" s="620">
        <v>174</v>
      </c>
    </row>
    <row r="581" spans="1:17" ht="14.4" customHeight="1" x14ac:dyDescent="0.3">
      <c r="A581" s="615" t="s">
        <v>479</v>
      </c>
      <c r="B581" s="616" t="s">
        <v>4572</v>
      </c>
      <c r="C581" s="616" t="s">
        <v>3592</v>
      </c>
      <c r="D581" s="616" t="s">
        <v>4575</v>
      </c>
      <c r="E581" s="616" t="s">
        <v>4576</v>
      </c>
      <c r="F581" s="619"/>
      <c r="G581" s="619"/>
      <c r="H581" s="619"/>
      <c r="I581" s="619"/>
      <c r="J581" s="619"/>
      <c r="K581" s="619"/>
      <c r="L581" s="619"/>
      <c r="M581" s="619"/>
      <c r="N581" s="619">
        <v>2</v>
      </c>
      <c r="O581" s="619">
        <v>2996</v>
      </c>
      <c r="P581" s="640"/>
      <c r="Q581" s="620">
        <v>1498</v>
      </c>
    </row>
    <row r="582" spans="1:17" ht="14.4" customHeight="1" x14ac:dyDescent="0.3">
      <c r="A582" s="615" t="s">
        <v>479</v>
      </c>
      <c r="B582" s="616" t="s">
        <v>4572</v>
      </c>
      <c r="C582" s="616" t="s">
        <v>3592</v>
      </c>
      <c r="D582" s="616" t="s">
        <v>4577</v>
      </c>
      <c r="E582" s="616" t="s">
        <v>4578</v>
      </c>
      <c r="F582" s="619">
        <v>1</v>
      </c>
      <c r="G582" s="619">
        <v>1363</v>
      </c>
      <c r="H582" s="619">
        <v>1</v>
      </c>
      <c r="I582" s="619">
        <v>1363</v>
      </c>
      <c r="J582" s="619"/>
      <c r="K582" s="619"/>
      <c r="L582" s="619"/>
      <c r="M582" s="619"/>
      <c r="N582" s="619">
        <v>1</v>
      </c>
      <c r="O582" s="619">
        <v>1399</v>
      </c>
      <c r="P582" s="640">
        <v>1.0264123257520177</v>
      </c>
      <c r="Q582" s="620">
        <v>1399</v>
      </c>
    </row>
    <row r="583" spans="1:17" ht="14.4" customHeight="1" x14ac:dyDescent="0.3">
      <c r="A583" s="615" t="s">
        <v>479</v>
      </c>
      <c r="B583" s="616" t="s">
        <v>4572</v>
      </c>
      <c r="C583" s="616" t="s">
        <v>3592</v>
      </c>
      <c r="D583" s="616" t="s">
        <v>4579</v>
      </c>
      <c r="E583" s="616" t="s">
        <v>4580</v>
      </c>
      <c r="F583" s="619"/>
      <c r="G583" s="619"/>
      <c r="H583" s="619"/>
      <c r="I583" s="619"/>
      <c r="J583" s="619"/>
      <c r="K583" s="619"/>
      <c r="L583" s="619"/>
      <c r="M583" s="619"/>
      <c r="N583" s="619">
        <v>4</v>
      </c>
      <c r="O583" s="619">
        <v>4124</v>
      </c>
      <c r="P583" s="640"/>
      <c r="Q583" s="620">
        <v>1031</v>
      </c>
    </row>
    <row r="584" spans="1:17" ht="14.4" customHeight="1" x14ac:dyDescent="0.3">
      <c r="A584" s="615" t="s">
        <v>479</v>
      </c>
      <c r="B584" s="616" t="s">
        <v>4572</v>
      </c>
      <c r="C584" s="616" t="s">
        <v>3592</v>
      </c>
      <c r="D584" s="616" t="s">
        <v>4581</v>
      </c>
      <c r="E584" s="616" t="s">
        <v>4582</v>
      </c>
      <c r="F584" s="619"/>
      <c r="G584" s="619"/>
      <c r="H584" s="619"/>
      <c r="I584" s="619"/>
      <c r="J584" s="619"/>
      <c r="K584" s="619"/>
      <c r="L584" s="619"/>
      <c r="M584" s="619"/>
      <c r="N584" s="619">
        <v>1</v>
      </c>
      <c r="O584" s="619">
        <v>1677</v>
      </c>
      <c r="P584" s="640"/>
      <c r="Q584" s="620">
        <v>1677</v>
      </c>
    </row>
    <row r="585" spans="1:17" ht="14.4" customHeight="1" x14ac:dyDescent="0.3">
      <c r="A585" s="615" t="s">
        <v>479</v>
      </c>
      <c r="B585" s="616" t="s">
        <v>4572</v>
      </c>
      <c r="C585" s="616" t="s">
        <v>3592</v>
      </c>
      <c r="D585" s="616" t="s">
        <v>4583</v>
      </c>
      <c r="E585" s="616" t="s">
        <v>4584</v>
      </c>
      <c r="F585" s="619">
        <v>6</v>
      </c>
      <c r="G585" s="619">
        <v>396</v>
      </c>
      <c r="H585" s="619">
        <v>1</v>
      </c>
      <c r="I585" s="619">
        <v>66</v>
      </c>
      <c r="J585" s="619"/>
      <c r="K585" s="619"/>
      <c r="L585" s="619"/>
      <c r="M585" s="619"/>
      <c r="N585" s="619">
        <v>4</v>
      </c>
      <c r="O585" s="619">
        <v>264</v>
      </c>
      <c r="P585" s="640">
        <v>0.66666666666666663</v>
      </c>
      <c r="Q585" s="620">
        <v>66</v>
      </c>
    </row>
    <row r="586" spans="1:17" ht="14.4" customHeight="1" x14ac:dyDescent="0.3">
      <c r="A586" s="615" t="s">
        <v>479</v>
      </c>
      <c r="B586" s="616" t="s">
        <v>4572</v>
      </c>
      <c r="C586" s="616" t="s">
        <v>3592</v>
      </c>
      <c r="D586" s="616" t="s">
        <v>4585</v>
      </c>
      <c r="E586" s="616" t="s">
        <v>4586</v>
      </c>
      <c r="F586" s="619"/>
      <c r="G586" s="619"/>
      <c r="H586" s="619"/>
      <c r="I586" s="619"/>
      <c r="J586" s="619"/>
      <c r="K586" s="619"/>
      <c r="L586" s="619"/>
      <c r="M586" s="619"/>
      <c r="N586" s="619">
        <v>1</v>
      </c>
      <c r="O586" s="619">
        <v>86</v>
      </c>
      <c r="P586" s="640"/>
      <c r="Q586" s="620">
        <v>86</v>
      </c>
    </row>
    <row r="587" spans="1:17" ht="14.4" customHeight="1" x14ac:dyDescent="0.3">
      <c r="A587" s="615" t="s">
        <v>479</v>
      </c>
      <c r="B587" s="616" t="s">
        <v>4572</v>
      </c>
      <c r="C587" s="616" t="s">
        <v>3592</v>
      </c>
      <c r="D587" s="616" t="s">
        <v>4587</v>
      </c>
      <c r="E587" s="616" t="s">
        <v>4588</v>
      </c>
      <c r="F587" s="619">
        <v>1</v>
      </c>
      <c r="G587" s="619">
        <v>668</v>
      </c>
      <c r="H587" s="619">
        <v>1</v>
      </c>
      <c r="I587" s="619">
        <v>668</v>
      </c>
      <c r="J587" s="619">
        <v>1</v>
      </c>
      <c r="K587" s="619">
        <v>675</v>
      </c>
      <c r="L587" s="619">
        <v>1.0104790419161678</v>
      </c>
      <c r="M587" s="619">
        <v>675</v>
      </c>
      <c r="N587" s="619">
        <v>2</v>
      </c>
      <c r="O587" s="619">
        <v>1376</v>
      </c>
      <c r="P587" s="640">
        <v>2.0598802395209579</v>
      </c>
      <c r="Q587" s="620">
        <v>688</v>
      </c>
    </row>
    <row r="588" spans="1:17" ht="14.4" customHeight="1" x14ac:dyDescent="0.3">
      <c r="A588" s="615" t="s">
        <v>479</v>
      </c>
      <c r="B588" s="616" t="s">
        <v>4572</v>
      </c>
      <c r="C588" s="616" t="s">
        <v>3592</v>
      </c>
      <c r="D588" s="616" t="s">
        <v>3708</v>
      </c>
      <c r="E588" s="616" t="s">
        <v>3709</v>
      </c>
      <c r="F588" s="619"/>
      <c r="G588" s="619"/>
      <c r="H588" s="619"/>
      <c r="I588" s="619"/>
      <c r="J588" s="619"/>
      <c r="K588" s="619"/>
      <c r="L588" s="619"/>
      <c r="M588" s="619"/>
      <c r="N588" s="619">
        <v>0</v>
      </c>
      <c r="O588" s="619">
        <v>0</v>
      </c>
      <c r="P588" s="640"/>
      <c r="Q588" s="620"/>
    </row>
    <row r="589" spans="1:17" ht="14.4" customHeight="1" x14ac:dyDescent="0.3">
      <c r="A589" s="615" t="s">
        <v>479</v>
      </c>
      <c r="B589" s="616" t="s">
        <v>4572</v>
      </c>
      <c r="C589" s="616" t="s">
        <v>3592</v>
      </c>
      <c r="D589" s="616" t="s">
        <v>3710</v>
      </c>
      <c r="E589" s="616" t="s">
        <v>3711</v>
      </c>
      <c r="F589" s="619"/>
      <c r="G589" s="619"/>
      <c r="H589" s="619"/>
      <c r="I589" s="619"/>
      <c r="J589" s="619">
        <v>1</v>
      </c>
      <c r="K589" s="619">
        <v>852</v>
      </c>
      <c r="L589" s="619"/>
      <c r="M589" s="619">
        <v>852</v>
      </c>
      <c r="N589" s="619">
        <v>3</v>
      </c>
      <c r="O589" s="619">
        <v>2595</v>
      </c>
      <c r="P589" s="640"/>
      <c r="Q589" s="620">
        <v>865</v>
      </c>
    </row>
    <row r="590" spans="1:17" ht="14.4" customHeight="1" x14ac:dyDescent="0.3">
      <c r="A590" s="615" t="s">
        <v>479</v>
      </c>
      <c r="B590" s="616" t="s">
        <v>4572</v>
      </c>
      <c r="C590" s="616" t="s">
        <v>3592</v>
      </c>
      <c r="D590" s="616" t="s">
        <v>3720</v>
      </c>
      <c r="E590" s="616" t="s">
        <v>3721</v>
      </c>
      <c r="F590" s="619"/>
      <c r="G590" s="619"/>
      <c r="H590" s="619"/>
      <c r="I590" s="619"/>
      <c r="J590" s="619"/>
      <c r="K590" s="619"/>
      <c r="L590" s="619"/>
      <c r="M590" s="619"/>
      <c r="N590" s="619">
        <v>2</v>
      </c>
      <c r="O590" s="619">
        <v>366</v>
      </c>
      <c r="P590" s="640"/>
      <c r="Q590" s="620">
        <v>183</v>
      </c>
    </row>
    <row r="591" spans="1:17" ht="14.4" customHeight="1" x14ac:dyDescent="0.3">
      <c r="A591" s="615" t="s">
        <v>479</v>
      </c>
      <c r="B591" s="616" t="s">
        <v>4572</v>
      </c>
      <c r="C591" s="616" t="s">
        <v>3592</v>
      </c>
      <c r="D591" s="616" t="s">
        <v>4589</v>
      </c>
      <c r="E591" s="616" t="s">
        <v>4590</v>
      </c>
      <c r="F591" s="619"/>
      <c r="G591" s="619"/>
      <c r="H591" s="619"/>
      <c r="I591" s="619"/>
      <c r="J591" s="619"/>
      <c r="K591" s="619"/>
      <c r="L591" s="619"/>
      <c r="M591" s="619"/>
      <c r="N591" s="619">
        <v>1</v>
      </c>
      <c r="O591" s="619">
        <v>1547</v>
      </c>
      <c r="P591" s="640"/>
      <c r="Q591" s="620">
        <v>1547</v>
      </c>
    </row>
    <row r="592" spans="1:17" ht="14.4" customHeight="1" x14ac:dyDescent="0.3">
      <c r="A592" s="615" t="s">
        <v>479</v>
      </c>
      <c r="B592" s="616" t="s">
        <v>4572</v>
      </c>
      <c r="C592" s="616" t="s">
        <v>3592</v>
      </c>
      <c r="D592" s="616" t="s">
        <v>4591</v>
      </c>
      <c r="E592" s="616" t="s">
        <v>4592</v>
      </c>
      <c r="F592" s="619"/>
      <c r="G592" s="619"/>
      <c r="H592" s="619"/>
      <c r="I592" s="619"/>
      <c r="J592" s="619">
        <v>1</v>
      </c>
      <c r="K592" s="619">
        <v>2654</v>
      </c>
      <c r="L592" s="619"/>
      <c r="M592" s="619">
        <v>2654</v>
      </c>
      <c r="N592" s="619"/>
      <c r="O592" s="619"/>
      <c r="P592" s="640"/>
      <c r="Q592" s="620"/>
    </row>
    <row r="593" spans="1:17" ht="14.4" customHeight="1" x14ac:dyDescent="0.3">
      <c r="A593" s="615" t="s">
        <v>479</v>
      </c>
      <c r="B593" s="616" t="s">
        <v>4572</v>
      </c>
      <c r="C593" s="616" t="s">
        <v>3592</v>
      </c>
      <c r="D593" s="616" t="s">
        <v>4593</v>
      </c>
      <c r="E593" s="616" t="s">
        <v>4594</v>
      </c>
      <c r="F593" s="619">
        <v>1</v>
      </c>
      <c r="G593" s="619">
        <v>1653</v>
      </c>
      <c r="H593" s="619">
        <v>1</v>
      </c>
      <c r="I593" s="619">
        <v>1653</v>
      </c>
      <c r="J593" s="619"/>
      <c r="K593" s="619"/>
      <c r="L593" s="619"/>
      <c r="M593" s="619"/>
      <c r="N593" s="619">
        <v>1</v>
      </c>
      <c r="O593" s="619">
        <v>1734</v>
      </c>
      <c r="P593" s="640">
        <v>1.0490018148820326</v>
      </c>
      <c r="Q593" s="620">
        <v>1734</v>
      </c>
    </row>
    <row r="594" spans="1:17" ht="14.4" customHeight="1" x14ac:dyDescent="0.3">
      <c r="A594" s="615" t="s">
        <v>479</v>
      </c>
      <c r="B594" s="616" t="s">
        <v>4572</v>
      </c>
      <c r="C594" s="616" t="s">
        <v>3592</v>
      </c>
      <c r="D594" s="616" t="s">
        <v>4595</v>
      </c>
      <c r="E594" s="616" t="s">
        <v>4596</v>
      </c>
      <c r="F594" s="619"/>
      <c r="G594" s="619"/>
      <c r="H594" s="619"/>
      <c r="I594" s="619"/>
      <c r="J594" s="619"/>
      <c r="K594" s="619"/>
      <c r="L594" s="619"/>
      <c r="M594" s="619"/>
      <c r="N594" s="619">
        <v>6</v>
      </c>
      <c r="O594" s="619">
        <v>6006</v>
      </c>
      <c r="P594" s="640"/>
      <c r="Q594" s="620">
        <v>1001</v>
      </c>
    </row>
    <row r="595" spans="1:17" ht="14.4" customHeight="1" x14ac:dyDescent="0.3">
      <c r="A595" s="615" t="s">
        <v>479</v>
      </c>
      <c r="B595" s="616" t="s">
        <v>4572</v>
      </c>
      <c r="C595" s="616" t="s">
        <v>3592</v>
      </c>
      <c r="D595" s="616" t="s">
        <v>4597</v>
      </c>
      <c r="E595" s="616" t="s">
        <v>4598</v>
      </c>
      <c r="F595" s="619">
        <v>2</v>
      </c>
      <c r="G595" s="619">
        <v>3548</v>
      </c>
      <c r="H595" s="619">
        <v>1</v>
      </c>
      <c r="I595" s="619">
        <v>1774</v>
      </c>
      <c r="J595" s="619"/>
      <c r="K595" s="619"/>
      <c r="L595" s="619"/>
      <c r="M595" s="619"/>
      <c r="N595" s="619">
        <v>5</v>
      </c>
      <c r="O595" s="619">
        <v>9200</v>
      </c>
      <c r="P595" s="640">
        <v>2.593010146561443</v>
      </c>
      <c r="Q595" s="620">
        <v>1840</v>
      </c>
    </row>
    <row r="596" spans="1:17" ht="14.4" customHeight="1" x14ac:dyDescent="0.3">
      <c r="A596" s="615" t="s">
        <v>479</v>
      </c>
      <c r="B596" s="616" t="s">
        <v>4572</v>
      </c>
      <c r="C596" s="616" t="s">
        <v>3592</v>
      </c>
      <c r="D596" s="616" t="s">
        <v>751</v>
      </c>
      <c r="E596" s="616" t="s">
        <v>4599</v>
      </c>
      <c r="F596" s="619"/>
      <c r="G596" s="619"/>
      <c r="H596" s="619"/>
      <c r="I596" s="619"/>
      <c r="J596" s="619">
        <v>1</v>
      </c>
      <c r="K596" s="619">
        <v>1193</v>
      </c>
      <c r="L596" s="619"/>
      <c r="M596" s="619">
        <v>1193</v>
      </c>
      <c r="N596" s="619">
        <v>1</v>
      </c>
      <c r="O596" s="619">
        <v>1229</v>
      </c>
      <c r="P596" s="640"/>
      <c r="Q596" s="620">
        <v>1229</v>
      </c>
    </row>
    <row r="597" spans="1:17" ht="14.4" customHeight="1" x14ac:dyDescent="0.3">
      <c r="A597" s="615" t="s">
        <v>479</v>
      </c>
      <c r="B597" s="616" t="s">
        <v>4572</v>
      </c>
      <c r="C597" s="616" t="s">
        <v>3592</v>
      </c>
      <c r="D597" s="616" t="s">
        <v>4600</v>
      </c>
      <c r="E597" s="616" t="s">
        <v>4601</v>
      </c>
      <c r="F597" s="619"/>
      <c r="G597" s="619"/>
      <c r="H597" s="619"/>
      <c r="I597" s="619"/>
      <c r="J597" s="619"/>
      <c r="K597" s="619"/>
      <c r="L597" s="619"/>
      <c r="M597" s="619"/>
      <c r="N597" s="619">
        <v>1</v>
      </c>
      <c r="O597" s="619">
        <v>891</v>
      </c>
      <c r="P597" s="640"/>
      <c r="Q597" s="620">
        <v>891</v>
      </c>
    </row>
    <row r="598" spans="1:17" ht="14.4" customHeight="1" x14ac:dyDescent="0.3">
      <c r="A598" s="615" t="s">
        <v>479</v>
      </c>
      <c r="B598" s="616" t="s">
        <v>4572</v>
      </c>
      <c r="C598" s="616" t="s">
        <v>3592</v>
      </c>
      <c r="D598" s="616" t="s">
        <v>3907</v>
      </c>
      <c r="E598" s="616" t="s">
        <v>3908</v>
      </c>
      <c r="F598" s="619"/>
      <c r="G598" s="619"/>
      <c r="H598" s="619"/>
      <c r="I598" s="619"/>
      <c r="J598" s="619"/>
      <c r="K598" s="619"/>
      <c r="L598" s="619"/>
      <c r="M598" s="619"/>
      <c r="N598" s="619">
        <v>1</v>
      </c>
      <c r="O598" s="619">
        <v>710</v>
      </c>
      <c r="P598" s="640"/>
      <c r="Q598" s="620">
        <v>710</v>
      </c>
    </row>
    <row r="599" spans="1:17" ht="14.4" customHeight="1" x14ac:dyDescent="0.3">
      <c r="A599" s="615" t="s">
        <v>479</v>
      </c>
      <c r="B599" s="616" t="s">
        <v>4572</v>
      </c>
      <c r="C599" s="616" t="s">
        <v>3592</v>
      </c>
      <c r="D599" s="616" t="s">
        <v>4602</v>
      </c>
      <c r="E599" s="616" t="s">
        <v>4603</v>
      </c>
      <c r="F599" s="619"/>
      <c r="G599" s="619"/>
      <c r="H599" s="619"/>
      <c r="I599" s="619"/>
      <c r="J599" s="619"/>
      <c r="K599" s="619"/>
      <c r="L599" s="619"/>
      <c r="M599" s="619"/>
      <c r="N599" s="619">
        <v>1</v>
      </c>
      <c r="O599" s="619">
        <v>1033</v>
      </c>
      <c r="P599" s="640"/>
      <c r="Q599" s="620">
        <v>1033</v>
      </c>
    </row>
    <row r="600" spans="1:17" ht="14.4" customHeight="1" x14ac:dyDescent="0.3">
      <c r="A600" s="615" t="s">
        <v>479</v>
      </c>
      <c r="B600" s="616" t="s">
        <v>4572</v>
      </c>
      <c r="C600" s="616" t="s">
        <v>3592</v>
      </c>
      <c r="D600" s="616" t="s">
        <v>4604</v>
      </c>
      <c r="E600" s="616" t="s">
        <v>4605</v>
      </c>
      <c r="F600" s="619"/>
      <c r="G600" s="619"/>
      <c r="H600" s="619"/>
      <c r="I600" s="619"/>
      <c r="J600" s="619"/>
      <c r="K600" s="619"/>
      <c r="L600" s="619"/>
      <c r="M600" s="619"/>
      <c r="N600" s="619">
        <v>1</v>
      </c>
      <c r="O600" s="619">
        <v>2230</v>
      </c>
      <c r="P600" s="640"/>
      <c r="Q600" s="620">
        <v>2230</v>
      </c>
    </row>
    <row r="601" spans="1:17" ht="14.4" customHeight="1" x14ac:dyDescent="0.3">
      <c r="A601" s="615" t="s">
        <v>479</v>
      </c>
      <c r="B601" s="616" t="s">
        <v>4572</v>
      </c>
      <c r="C601" s="616" t="s">
        <v>3592</v>
      </c>
      <c r="D601" s="616" t="s">
        <v>4606</v>
      </c>
      <c r="E601" s="616" t="s">
        <v>4607</v>
      </c>
      <c r="F601" s="619">
        <v>1</v>
      </c>
      <c r="G601" s="619">
        <v>4983</v>
      </c>
      <c r="H601" s="619">
        <v>1</v>
      </c>
      <c r="I601" s="619">
        <v>4983</v>
      </c>
      <c r="J601" s="619"/>
      <c r="K601" s="619"/>
      <c r="L601" s="619"/>
      <c r="M601" s="619"/>
      <c r="N601" s="619"/>
      <c r="O601" s="619"/>
      <c r="P601" s="640"/>
      <c r="Q601" s="620"/>
    </row>
    <row r="602" spans="1:17" ht="14.4" customHeight="1" x14ac:dyDescent="0.3">
      <c r="A602" s="615" t="s">
        <v>479</v>
      </c>
      <c r="B602" s="616" t="s">
        <v>4572</v>
      </c>
      <c r="C602" s="616" t="s">
        <v>3592</v>
      </c>
      <c r="D602" s="616" t="s">
        <v>4608</v>
      </c>
      <c r="E602" s="616" t="s">
        <v>4609</v>
      </c>
      <c r="F602" s="619"/>
      <c r="G602" s="619"/>
      <c r="H602" s="619"/>
      <c r="I602" s="619"/>
      <c r="J602" s="619"/>
      <c r="K602" s="619"/>
      <c r="L602" s="619"/>
      <c r="M602" s="619"/>
      <c r="N602" s="619">
        <v>1</v>
      </c>
      <c r="O602" s="619">
        <v>1915</v>
      </c>
      <c r="P602" s="640"/>
      <c r="Q602" s="620">
        <v>1915</v>
      </c>
    </row>
    <row r="603" spans="1:17" ht="14.4" customHeight="1" x14ac:dyDescent="0.3">
      <c r="A603" s="615" t="s">
        <v>479</v>
      </c>
      <c r="B603" s="616" t="s">
        <v>4572</v>
      </c>
      <c r="C603" s="616" t="s">
        <v>3592</v>
      </c>
      <c r="D603" s="616" t="s">
        <v>4610</v>
      </c>
      <c r="E603" s="616" t="s">
        <v>4611</v>
      </c>
      <c r="F603" s="619"/>
      <c r="G603" s="619"/>
      <c r="H603" s="619"/>
      <c r="I603" s="619"/>
      <c r="J603" s="619"/>
      <c r="K603" s="619"/>
      <c r="L603" s="619"/>
      <c r="M603" s="619"/>
      <c r="N603" s="619">
        <v>1</v>
      </c>
      <c r="O603" s="619">
        <v>3961</v>
      </c>
      <c r="P603" s="640"/>
      <c r="Q603" s="620">
        <v>3961</v>
      </c>
    </row>
    <row r="604" spans="1:17" ht="14.4" customHeight="1" x14ac:dyDescent="0.3">
      <c r="A604" s="615" t="s">
        <v>479</v>
      </c>
      <c r="B604" s="616" t="s">
        <v>4612</v>
      </c>
      <c r="C604" s="616" t="s">
        <v>3592</v>
      </c>
      <c r="D604" s="616" t="s">
        <v>3624</v>
      </c>
      <c r="E604" s="616" t="s">
        <v>3625</v>
      </c>
      <c r="F604" s="619"/>
      <c r="G604" s="619"/>
      <c r="H604" s="619"/>
      <c r="I604" s="619"/>
      <c r="J604" s="619">
        <v>1</v>
      </c>
      <c r="K604" s="619">
        <v>1630</v>
      </c>
      <c r="L604" s="619"/>
      <c r="M604" s="619">
        <v>1630</v>
      </c>
      <c r="N604" s="619"/>
      <c r="O604" s="619"/>
      <c r="P604" s="640"/>
      <c r="Q604" s="620"/>
    </row>
    <row r="605" spans="1:17" ht="14.4" customHeight="1" x14ac:dyDescent="0.3">
      <c r="A605" s="615" t="s">
        <v>479</v>
      </c>
      <c r="B605" s="616" t="s">
        <v>4612</v>
      </c>
      <c r="C605" s="616" t="s">
        <v>3592</v>
      </c>
      <c r="D605" s="616" t="s">
        <v>4613</v>
      </c>
      <c r="E605" s="616" t="s">
        <v>4614</v>
      </c>
      <c r="F605" s="619"/>
      <c r="G605" s="619"/>
      <c r="H605" s="619"/>
      <c r="I605" s="619"/>
      <c r="J605" s="619">
        <v>1</v>
      </c>
      <c r="K605" s="619">
        <v>4547</v>
      </c>
      <c r="L605" s="619"/>
      <c r="M605" s="619">
        <v>4547</v>
      </c>
      <c r="N605" s="619"/>
      <c r="O605" s="619"/>
      <c r="P605" s="640"/>
      <c r="Q605" s="620"/>
    </row>
    <row r="606" spans="1:17" ht="14.4" customHeight="1" x14ac:dyDescent="0.3">
      <c r="A606" s="615" t="s">
        <v>479</v>
      </c>
      <c r="B606" s="616" t="s">
        <v>4615</v>
      </c>
      <c r="C606" s="616" t="s">
        <v>3592</v>
      </c>
      <c r="D606" s="616" t="s">
        <v>4616</v>
      </c>
      <c r="E606" s="616" t="s">
        <v>4617</v>
      </c>
      <c r="F606" s="619"/>
      <c r="G606" s="619"/>
      <c r="H606" s="619"/>
      <c r="I606" s="619"/>
      <c r="J606" s="619">
        <v>1</v>
      </c>
      <c r="K606" s="619">
        <v>282</v>
      </c>
      <c r="L606" s="619"/>
      <c r="M606" s="619">
        <v>282</v>
      </c>
      <c r="N606" s="619"/>
      <c r="O606" s="619"/>
      <c r="P606" s="640"/>
      <c r="Q606" s="620"/>
    </row>
    <row r="607" spans="1:17" ht="14.4" customHeight="1" x14ac:dyDescent="0.3">
      <c r="A607" s="615" t="s">
        <v>479</v>
      </c>
      <c r="B607" s="616" t="s">
        <v>4615</v>
      </c>
      <c r="C607" s="616" t="s">
        <v>3592</v>
      </c>
      <c r="D607" s="616" t="s">
        <v>4618</v>
      </c>
      <c r="E607" s="616" t="s">
        <v>4619</v>
      </c>
      <c r="F607" s="619"/>
      <c r="G607" s="619"/>
      <c r="H607" s="619"/>
      <c r="I607" s="619"/>
      <c r="J607" s="619">
        <v>1</v>
      </c>
      <c r="K607" s="619">
        <v>78</v>
      </c>
      <c r="L607" s="619"/>
      <c r="M607" s="619">
        <v>78</v>
      </c>
      <c r="N607" s="619"/>
      <c r="O607" s="619"/>
      <c r="P607" s="640"/>
      <c r="Q607" s="620"/>
    </row>
    <row r="608" spans="1:17" ht="14.4" customHeight="1" x14ac:dyDescent="0.3">
      <c r="A608" s="615" t="s">
        <v>479</v>
      </c>
      <c r="B608" s="616" t="s">
        <v>4615</v>
      </c>
      <c r="C608" s="616" t="s">
        <v>3592</v>
      </c>
      <c r="D608" s="616" t="s">
        <v>4620</v>
      </c>
      <c r="E608" s="616" t="s">
        <v>4621</v>
      </c>
      <c r="F608" s="619"/>
      <c r="G608" s="619"/>
      <c r="H608" s="619"/>
      <c r="I608" s="619"/>
      <c r="J608" s="619">
        <v>1</v>
      </c>
      <c r="K608" s="619">
        <v>92</v>
      </c>
      <c r="L608" s="619"/>
      <c r="M608" s="619">
        <v>92</v>
      </c>
      <c r="N608" s="619"/>
      <c r="O608" s="619"/>
      <c r="P608" s="640"/>
      <c r="Q608" s="620"/>
    </row>
    <row r="609" spans="1:17" ht="14.4" customHeight="1" x14ac:dyDescent="0.3">
      <c r="A609" s="615" t="s">
        <v>479</v>
      </c>
      <c r="B609" s="616" t="s">
        <v>4615</v>
      </c>
      <c r="C609" s="616" t="s">
        <v>3592</v>
      </c>
      <c r="D609" s="616" t="s">
        <v>4622</v>
      </c>
      <c r="E609" s="616" t="s">
        <v>4623</v>
      </c>
      <c r="F609" s="619">
        <v>3</v>
      </c>
      <c r="G609" s="619">
        <v>237</v>
      </c>
      <c r="H609" s="619">
        <v>1</v>
      </c>
      <c r="I609" s="619">
        <v>79</v>
      </c>
      <c r="J609" s="619"/>
      <c r="K609" s="619"/>
      <c r="L609" s="619"/>
      <c r="M609" s="619"/>
      <c r="N609" s="619"/>
      <c r="O609" s="619"/>
      <c r="P609" s="640"/>
      <c r="Q609" s="620"/>
    </row>
    <row r="610" spans="1:17" ht="14.4" customHeight="1" x14ac:dyDescent="0.3">
      <c r="A610" s="615" t="s">
        <v>479</v>
      </c>
      <c r="B610" s="616" t="s">
        <v>4615</v>
      </c>
      <c r="C610" s="616" t="s">
        <v>3592</v>
      </c>
      <c r="D610" s="616" t="s">
        <v>4624</v>
      </c>
      <c r="E610" s="616" t="s">
        <v>4625</v>
      </c>
      <c r="F610" s="619"/>
      <c r="G610" s="619"/>
      <c r="H610" s="619"/>
      <c r="I610" s="619"/>
      <c r="J610" s="619"/>
      <c r="K610" s="619"/>
      <c r="L610" s="619"/>
      <c r="M610" s="619"/>
      <c r="N610" s="619">
        <v>1</v>
      </c>
      <c r="O610" s="619">
        <v>751</v>
      </c>
      <c r="P610" s="640"/>
      <c r="Q610" s="620">
        <v>751</v>
      </c>
    </row>
    <row r="611" spans="1:17" ht="14.4" customHeight="1" x14ac:dyDescent="0.3">
      <c r="A611" s="615" t="s">
        <v>479</v>
      </c>
      <c r="B611" s="616" t="s">
        <v>4615</v>
      </c>
      <c r="C611" s="616" t="s">
        <v>3592</v>
      </c>
      <c r="D611" s="616" t="s">
        <v>4626</v>
      </c>
      <c r="E611" s="616" t="s">
        <v>4627</v>
      </c>
      <c r="F611" s="619">
        <v>1</v>
      </c>
      <c r="G611" s="619">
        <v>1786</v>
      </c>
      <c r="H611" s="619">
        <v>1</v>
      </c>
      <c r="I611" s="619">
        <v>1786</v>
      </c>
      <c r="J611" s="619"/>
      <c r="K611" s="619"/>
      <c r="L611" s="619"/>
      <c r="M611" s="619"/>
      <c r="N611" s="619"/>
      <c r="O611" s="619"/>
      <c r="P611" s="640"/>
      <c r="Q611" s="620"/>
    </row>
    <row r="612" spans="1:17" ht="14.4" customHeight="1" x14ac:dyDescent="0.3">
      <c r="A612" s="615" t="s">
        <v>479</v>
      </c>
      <c r="B612" s="616" t="s">
        <v>4615</v>
      </c>
      <c r="C612" s="616" t="s">
        <v>3592</v>
      </c>
      <c r="D612" s="616" t="s">
        <v>4628</v>
      </c>
      <c r="E612" s="616" t="s">
        <v>4629</v>
      </c>
      <c r="F612" s="619">
        <v>2</v>
      </c>
      <c r="G612" s="619">
        <v>684</v>
      </c>
      <c r="H612" s="619">
        <v>1</v>
      </c>
      <c r="I612" s="619">
        <v>342</v>
      </c>
      <c r="J612" s="619">
        <v>7</v>
      </c>
      <c r="K612" s="619">
        <v>2408</v>
      </c>
      <c r="L612" s="619">
        <v>3.5204678362573101</v>
      </c>
      <c r="M612" s="619">
        <v>344</v>
      </c>
      <c r="N612" s="619">
        <v>3</v>
      </c>
      <c r="O612" s="619">
        <v>1083</v>
      </c>
      <c r="P612" s="640">
        <v>1.5833333333333333</v>
      </c>
      <c r="Q612" s="620">
        <v>361</v>
      </c>
    </row>
    <row r="613" spans="1:17" ht="14.4" customHeight="1" x14ac:dyDescent="0.3">
      <c r="A613" s="615" t="s">
        <v>479</v>
      </c>
      <c r="B613" s="616" t="s">
        <v>4615</v>
      </c>
      <c r="C613" s="616" t="s">
        <v>3592</v>
      </c>
      <c r="D613" s="616" t="s">
        <v>4630</v>
      </c>
      <c r="E613" s="616" t="s">
        <v>4631</v>
      </c>
      <c r="F613" s="619"/>
      <c r="G613" s="619"/>
      <c r="H613" s="619"/>
      <c r="I613" s="619"/>
      <c r="J613" s="619">
        <v>1</v>
      </c>
      <c r="K613" s="619">
        <v>352</v>
      </c>
      <c r="L613" s="619"/>
      <c r="M613" s="619">
        <v>352</v>
      </c>
      <c r="N613" s="619"/>
      <c r="O613" s="619"/>
      <c r="P613" s="640"/>
      <c r="Q613" s="620"/>
    </row>
    <row r="614" spans="1:17" ht="14.4" customHeight="1" x14ac:dyDescent="0.3">
      <c r="A614" s="615" t="s">
        <v>479</v>
      </c>
      <c r="B614" s="616" t="s">
        <v>4615</v>
      </c>
      <c r="C614" s="616" t="s">
        <v>3592</v>
      </c>
      <c r="D614" s="616" t="s">
        <v>4632</v>
      </c>
      <c r="E614" s="616" t="s">
        <v>4633</v>
      </c>
      <c r="F614" s="619"/>
      <c r="G614" s="619"/>
      <c r="H614" s="619"/>
      <c r="I614" s="619"/>
      <c r="J614" s="619">
        <v>3</v>
      </c>
      <c r="K614" s="619">
        <v>2772</v>
      </c>
      <c r="L614" s="619"/>
      <c r="M614" s="619">
        <v>924</v>
      </c>
      <c r="N614" s="619">
        <v>1</v>
      </c>
      <c r="O614" s="619">
        <v>980</v>
      </c>
      <c r="P614" s="640"/>
      <c r="Q614" s="620">
        <v>980</v>
      </c>
    </row>
    <row r="615" spans="1:17" ht="14.4" customHeight="1" x14ac:dyDescent="0.3">
      <c r="A615" s="615" t="s">
        <v>479</v>
      </c>
      <c r="B615" s="616" t="s">
        <v>4615</v>
      </c>
      <c r="C615" s="616" t="s">
        <v>3592</v>
      </c>
      <c r="D615" s="616" t="s">
        <v>4634</v>
      </c>
      <c r="E615" s="616" t="s">
        <v>4635</v>
      </c>
      <c r="F615" s="619">
        <v>1</v>
      </c>
      <c r="G615" s="619">
        <v>354</v>
      </c>
      <c r="H615" s="619">
        <v>1</v>
      </c>
      <c r="I615" s="619">
        <v>354</v>
      </c>
      <c r="J615" s="619">
        <v>2</v>
      </c>
      <c r="K615" s="619">
        <v>712</v>
      </c>
      <c r="L615" s="619">
        <v>2.0112994350282487</v>
      </c>
      <c r="M615" s="619">
        <v>356</v>
      </c>
      <c r="N615" s="619">
        <v>1</v>
      </c>
      <c r="O615" s="619">
        <v>379</v>
      </c>
      <c r="P615" s="640">
        <v>1.0706214689265536</v>
      </c>
      <c r="Q615" s="620">
        <v>379</v>
      </c>
    </row>
    <row r="616" spans="1:17" ht="14.4" customHeight="1" x14ac:dyDescent="0.3">
      <c r="A616" s="615" t="s">
        <v>479</v>
      </c>
      <c r="B616" s="616" t="s">
        <v>4615</v>
      </c>
      <c r="C616" s="616" t="s">
        <v>3592</v>
      </c>
      <c r="D616" s="616" t="s">
        <v>4579</v>
      </c>
      <c r="E616" s="616" t="s">
        <v>4580</v>
      </c>
      <c r="F616" s="619">
        <v>1</v>
      </c>
      <c r="G616" s="619">
        <v>1009</v>
      </c>
      <c r="H616" s="619">
        <v>1</v>
      </c>
      <c r="I616" s="619">
        <v>1009</v>
      </c>
      <c r="J616" s="619"/>
      <c r="K616" s="619"/>
      <c r="L616" s="619"/>
      <c r="M616" s="619"/>
      <c r="N616" s="619"/>
      <c r="O616" s="619"/>
      <c r="P616" s="640"/>
      <c r="Q616" s="620"/>
    </row>
    <row r="617" spans="1:17" ht="14.4" customHeight="1" x14ac:dyDescent="0.3">
      <c r="A617" s="615" t="s">
        <v>479</v>
      </c>
      <c r="B617" s="616" t="s">
        <v>4615</v>
      </c>
      <c r="C617" s="616" t="s">
        <v>3592</v>
      </c>
      <c r="D617" s="616" t="s">
        <v>4636</v>
      </c>
      <c r="E617" s="616" t="s">
        <v>4637</v>
      </c>
      <c r="F617" s="619"/>
      <c r="G617" s="619"/>
      <c r="H617" s="619"/>
      <c r="I617" s="619"/>
      <c r="J617" s="619">
        <v>2</v>
      </c>
      <c r="K617" s="619">
        <v>13874</v>
      </c>
      <c r="L617" s="619"/>
      <c r="M617" s="619">
        <v>6937</v>
      </c>
      <c r="N617" s="619"/>
      <c r="O617" s="619"/>
      <c r="P617" s="640"/>
      <c r="Q617" s="620"/>
    </row>
    <row r="618" spans="1:17" ht="14.4" customHeight="1" x14ac:dyDescent="0.3">
      <c r="A618" s="615" t="s">
        <v>479</v>
      </c>
      <c r="B618" s="616" t="s">
        <v>4615</v>
      </c>
      <c r="C618" s="616" t="s">
        <v>3592</v>
      </c>
      <c r="D618" s="616" t="s">
        <v>4638</v>
      </c>
      <c r="E618" s="616" t="s">
        <v>4639</v>
      </c>
      <c r="F618" s="619">
        <v>2</v>
      </c>
      <c r="G618" s="619">
        <v>1364</v>
      </c>
      <c r="H618" s="619">
        <v>1</v>
      </c>
      <c r="I618" s="619">
        <v>682</v>
      </c>
      <c r="J618" s="619"/>
      <c r="K618" s="619"/>
      <c r="L618" s="619"/>
      <c r="M618" s="619"/>
      <c r="N618" s="619">
        <v>1</v>
      </c>
      <c r="O618" s="619">
        <v>711</v>
      </c>
      <c r="P618" s="640">
        <v>0.52126099706744866</v>
      </c>
      <c r="Q618" s="620">
        <v>711</v>
      </c>
    </row>
    <row r="619" spans="1:17" ht="14.4" customHeight="1" x14ac:dyDescent="0.3">
      <c r="A619" s="615" t="s">
        <v>479</v>
      </c>
      <c r="B619" s="616" t="s">
        <v>4615</v>
      </c>
      <c r="C619" s="616" t="s">
        <v>3592</v>
      </c>
      <c r="D619" s="616" t="s">
        <v>4640</v>
      </c>
      <c r="E619" s="616" t="s">
        <v>4641</v>
      </c>
      <c r="F619" s="619">
        <v>1</v>
      </c>
      <c r="G619" s="619">
        <v>317</v>
      </c>
      <c r="H619" s="619">
        <v>1</v>
      </c>
      <c r="I619" s="619">
        <v>317</v>
      </c>
      <c r="J619" s="619">
        <v>1</v>
      </c>
      <c r="K619" s="619">
        <v>318</v>
      </c>
      <c r="L619" s="619">
        <v>1.0031545741324921</v>
      </c>
      <c r="M619" s="619">
        <v>318</v>
      </c>
      <c r="N619" s="619">
        <v>1</v>
      </c>
      <c r="O619" s="619">
        <v>417</v>
      </c>
      <c r="P619" s="640">
        <v>1.3154574132492114</v>
      </c>
      <c r="Q619" s="620">
        <v>417</v>
      </c>
    </row>
    <row r="620" spans="1:17" ht="14.4" customHeight="1" x14ac:dyDescent="0.3">
      <c r="A620" s="615" t="s">
        <v>479</v>
      </c>
      <c r="B620" s="616" t="s">
        <v>4615</v>
      </c>
      <c r="C620" s="616" t="s">
        <v>3592</v>
      </c>
      <c r="D620" s="616" t="s">
        <v>3638</v>
      </c>
      <c r="E620" s="616" t="s">
        <v>3639</v>
      </c>
      <c r="F620" s="619">
        <v>1</v>
      </c>
      <c r="G620" s="619">
        <v>806</v>
      </c>
      <c r="H620" s="619">
        <v>1</v>
      </c>
      <c r="I620" s="619">
        <v>806</v>
      </c>
      <c r="J620" s="619">
        <v>3</v>
      </c>
      <c r="K620" s="619">
        <v>2457</v>
      </c>
      <c r="L620" s="619">
        <v>3.0483870967741935</v>
      </c>
      <c r="M620" s="619">
        <v>819</v>
      </c>
      <c r="N620" s="619"/>
      <c r="O620" s="619"/>
      <c r="P620" s="640"/>
      <c r="Q620" s="620"/>
    </row>
    <row r="621" spans="1:17" ht="14.4" customHeight="1" x14ac:dyDescent="0.3">
      <c r="A621" s="615" t="s">
        <v>479</v>
      </c>
      <c r="B621" s="616" t="s">
        <v>4615</v>
      </c>
      <c r="C621" s="616" t="s">
        <v>3592</v>
      </c>
      <c r="D621" s="616" t="s">
        <v>4642</v>
      </c>
      <c r="E621" s="616" t="s">
        <v>4643</v>
      </c>
      <c r="F621" s="619">
        <v>1</v>
      </c>
      <c r="G621" s="619">
        <v>2361</v>
      </c>
      <c r="H621" s="619">
        <v>1</v>
      </c>
      <c r="I621" s="619">
        <v>2361</v>
      </c>
      <c r="J621" s="619"/>
      <c r="K621" s="619"/>
      <c r="L621" s="619"/>
      <c r="M621" s="619"/>
      <c r="N621" s="619"/>
      <c r="O621" s="619"/>
      <c r="P621" s="640"/>
      <c r="Q621" s="620"/>
    </row>
    <row r="622" spans="1:17" ht="14.4" customHeight="1" x14ac:dyDescent="0.3">
      <c r="A622" s="615" t="s">
        <v>479</v>
      </c>
      <c r="B622" s="616" t="s">
        <v>4615</v>
      </c>
      <c r="C622" s="616" t="s">
        <v>3592</v>
      </c>
      <c r="D622" s="616" t="s">
        <v>4591</v>
      </c>
      <c r="E622" s="616" t="s">
        <v>4592</v>
      </c>
      <c r="F622" s="619">
        <v>2</v>
      </c>
      <c r="G622" s="619">
        <v>5280</v>
      </c>
      <c r="H622" s="619">
        <v>1</v>
      </c>
      <c r="I622" s="619">
        <v>2640</v>
      </c>
      <c r="J622" s="619"/>
      <c r="K622" s="619"/>
      <c r="L622" s="619"/>
      <c r="M622" s="619"/>
      <c r="N622" s="619">
        <v>3</v>
      </c>
      <c r="O622" s="619">
        <v>8280</v>
      </c>
      <c r="P622" s="640">
        <v>1.5681818181818181</v>
      </c>
      <c r="Q622" s="620">
        <v>2760</v>
      </c>
    </row>
    <row r="623" spans="1:17" ht="14.4" customHeight="1" x14ac:dyDescent="0.3">
      <c r="A623" s="615" t="s">
        <v>479</v>
      </c>
      <c r="B623" s="616" t="s">
        <v>4615</v>
      </c>
      <c r="C623" s="616" t="s">
        <v>3592</v>
      </c>
      <c r="D623" s="616" t="s">
        <v>4644</v>
      </c>
      <c r="E623" s="616" t="s">
        <v>4645</v>
      </c>
      <c r="F623" s="619"/>
      <c r="G623" s="619"/>
      <c r="H623" s="619"/>
      <c r="I623" s="619"/>
      <c r="J623" s="619">
        <v>1</v>
      </c>
      <c r="K623" s="619">
        <v>317</v>
      </c>
      <c r="L623" s="619"/>
      <c r="M623" s="619">
        <v>317</v>
      </c>
      <c r="N623" s="619"/>
      <c r="O623" s="619"/>
      <c r="P623" s="640"/>
      <c r="Q623" s="620"/>
    </row>
    <row r="624" spans="1:17" ht="14.4" customHeight="1" x14ac:dyDescent="0.3">
      <c r="A624" s="615" t="s">
        <v>479</v>
      </c>
      <c r="B624" s="616" t="s">
        <v>4615</v>
      </c>
      <c r="C624" s="616" t="s">
        <v>3592</v>
      </c>
      <c r="D624" s="616" t="s">
        <v>4646</v>
      </c>
      <c r="E624" s="616" t="s">
        <v>4647</v>
      </c>
      <c r="F624" s="619">
        <v>6</v>
      </c>
      <c r="G624" s="619">
        <v>14628</v>
      </c>
      <c r="H624" s="619">
        <v>1</v>
      </c>
      <c r="I624" s="619">
        <v>2438</v>
      </c>
      <c r="J624" s="619">
        <v>16</v>
      </c>
      <c r="K624" s="619">
        <v>39232</v>
      </c>
      <c r="L624" s="619">
        <v>2.6819797648345638</v>
      </c>
      <c r="M624" s="619">
        <v>2452</v>
      </c>
      <c r="N624" s="619">
        <v>7</v>
      </c>
      <c r="O624" s="619">
        <v>17927</v>
      </c>
      <c r="P624" s="640">
        <v>1.2255263877495215</v>
      </c>
      <c r="Q624" s="620">
        <v>2561</v>
      </c>
    </row>
    <row r="625" spans="1:17" ht="14.4" customHeight="1" x14ac:dyDescent="0.3">
      <c r="A625" s="615" t="s">
        <v>479</v>
      </c>
      <c r="B625" s="616" t="s">
        <v>4615</v>
      </c>
      <c r="C625" s="616" t="s">
        <v>3592</v>
      </c>
      <c r="D625" s="616" t="s">
        <v>4648</v>
      </c>
      <c r="E625" s="616" t="s">
        <v>4649</v>
      </c>
      <c r="F625" s="619">
        <v>2</v>
      </c>
      <c r="G625" s="619">
        <v>1210</v>
      </c>
      <c r="H625" s="619">
        <v>1</v>
      </c>
      <c r="I625" s="619">
        <v>605</v>
      </c>
      <c r="J625" s="619">
        <v>3</v>
      </c>
      <c r="K625" s="619">
        <v>1824</v>
      </c>
      <c r="L625" s="619">
        <v>1.5074380165289256</v>
      </c>
      <c r="M625" s="619">
        <v>608</v>
      </c>
      <c r="N625" s="619">
        <v>2</v>
      </c>
      <c r="O625" s="619">
        <v>1288</v>
      </c>
      <c r="P625" s="640">
        <v>1.0644628099173554</v>
      </c>
      <c r="Q625" s="620">
        <v>644</v>
      </c>
    </row>
    <row r="626" spans="1:17" ht="14.4" customHeight="1" x14ac:dyDescent="0.3">
      <c r="A626" s="615" t="s">
        <v>479</v>
      </c>
      <c r="B626" s="616" t="s">
        <v>4615</v>
      </c>
      <c r="C626" s="616" t="s">
        <v>3592</v>
      </c>
      <c r="D626" s="616" t="s">
        <v>4650</v>
      </c>
      <c r="E626" s="616" t="s">
        <v>4651</v>
      </c>
      <c r="F626" s="619">
        <v>1</v>
      </c>
      <c r="G626" s="619">
        <v>1466</v>
      </c>
      <c r="H626" s="619">
        <v>1</v>
      </c>
      <c r="I626" s="619">
        <v>1466</v>
      </c>
      <c r="J626" s="619">
        <v>1</v>
      </c>
      <c r="K626" s="619">
        <v>1475</v>
      </c>
      <c r="L626" s="619">
        <v>1.0061391541609823</v>
      </c>
      <c r="M626" s="619">
        <v>1475</v>
      </c>
      <c r="N626" s="619"/>
      <c r="O626" s="619"/>
      <c r="P626" s="640"/>
      <c r="Q626" s="620"/>
    </row>
    <row r="627" spans="1:17" ht="14.4" customHeight="1" x14ac:dyDescent="0.3">
      <c r="A627" s="615" t="s">
        <v>479</v>
      </c>
      <c r="B627" s="616" t="s">
        <v>4615</v>
      </c>
      <c r="C627" s="616" t="s">
        <v>3592</v>
      </c>
      <c r="D627" s="616" t="s">
        <v>4652</v>
      </c>
      <c r="E627" s="616" t="s">
        <v>4653</v>
      </c>
      <c r="F627" s="619"/>
      <c r="G627" s="619"/>
      <c r="H627" s="619"/>
      <c r="I627" s="619"/>
      <c r="J627" s="619">
        <v>1</v>
      </c>
      <c r="K627" s="619">
        <v>3163</v>
      </c>
      <c r="L627" s="619"/>
      <c r="M627" s="619">
        <v>3163</v>
      </c>
      <c r="N627" s="619">
        <v>1</v>
      </c>
      <c r="O627" s="619">
        <v>3308</v>
      </c>
      <c r="P627" s="640"/>
      <c r="Q627" s="620">
        <v>3308</v>
      </c>
    </row>
    <row r="628" spans="1:17" ht="14.4" customHeight="1" x14ac:dyDescent="0.3">
      <c r="A628" s="615" t="s">
        <v>479</v>
      </c>
      <c r="B628" s="616" t="s">
        <v>4654</v>
      </c>
      <c r="C628" s="616" t="s">
        <v>3592</v>
      </c>
      <c r="D628" s="616" t="s">
        <v>4655</v>
      </c>
      <c r="E628" s="616" t="s">
        <v>4656</v>
      </c>
      <c r="F628" s="619">
        <v>1</v>
      </c>
      <c r="G628" s="619">
        <v>4985</v>
      </c>
      <c r="H628" s="619">
        <v>1</v>
      </c>
      <c r="I628" s="619">
        <v>4985</v>
      </c>
      <c r="J628" s="619"/>
      <c r="K628" s="619"/>
      <c r="L628" s="619"/>
      <c r="M628" s="619"/>
      <c r="N628" s="619"/>
      <c r="O628" s="619"/>
      <c r="P628" s="640"/>
      <c r="Q628" s="620"/>
    </row>
    <row r="629" spans="1:17" ht="14.4" customHeight="1" x14ac:dyDescent="0.3">
      <c r="A629" s="615" t="s">
        <v>479</v>
      </c>
      <c r="B629" s="616" t="s">
        <v>4654</v>
      </c>
      <c r="C629" s="616" t="s">
        <v>3592</v>
      </c>
      <c r="D629" s="616" t="s">
        <v>4657</v>
      </c>
      <c r="E629" s="616" t="s">
        <v>4658</v>
      </c>
      <c r="F629" s="619">
        <v>2</v>
      </c>
      <c r="G629" s="619">
        <v>10320</v>
      </c>
      <c r="H629" s="619">
        <v>1</v>
      </c>
      <c r="I629" s="619">
        <v>5160</v>
      </c>
      <c r="J629" s="619"/>
      <c r="K629" s="619"/>
      <c r="L629" s="619"/>
      <c r="M629" s="619"/>
      <c r="N629" s="619"/>
      <c r="O629" s="619"/>
      <c r="P629" s="640"/>
      <c r="Q629" s="620"/>
    </row>
    <row r="630" spans="1:17" ht="14.4" customHeight="1" x14ac:dyDescent="0.3">
      <c r="A630" s="615" t="s">
        <v>479</v>
      </c>
      <c r="B630" s="616" t="s">
        <v>4654</v>
      </c>
      <c r="C630" s="616" t="s">
        <v>3592</v>
      </c>
      <c r="D630" s="616" t="s">
        <v>3881</v>
      </c>
      <c r="E630" s="616" t="s">
        <v>3882</v>
      </c>
      <c r="F630" s="619">
        <v>2</v>
      </c>
      <c r="G630" s="619">
        <v>1821</v>
      </c>
      <c r="H630" s="619">
        <v>1</v>
      </c>
      <c r="I630" s="619">
        <v>910.5</v>
      </c>
      <c r="J630" s="619">
        <v>3</v>
      </c>
      <c r="K630" s="619">
        <v>2751</v>
      </c>
      <c r="L630" s="619">
        <v>1.5107084019769357</v>
      </c>
      <c r="M630" s="619">
        <v>917</v>
      </c>
      <c r="N630" s="619"/>
      <c r="O630" s="619"/>
      <c r="P630" s="640"/>
      <c r="Q630" s="620"/>
    </row>
    <row r="631" spans="1:17" ht="14.4" customHeight="1" x14ac:dyDescent="0.3">
      <c r="A631" s="615" t="s">
        <v>479</v>
      </c>
      <c r="B631" s="616" t="s">
        <v>4654</v>
      </c>
      <c r="C631" s="616" t="s">
        <v>3592</v>
      </c>
      <c r="D631" s="616" t="s">
        <v>4659</v>
      </c>
      <c r="E631" s="616" t="s">
        <v>4660</v>
      </c>
      <c r="F631" s="619"/>
      <c r="G631" s="619"/>
      <c r="H631" s="619"/>
      <c r="I631" s="619"/>
      <c r="J631" s="619">
        <v>1</v>
      </c>
      <c r="K631" s="619">
        <v>2176</v>
      </c>
      <c r="L631" s="619"/>
      <c r="M631" s="619">
        <v>2176</v>
      </c>
      <c r="N631" s="619"/>
      <c r="O631" s="619"/>
      <c r="P631" s="640"/>
      <c r="Q631" s="620"/>
    </row>
    <row r="632" spans="1:17" ht="14.4" customHeight="1" x14ac:dyDescent="0.3">
      <c r="A632" s="615" t="s">
        <v>479</v>
      </c>
      <c r="B632" s="616" t="s">
        <v>4654</v>
      </c>
      <c r="C632" s="616" t="s">
        <v>3592</v>
      </c>
      <c r="D632" s="616" t="s">
        <v>4661</v>
      </c>
      <c r="E632" s="616" t="s">
        <v>4662</v>
      </c>
      <c r="F632" s="619">
        <v>1</v>
      </c>
      <c r="G632" s="619">
        <v>109</v>
      </c>
      <c r="H632" s="619">
        <v>1</v>
      </c>
      <c r="I632" s="619">
        <v>109</v>
      </c>
      <c r="J632" s="619"/>
      <c r="K632" s="619"/>
      <c r="L632" s="619"/>
      <c r="M632" s="619"/>
      <c r="N632" s="619"/>
      <c r="O632" s="619"/>
      <c r="P632" s="640"/>
      <c r="Q632" s="620"/>
    </row>
    <row r="633" spans="1:17" ht="14.4" customHeight="1" x14ac:dyDescent="0.3">
      <c r="A633" s="615" t="s">
        <v>479</v>
      </c>
      <c r="B633" s="616" t="s">
        <v>4654</v>
      </c>
      <c r="C633" s="616" t="s">
        <v>3592</v>
      </c>
      <c r="D633" s="616" t="s">
        <v>3749</v>
      </c>
      <c r="E633" s="616" t="s">
        <v>3750</v>
      </c>
      <c r="F633" s="619">
        <v>1</v>
      </c>
      <c r="G633" s="619">
        <v>4340</v>
      </c>
      <c r="H633" s="619">
        <v>1</v>
      </c>
      <c r="I633" s="619">
        <v>4340</v>
      </c>
      <c r="J633" s="619"/>
      <c r="K633" s="619"/>
      <c r="L633" s="619"/>
      <c r="M633" s="619"/>
      <c r="N633" s="619"/>
      <c r="O633" s="619"/>
      <c r="P633" s="640"/>
      <c r="Q633" s="620"/>
    </row>
    <row r="634" spans="1:17" ht="14.4" customHeight="1" x14ac:dyDescent="0.3">
      <c r="A634" s="615" t="s">
        <v>479</v>
      </c>
      <c r="B634" s="616" t="s">
        <v>4654</v>
      </c>
      <c r="C634" s="616" t="s">
        <v>3592</v>
      </c>
      <c r="D634" s="616" t="s">
        <v>4663</v>
      </c>
      <c r="E634" s="616" t="s">
        <v>4664</v>
      </c>
      <c r="F634" s="619"/>
      <c r="G634" s="619"/>
      <c r="H634" s="619"/>
      <c r="I634" s="619"/>
      <c r="J634" s="619">
        <v>1</v>
      </c>
      <c r="K634" s="619">
        <v>2313</v>
      </c>
      <c r="L634" s="619"/>
      <c r="M634" s="619">
        <v>2313</v>
      </c>
      <c r="N634" s="619"/>
      <c r="O634" s="619"/>
      <c r="P634" s="640"/>
      <c r="Q634" s="620"/>
    </row>
    <row r="635" spans="1:17" ht="14.4" customHeight="1" x14ac:dyDescent="0.3">
      <c r="A635" s="615" t="s">
        <v>479</v>
      </c>
      <c r="B635" s="616" t="s">
        <v>4654</v>
      </c>
      <c r="C635" s="616" t="s">
        <v>3592</v>
      </c>
      <c r="D635" s="616" t="s">
        <v>3805</v>
      </c>
      <c r="E635" s="616" t="s">
        <v>3806</v>
      </c>
      <c r="F635" s="619"/>
      <c r="G635" s="619"/>
      <c r="H635" s="619"/>
      <c r="I635" s="619"/>
      <c r="J635" s="619">
        <v>1</v>
      </c>
      <c r="K635" s="619">
        <v>0</v>
      </c>
      <c r="L635" s="619"/>
      <c r="M635" s="619">
        <v>0</v>
      </c>
      <c r="N635" s="619"/>
      <c r="O635" s="619"/>
      <c r="P635" s="640"/>
      <c r="Q635" s="620"/>
    </row>
    <row r="636" spans="1:17" ht="14.4" customHeight="1" x14ac:dyDescent="0.3">
      <c r="A636" s="615" t="s">
        <v>479</v>
      </c>
      <c r="B636" s="616" t="s">
        <v>4654</v>
      </c>
      <c r="C636" s="616" t="s">
        <v>3592</v>
      </c>
      <c r="D636" s="616" t="s">
        <v>4665</v>
      </c>
      <c r="E636" s="616" t="s">
        <v>4666</v>
      </c>
      <c r="F636" s="619">
        <v>1</v>
      </c>
      <c r="G636" s="619">
        <v>1828</v>
      </c>
      <c r="H636" s="619">
        <v>1</v>
      </c>
      <c r="I636" s="619">
        <v>1828</v>
      </c>
      <c r="J636" s="619">
        <v>2</v>
      </c>
      <c r="K636" s="619">
        <v>3674</v>
      </c>
      <c r="L636" s="619">
        <v>2.0098468271334791</v>
      </c>
      <c r="M636" s="619">
        <v>1837</v>
      </c>
      <c r="N636" s="619"/>
      <c r="O636" s="619"/>
      <c r="P636" s="640"/>
      <c r="Q636" s="620"/>
    </row>
    <row r="637" spans="1:17" ht="14.4" customHeight="1" x14ac:dyDescent="0.3">
      <c r="A637" s="615" t="s">
        <v>479</v>
      </c>
      <c r="B637" s="616" t="s">
        <v>4667</v>
      </c>
      <c r="C637" s="616" t="s">
        <v>3592</v>
      </c>
      <c r="D637" s="616" t="s">
        <v>4668</v>
      </c>
      <c r="E637" s="616" t="s">
        <v>4669</v>
      </c>
      <c r="F637" s="619"/>
      <c r="G637" s="619"/>
      <c r="H637" s="619"/>
      <c r="I637" s="619"/>
      <c r="J637" s="619"/>
      <c r="K637" s="619"/>
      <c r="L637" s="619"/>
      <c r="M637" s="619"/>
      <c r="N637" s="619">
        <v>1</v>
      </c>
      <c r="O637" s="619">
        <v>432</v>
      </c>
      <c r="P637" s="640"/>
      <c r="Q637" s="620">
        <v>432</v>
      </c>
    </row>
    <row r="638" spans="1:17" ht="14.4" customHeight="1" x14ac:dyDescent="0.3">
      <c r="A638" s="615" t="s">
        <v>479</v>
      </c>
      <c r="B638" s="616" t="s">
        <v>4667</v>
      </c>
      <c r="C638" s="616" t="s">
        <v>3592</v>
      </c>
      <c r="D638" s="616" t="s">
        <v>4670</v>
      </c>
      <c r="E638" s="616" t="s">
        <v>4671</v>
      </c>
      <c r="F638" s="619">
        <v>2</v>
      </c>
      <c r="G638" s="619">
        <v>504</v>
      </c>
      <c r="H638" s="619">
        <v>1</v>
      </c>
      <c r="I638" s="619">
        <v>252</v>
      </c>
      <c r="J638" s="619">
        <v>1</v>
      </c>
      <c r="K638" s="619">
        <v>254</v>
      </c>
      <c r="L638" s="619">
        <v>0.50396825396825395</v>
      </c>
      <c r="M638" s="619">
        <v>254</v>
      </c>
      <c r="N638" s="619"/>
      <c r="O638" s="619"/>
      <c r="P638" s="640"/>
      <c r="Q638" s="620"/>
    </row>
    <row r="639" spans="1:17" ht="14.4" customHeight="1" x14ac:dyDescent="0.3">
      <c r="A639" s="615" t="s">
        <v>479</v>
      </c>
      <c r="B639" s="616" t="s">
        <v>4667</v>
      </c>
      <c r="C639" s="616" t="s">
        <v>3592</v>
      </c>
      <c r="D639" s="616" t="s">
        <v>4672</v>
      </c>
      <c r="E639" s="616" t="s">
        <v>4673</v>
      </c>
      <c r="F639" s="619">
        <v>1</v>
      </c>
      <c r="G639" s="619">
        <v>246</v>
      </c>
      <c r="H639" s="619">
        <v>1</v>
      </c>
      <c r="I639" s="619">
        <v>246</v>
      </c>
      <c r="J639" s="619"/>
      <c r="K639" s="619"/>
      <c r="L639" s="619"/>
      <c r="M639" s="619"/>
      <c r="N639" s="619"/>
      <c r="O639" s="619"/>
      <c r="P639" s="640"/>
      <c r="Q639" s="620"/>
    </row>
    <row r="640" spans="1:17" ht="14.4" customHeight="1" x14ac:dyDescent="0.3">
      <c r="A640" s="615" t="s">
        <v>479</v>
      </c>
      <c r="B640" s="616" t="s">
        <v>4667</v>
      </c>
      <c r="C640" s="616" t="s">
        <v>3592</v>
      </c>
      <c r="D640" s="616" t="s">
        <v>4674</v>
      </c>
      <c r="E640" s="616" t="s">
        <v>4675</v>
      </c>
      <c r="F640" s="619">
        <v>1</v>
      </c>
      <c r="G640" s="619">
        <v>1139</v>
      </c>
      <c r="H640" s="619">
        <v>1</v>
      </c>
      <c r="I640" s="619">
        <v>1139</v>
      </c>
      <c r="J640" s="619"/>
      <c r="K640" s="619"/>
      <c r="L640" s="619"/>
      <c r="M640" s="619"/>
      <c r="N640" s="619"/>
      <c r="O640" s="619"/>
      <c r="P640" s="640"/>
      <c r="Q640" s="620"/>
    </row>
    <row r="641" spans="1:17" ht="14.4" customHeight="1" x14ac:dyDescent="0.3">
      <c r="A641" s="615" t="s">
        <v>479</v>
      </c>
      <c r="B641" s="616" t="s">
        <v>4667</v>
      </c>
      <c r="C641" s="616" t="s">
        <v>3592</v>
      </c>
      <c r="D641" s="616" t="s">
        <v>4676</v>
      </c>
      <c r="E641" s="616" t="s">
        <v>4677</v>
      </c>
      <c r="F641" s="619">
        <v>1</v>
      </c>
      <c r="G641" s="619">
        <v>2163</v>
      </c>
      <c r="H641" s="619">
        <v>1</v>
      </c>
      <c r="I641" s="619">
        <v>2163</v>
      </c>
      <c r="J641" s="619"/>
      <c r="K641" s="619"/>
      <c r="L641" s="619"/>
      <c r="M641" s="619"/>
      <c r="N641" s="619"/>
      <c r="O641" s="619"/>
      <c r="P641" s="640"/>
      <c r="Q641" s="620"/>
    </row>
    <row r="642" spans="1:17" ht="14.4" customHeight="1" x14ac:dyDescent="0.3">
      <c r="A642" s="615" t="s">
        <v>479</v>
      </c>
      <c r="B642" s="616" t="s">
        <v>4667</v>
      </c>
      <c r="C642" s="616" t="s">
        <v>3592</v>
      </c>
      <c r="D642" s="616" t="s">
        <v>3638</v>
      </c>
      <c r="E642" s="616" t="s">
        <v>3639</v>
      </c>
      <c r="F642" s="619">
        <v>3</v>
      </c>
      <c r="G642" s="619">
        <v>2436</v>
      </c>
      <c r="H642" s="619">
        <v>1</v>
      </c>
      <c r="I642" s="619">
        <v>812</v>
      </c>
      <c r="J642" s="619">
        <v>2</v>
      </c>
      <c r="K642" s="619">
        <v>1638</v>
      </c>
      <c r="L642" s="619">
        <v>0.67241379310344829</v>
      </c>
      <c r="M642" s="619">
        <v>819</v>
      </c>
      <c r="N642" s="619">
        <v>6</v>
      </c>
      <c r="O642" s="619">
        <v>5016</v>
      </c>
      <c r="P642" s="640">
        <v>2.0591133004926108</v>
      </c>
      <c r="Q642" s="620">
        <v>836</v>
      </c>
    </row>
    <row r="643" spans="1:17" ht="14.4" customHeight="1" x14ac:dyDescent="0.3">
      <c r="A643" s="615" t="s">
        <v>479</v>
      </c>
      <c r="B643" s="616" t="s">
        <v>4667</v>
      </c>
      <c r="C643" s="616" t="s">
        <v>3592</v>
      </c>
      <c r="D643" s="616" t="s">
        <v>4642</v>
      </c>
      <c r="E643" s="616" t="s">
        <v>4643</v>
      </c>
      <c r="F643" s="619"/>
      <c r="G643" s="619"/>
      <c r="H643" s="619"/>
      <c r="I643" s="619"/>
      <c r="J643" s="619"/>
      <c r="K643" s="619"/>
      <c r="L643" s="619"/>
      <c r="M643" s="619"/>
      <c r="N643" s="619">
        <v>2</v>
      </c>
      <c r="O643" s="619">
        <v>5000</v>
      </c>
      <c r="P643" s="640"/>
      <c r="Q643" s="620">
        <v>2500</v>
      </c>
    </row>
    <row r="644" spans="1:17" ht="14.4" customHeight="1" x14ac:dyDescent="0.3">
      <c r="A644" s="615" t="s">
        <v>479</v>
      </c>
      <c r="B644" s="616" t="s">
        <v>4667</v>
      </c>
      <c r="C644" s="616" t="s">
        <v>3592</v>
      </c>
      <c r="D644" s="616" t="s">
        <v>4678</v>
      </c>
      <c r="E644" s="616" t="s">
        <v>4679</v>
      </c>
      <c r="F644" s="619"/>
      <c r="G644" s="619"/>
      <c r="H644" s="619"/>
      <c r="I644" s="619"/>
      <c r="J644" s="619"/>
      <c r="K644" s="619"/>
      <c r="L644" s="619"/>
      <c r="M644" s="619"/>
      <c r="N644" s="619">
        <v>1</v>
      </c>
      <c r="O644" s="619">
        <v>3544</v>
      </c>
      <c r="P644" s="640"/>
      <c r="Q644" s="620">
        <v>3544</v>
      </c>
    </row>
    <row r="645" spans="1:17" ht="14.4" customHeight="1" x14ac:dyDescent="0.3">
      <c r="A645" s="615" t="s">
        <v>479</v>
      </c>
      <c r="B645" s="616" t="s">
        <v>4667</v>
      </c>
      <c r="C645" s="616" t="s">
        <v>3592</v>
      </c>
      <c r="D645" s="616" t="s">
        <v>4680</v>
      </c>
      <c r="E645" s="616" t="s">
        <v>4681</v>
      </c>
      <c r="F645" s="619"/>
      <c r="G645" s="619"/>
      <c r="H645" s="619"/>
      <c r="I645" s="619"/>
      <c r="J645" s="619"/>
      <c r="K645" s="619"/>
      <c r="L645" s="619"/>
      <c r="M645" s="619"/>
      <c r="N645" s="619">
        <v>1</v>
      </c>
      <c r="O645" s="619">
        <v>1641</v>
      </c>
      <c r="P645" s="640"/>
      <c r="Q645" s="620">
        <v>1641</v>
      </c>
    </row>
    <row r="646" spans="1:17" ht="14.4" customHeight="1" x14ac:dyDescent="0.3">
      <c r="A646" s="615" t="s">
        <v>479</v>
      </c>
      <c r="B646" s="616" t="s">
        <v>4667</v>
      </c>
      <c r="C646" s="616" t="s">
        <v>3592</v>
      </c>
      <c r="D646" s="616" t="s">
        <v>4583</v>
      </c>
      <c r="E646" s="616" t="s">
        <v>4584</v>
      </c>
      <c r="F646" s="619">
        <v>2</v>
      </c>
      <c r="G646" s="619">
        <v>132</v>
      </c>
      <c r="H646" s="619">
        <v>1</v>
      </c>
      <c r="I646" s="619">
        <v>66</v>
      </c>
      <c r="J646" s="619"/>
      <c r="K646" s="619"/>
      <c r="L646" s="619"/>
      <c r="M646" s="619"/>
      <c r="N646" s="619"/>
      <c r="O646" s="619"/>
      <c r="P646" s="640"/>
      <c r="Q646" s="620"/>
    </row>
    <row r="647" spans="1:17" ht="14.4" customHeight="1" x14ac:dyDescent="0.3">
      <c r="A647" s="615" t="s">
        <v>479</v>
      </c>
      <c r="B647" s="616" t="s">
        <v>4667</v>
      </c>
      <c r="C647" s="616" t="s">
        <v>3592</v>
      </c>
      <c r="D647" s="616" t="s">
        <v>4682</v>
      </c>
      <c r="E647" s="616" t="s">
        <v>4683</v>
      </c>
      <c r="F647" s="619"/>
      <c r="G647" s="619"/>
      <c r="H647" s="619"/>
      <c r="I647" s="619"/>
      <c r="J647" s="619"/>
      <c r="K647" s="619"/>
      <c r="L647" s="619"/>
      <c r="M647" s="619"/>
      <c r="N647" s="619">
        <v>1</v>
      </c>
      <c r="O647" s="619">
        <v>6096</v>
      </c>
      <c r="P647" s="640"/>
      <c r="Q647" s="620">
        <v>6096</v>
      </c>
    </row>
    <row r="648" spans="1:17" ht="14.4" customHeight="1" x14ac:dyDescent="0.3">
      <c r="A648" s="615" t="s">
        <v>479</v>
      </c>
      <c r="B648" s="616" t="s">
        <v>4667</v>
      </c>
      <c r="C648" s="616" t="s">
        <v>3592</v>
      </c>
      <c r="D648" s="616" t="s">
        <v>4684</v>
      </c>
      <c r="E648" s="616" t="s">
        <v>4685</v>
      </c>
      <c r="F648" s="619"/>
      <c r="G648" s="619"/>
      <c r="H648" s="619"/>
      <c r="I648" s="619"/>
      <c r="J648" s="619"/>
      <c r="K648" s="619"/>
      <c r="L648" s="619"/>
      <c r="M648" s="619"/>
      <c r="N648" s="619">
        <v>1</v>
      </c>
      <c r="O648" s="619">
        <v>43</v>
      </c>
      <c r="P648" s="640"/>
      <c r="Q648" s="620">
        <v>43</v>
      </c>
    </row>
    <row r="649" spans="1:17" ht="14.4" customHeight="1" x14ac:dyDescent="0.3">
      <c r="A649" s="615" t="s">
        <v>479</v>
      </c>
      <c r="B649" s="616" t="s">
        <v>4667</v>
      </c>
      <c r="C649" s="616" t="s">
        <v>3592</v>
      </c>
      <c r="D649" s="616" t="s">
        <v>4686</v>
      </c>
      <c r="E649" s="616" t="s">
        <v>4687</v>
      </c>
      <c r="F649" s="619"/>
      <c r="G649" s="619"/>
      <c r="H649" s="619"/>
      <c r="I649" s="619"/>
      <c r="J649" s="619"/>
      <c r="K649" s="619"/>
      <c r="L649" s="619"/>
      <c r="M649" s="619"/>
      <c r="N649" s="619">
        <v>1</v>
      </c>
      <c r="O649" s="619">
        <v>1497</v>
      </c>
      <c r="P649" s="640"/>
      <c r="Q649" s="620">
        <v>1497</v>
      </c>
    </row>
    <row r="650" spans="1:17" ht="14.4" customHeight="1" x14ac:dyDescent="0.3">
      <c r="A650" s="615" t="s">
        <v>479</v>
      </c>
      <c r="B650" s="616" t="s">
        <v>4667</v>
      </c>
      <c r="C650" s="616" t="s">
        <v>3592</v>
      </c>
      <c r="D650" s="616" t="s">
        <v>4688</v>
      </c>
      <c r="E650" s="616" t="s">
        <v>4689</v>
      </c>
      <c r="F650" s="619"/>
      <c r="G650" s="619"/>
      <c r="H650" s="619"/>
      <c r="I650" s="619"/>
      <c r="J650" s="619"/>
      <c r="K650" s="619"/>
      <c r="L650" s="619"/>
      <c r="M650" s="619"/>
      <c r="N650" s="619">
        <v>1</v>
      </c>
      <c r="O650" s="619">
        <v>394</v>
      </c>
      <c r="P650" s="640"/>
      <c r="Q650" s="620">
        <v>394</v>
      </c>
    </row>
    <row r="651" spans="1:17" ht="14.4" customHeight="1" x14ac:dyDescent="0.3">
      <c r="A651" s="615" t="s">
        <v>479</v>
      </c>
      <c r="B651" s="616" t="s">
        <v>4667</v>
      </c>
      <c r="C651" s="616" t="s">
        <v>3592</v>
      </c>
      <c r="D651" s="616" t="s">
        <v>4690</v>
      </c>
      <c r="E651" s="616" t="s">
        <v>4691</v>
      </c>
      <c r="F651" s="619">
        <v>2</v>
      </c>
      <c r="G651" s="619">
        <v>980</v>
      </c>
      <c r="H651" s="619">
        <v>1</v>
      </c>
      <c r="I651" s="619">
        <v>490</v>
      </c>
      <c r="J651" s="619"/>
      <c r="K651" s="619"/>
      <c r="L651" s="619"/>
      <c r="M651" s="619"/>
      <c r="N651" s="619"/>
      <c r="O651" s="619"/>
      <c r="P651" s="640"/>
      <c r="Q651" s="620"/>
    </row>
    <row r="652" spans="1:17" ht="14.4" customHeight="1" x14ac:dyDescent="0.3">
      <c r="A652" s="615" t="s">
        <v>479</v>
      </c>
      <c r="B652" s="616" t="s">
        <v>4667</v>
      </c>
      <c r="C652" s="616" t="s">
        <v>3592</v>
      </c>
      <c r="D652" s="616" t="s">
        <v>4692</v>
      </c>
      <c r="E652" s="616" t="s">
        <v>4693</v>
      </c>
      <c r="F652" s="619">
        <v>1</v>
      </c>
      <c r="G652" s="619">
        <v>4010</v>
      </c>
      <c r="H652" s="619">
        <v>1</v>
      </c>
      <c r="I652" s="619">
        <v>4010</v>
      </c>
      <c r="J652" s="619"/>
      <c r="K652" s="619"/>
      <c r="L652" s="619"/>
      <c r="M652" s="619"/>
      <c r="N652" s="619"/>
      <c r="O652" s="619"/>
      <c r="P652" s="640"/>
      <c r="Q652" s="620"/>
    </row>
    <row r="653" spans="1:17" ht="14.4" customHeight="1" x14ac:dyDescent="0.3">
      <c r="A653" s="615" t="s">
        <v>479</v>
      </c>
      <c r="B653" s="616" t="s">
        <v>4667</v>
      </c>
      <c r="C653" s="616" t="s">
        <v>3592</v>
      </c>
      <c r="D653" s="616" t="s">
        <v>4694</v>
      </c>
      <c r="E653" s="616" t="s">
        <v>4695</v>
      </c>
      <c r="F653" s="619"/>
      <c r="G653" s="619"/>
      <c r="H653" s="619"/>
      <c r="I653" s="619"/>
      <c r="J653" s="619"/>
      <c r="K653" s="619"/>
      <c r="L653" s="619"/>
      <c r="M653" s="619"/>
      <c r="N653" s="619">
        <v>1</v>
      </c>
      <c r="O653" s="619">
        <v>5123</v>
      </c>
      <c r="P653" s="640"/>
      <c r="Q653" s="620">
        <v>5123</v>
      </c>
    </row>
    <row r="654" spans="1:17" ht="14.4" customHeight="1" x14ac:dyDescent="0.3">
      <c r="A654" s="615" t="s">
        <v>479</v>
      </c>
      <c r="B654" s="616" t="s">
        <v>4696</v>
      </c>
      <c r="C654" s="616" t="s">
        <v>3592</v>
      </c>
      <c r="D654" s="616" t="s">
        <v>3622</v>
      </c>
      <c r="E654" s="616" t="s">
        <v>3623</v>
      </c>
      <c r="F654" s="619">
        <v>2</v>
      </c>
      <c r="G654" s="619">
        <v>4134</v>
      </c>
      <c r="H654" s="619">
        <v>1</v>
      </c>
      <c r="I654" s="619">
        <v>2067</v>
      </c>
      <c r="J654" s="619">
        <v>1</v>
      </c>
      <c r="K654" s="619">
        <v>2073</v>
      </c>
      <c r="L654" s="619">
        <v>0.50145137880986934</v>
      </c>
      <c r="M654" s="619">
        <v>2073</v>
      </c>
      <c r="N654" s="619">
        <v>3</v>
      </c>
      <c r="O654" s="619">
        <v>6435</v>
      </c>
      <c r="P654" s="640">
        <v>1.5566037735849056</v>
      </c>
      <c r="Q654" s="620">
        <v>2145</v>
      </c>
    </row>
    <row r="655" spans="1:17" ht="14.4" customHeight="1" x14ac:dyDescent="0.3">
      <c r="A655" s="615" t="s">
        <v>479</v>
      </c>
      <c r="B655" s="616" t="s">
        <v>4696</v>
      </c>
      <c r="C655" s="616" t="s">
        <v>3592</v>
      </c>
      <c r="D655" s="616" t="s">
        <v>4697</v>
      </c>
      <c r="E655" s="616" t="s">
        <v>4698</v>
      </c>
      <c r="F655" s="619"/>
      <c r="G655" s="619"/>
      <c r="H655" s="619"/>
      <c r="I655" s="619"/>
      <c r="J655" s="619">
        <v>1</v>
      </c>
      <c r="K655" s="619">
        <v>1113</v>
      </c>
      <c r="L655" s="619"/>
      <c r="M655" s="619">
        <v>1113</v>
      </c>
      <c r="N655" s="619"/>
      <c r="O655" s="619"/>
      <c r="P655" s="640"/>
      <c r="Q655" s="620"/>
    </row>
    <row r="656" spans="1:17" ht="14.4" customHeight="1" x14ac:dyDescent="0.3">
      <c r="A656" s="615" t="s">
        <v>479</v>
      </c>
      <c r="B656" s="616" t="s">
        <v>4696</v>
      </c>
      <c r="C656" s="616" t="s">
        <v>3592</v>
      </c>
      <c r="D656" s="616" t="s">
        <v>4699</v>
      </c>
      <c r="E656" s="616" t="s">
        <v>4700</v>
      </c>
      <c r="F656" s="619"/>
      <c r="G656" s="619"/>
      <c r="H656" s="619"/>
      <c r="I656" s="619"/>
      <c r="J656" s="619"/>
      <c r="K656" s="619"/>
      <c r="L656" s="619"/>
      <c r="M656" s="619"/>
      <c r="N656" s="619">
        <v>1</v>
      </c>
      <c r="O656" s="619">
        <v>538</v>
      </c>
      <c r="P656" s="640"/>
      <c r="Q656" s="620">
        <v>538</v>
      </c>
    </row>
    <row r="657" spans="1:17" ht="14.4" customHeight="1" x14ac:dyDescent="0.3">
      <c r="A657" s="615" t="s">
        <v>479</v>
      </c>
      <c r="B657" s="616" t="s">
        <v>4696</v>
      </c>
      <c r="C657" s="616" t="s">
        <v>3592</v>
      </c>
      <c r="D657" s="616" t="s">
        <v>4701</v>
      </c>
      <c r="E657" s="616" t="s">
        <v>4702</v>
      </c>
      <c r="F657" s="619"/>
      <c r="G657" s="619"/>
      <c r="H657" s="619"/>
      <c r="I657" s="619"/>
      <c r="J657" s="619"/>
      <c r="K657" s="619"/>
      <c r="L657" s="619"/>
      <c r="M657" s="619"/>
      <c r="N657" s="619">
        <v>1</v>
      </c>
      <c r="O657" s="619">
        <v>494</v>
      </c>
      <c r="P657" s="640"/>
      <c r="Q657" s="620">
        <v>494</v>
      </c>
    </row>
    <row r="658" spans="1:17" ht="14.4" customHeight="1" x14ac:dyDescent="0.3">
      <c r="A658" s="615" t="s">
        <v>479</v>
      </c>
      <c r="B658" s="616" t="s">
        <v>4696</v>
      </c>
      <c r="C658" s="616" t="s">
        <v>3592</v>
      </c>
      <c r="D658" s="616" t="s">
        <v>4703</v>
      </c>
      <c r="E658" s="616" t="s">
        <v>4704</v>
      </c>
      <c r="F658" s="619"/>
      <c r="G658" s="619"/>
      <c r="H658" s="619"/>
      <c r="I658" s="619"/>
      <c r="J658" s="619"/>
      <c r="K658" s="619"/>
      <c r="L658" s="619"/>
      <c r="M658" s="619"/>
      <c r="N658" s="619">
        <v>0</v>
      </c>
      <c r="O658" s="619">
        <v>0</v>
      </c>
      <c r="P658" s="640"/>
      <c r="Q658" s="620"/>
    </row>
    <row r="659" spans="1:17" ht="14.4" customHeight="1" x14ac:dyDescent="0.3">
      <c r="A659" s="615" t="s">
        <v>479</v>
      </c>
      <c r="B659" s="616" t="s">
        <v>4696</v>
      </c>
      <c r="C659" s="616" t="s">
        <v>3592</v>
      </c>
      <c r="D659" s="616" t="s">
        <v>3640</v>
      </c>
      <c r="E659" s="616" t="s">
        <v>3641</v>
      </c>
      <c r="F659" s="619"/>
      <c r="G659" s="619"/>
      <c r="H659" s="619"/>
      <c r="I659" s="619"/>
      <c r="J659" s="619">
        <v>2</v>
      </c>
      <c r="K659" s="619">
        <v>7828</v>
      </c>
      <c r="L659" s="619"/>
      <c r="M659" s="619">
        <v>3914</v>
      </c>
      <c r="N659" s="619">
        <v>1</v>
      </c>
      <c r="O659" s="619">
        <v>4059</v>
      </c>
      <c r="P659" s="640"/>
      <c r="Q659" s="620">
        <v>4059</v>
      </c>
    </row>
    <row r="660" spans="1:17" ht="14.4" customHeight="1" x14ac:dyDescent="0.3">
      <c r="A660" s="615" t="s">
        <v>479</v>
      </c>
      <c r="B660" s="616" t="s">
        <v>4696</v>
      </c>
      <c r="C660" s="616" t="s">
        <v>3592</v>
      </c>
      <c r="D660" s="616" t="s">
        <v>4705</v>
      </c>
      <c r="E660" s="616" t="s">
        <v>4706</v>
      </c>
      <c r="F660" s="619"/>
      <c r="G660" s="619"/>
      <c r="H660" s="619"/>
      <c r="I660" s="619"/>
      <c r="J660" s="619"/>
      <c r="K660" s="619"/>
      <c r="L660" s="619"/>
      <c r="M660" s="619"/>
      <c r="N660" s="619">
        <v>1</v>
      </c>
      <c r="O660" s="619">
        <v>6333</v>
      </c>
      <c r="P660" s="640"/>
      <c r="Q660" s="620">
        <v>6333</v>
      </c>
    </row>
    <row r="661" spans="1:17" ht="14.4" customHeight="1" x14ac:dyDescent="0.3">
      <c r="A661" s="615" t="s">
        <v>479</v>
      </c>
      <c r="B661" s="616" t="s">
        <v>4696</v>
      </c>
      <c r="C661" s="616" t="s">
        <v>3592</v>
      </c>
      <c r="D661" s="616" t="s">
        <v>4707</v>
      </c>
      <c r="E661" s="616" t="s">
        <v>4708</v>
      </c>
      <c r="F661" s="619"/>
      <c r="G661" s="619"/>
      <c r="H661" s="619"/>
      <c r="I661" s="619"/>
      <c r="J661" s="619">
        <v>1</v>
      </c>
      <c r="K661" s="619">
        <v>2454</v>
      </c>
      <c r="L661" s="619"/>
      <c r="M661" s="619">
        <v>2454</v>
      </c>
      <c r="N661" s="619">
        <v>1</v>
      </c>
      <c r="O661" s="619">
        <v>2490</v>
      </c>
      <c r="P661" s="640"/>
      <c r="Q661" s="620">
        <v>2490</v>
      </c>
    </row>
    <row r="662" spans="1:17" ht="14.4" customHeight="1" x14ac:dyDescent="0.3">
      <c r="A662" s="615" t="s">
        <v>479</v>
      </c>
      <c r="B662" s="616" t="s">
        <v>4696</v>
      </c>
      <c r="C662" s="616" t="s">
        <v>3592</v>
      </c>
      <c r="D662" s="616" t="s">
        <v>4709</v>
      </c>
      <c r="E662" s="616" t="s">
        <v>4710</v>
      </c>
      <c r="F662" s="619"/>
      <c r="G662" s="619"/>
      <c r="H662" s="619"/>
      <c r="I662" s="619"/>
      <c r="J662" s="619"/>
      <c r="K662" s="619"/>
      <c r="L662" s="619"/>
      <c r="M662" s="619"/>
      <c r="N662" s="619">
        <v>1</v>
      </c>
      <c r="O662" s="619">
        <v>2538</v>
      </c>
      <c r="P662" s="640"/>
      <c r="Q662" s="620">
        <v>2538</v>
      </c>
    </row>
    <row r="663" spans="1:17" ht="14.4" customHeight="1" x14ac:dyDescent="0.3">
      <c r="A663" s="615" t="s">
        <v>479</v>
      </c>
      <c r="B663" s="616" t="s">
        <v>4696</v>
      </c>
      <c r="C663" s="616" t="s">
        <v>3592</v>
      </c>
      <c r="D663" s="616" t="s">
        <v>4711</v>
      </c>
      <c r="E663" s="616" t="s">
        <v>4712</v>
      </c>
      <c r="F663" s="619"/>
      <c r="G663" s="619"/>
      <c r="H663" s="619"/>
      <c r="I663" s="619"/>
      <c r="J663" s="619">
        <v>1</v>
      </c>
      <c r="K663" s="619">
        <v>1766</v>
      </c>
      <c r="L663" s="619"/>
      <c r="M663" s="619">
        <v>1766</v>
      </c>
      <c r="N663" s="619"/>
      <c r="O663" s="619"/>
      <c r="P663" s="640"/>
      <c r="Q663" s="620"/>
    </row>
    <row r="664" spans="1:17" ht="14.4" customHeight="1" x14ac:dyDescent="0.3">
      <c r="A664" s="615" t="s">
        <v>479</v>
      </c>
      <c r="B664" s="616" t="s">
        <v>4696</v>
      </c>
      <c r="C664" s="616" t="s">
        <v>3592</v>
      </c>
      <c r="D664" s="616" t="s">
        <v>4713</v>
      </c>
      <c r="E664" s="616" t="s">
        <v>4714</v>
      </c>
      <c r="F664" s="619"/>
      <c r="G664" s="619"/>
      <c r="H664" s="619"/>
      <c r="I664" s="619"/>
      <c r="J664" s="619"/>
      <c r="K664" s="619"/>
      <c r="L664" s="619"/>
      <c r="M664" s="619"/>
      <c r="N664" s="619">
        <v>2</v>
      </c>
      <c r="O664" s="619">
        <v>518</v>
      </c>
      <c r="P664" s="640"/>
      <c r="Q664" s="620">
        <v>259</v>
      </c>
    </row>
    <row r="665" spans="1:17" ht="14.4" customHeight="1" x14ac:dyDescent="0.3">
      <c r="A665" s="615" t="s">
        <v>479</v>
      </c>
      <c r="B665" s="616" t="s">
        <v>4696</v>
      </c>
      <c r="C665" s="616" t="s">
        <v>3592</v>
      </c>
      <c r="D665" s="616" t="s">
        <v>4715</v>
      </c>
      <c r="E665" s="616" t="s">
        <v>4716</v>
      </c>
      <c r="F665" s="619"/>
      <c r="G665" s="619"/>
      <c r="H665" s="619"/>
      <c r="I665" s="619"/>
      <c r="J665" s="619">
        <v>2</v>
      </c>
      <c r="K665" s="619">
        <v>1722</v>
      </c>
      <c r="L665" s="619"/>
      <c r="M665" s="619">
        <v>861</v>
      </c>
      <c r="N665" s="619"/>
      <c r="O665" s="619"/>
      <c r="P665" s="640"/>
      <c r="Q665" s="620"/>
    </row>
    <row r="666" spans="1:17" ht="14.4" customHeight="1" x14ac:dyDescent="0.3">
      <c r="A666" s="615" t="s">
        <v>479</v>
      </c>
      <c r="B666" s="616" t="s">
        <v>4696</v>
      </c>
      <c r="C666" s="616" t="s">
        <v>3592</v>
      </c>
      <c r="D666" s="616" t="s">
        <v>4717</v>
      </c>
      <c r="E666" s="616" t="s">
        <v>4718</v>
      </c>
      <c r="F666" s="619"/>
      <c r="G666" s="619"/>
      <c r="H666" s="619"/>
      <c r="I666" s="619"/>
      <c r="J666" s="619">
        <v>2</v>
      </c>
      <c r="K666" s="619">
        <v>1166</v>
      </c>
      <c r="L666" s="619"/>
      <c r="M666" s="619">
        <v>583</v>
      </c>
      <c r="N666" s="619">
        <v>2</v>
      </c>
      <c r="O666" s="619">
        <v>1182</v>
      </c>
      <c r="P666" s="640"/>
      <c r="Q666" s="620">
        <v>591</v>
      </c>
    </row>
    <row r="667" spans="1:17" ht="14.4" customHeight="1" x14ac:dyDescent="0.3">
      <c r="A667" s="615" t="s">
        <v>479</v>
      </c>
      <c r="B667" s="616" t="s">
        <v>4696</v>
      </c>
      <c r="C667" s="616" t="s">
        <v>3592</v>
      </c>
      <c r="D667" s="616" t="s">
        <v>4719</v>
      </c>
      <c r="E667" s="616" t="s">
        <v>4720</v>
      </c>
      <c r="F667" s="619"/>
      <c r="G667" s="619"/>
      <c r="H667" s="619"/>
      <c r="I667" s="619"/>
      <c r="J667" s="619">
        <v>3</v>
      </c>
      <c r="K667" s="619">
        <v>2277</v>
      </c>
      <c r="L667" s="619"/>
      <c r="M667" s="619">
        <v>759</v>
      </c>
      <c r="N667" s="619">
        <v>1</v>
      </c>
      <c r="O667" s="619">
        <v>767</v>
      </c>
      <c r="P667" s="640"/>
      <c r="Q667" s="620">
        <v>767</v>
      </c>
    </row>
    <row r="668" spans="1:17" ht="14.4" customHeight="1" x14ac:dyDescent="0.3">
      <c r="A668" s="615" t="s">
        <v>479</v>
      </c>
      <c r="B668" s="616" t="s">
        <v>4696</v>
      </c>
      <c r="C668" s="616" t="s">
        <v>3592</v>
      </c>
      <c r="D668" s="616" t="s">
        <v>4721</v>
      </c>
      <c r="E668" s="616" t="s">
        <v>4722</v>
      </c>
      <c r="F668" s="619"/>
      <c r="G668" s="619"/>
      <c r="H668" s="619"/>
      <c r="I668" s="619"/>
      <c r="J668" s="619">
        <v>2</v>
      </c>
      <c r="K668" s="619">
        <v>716</v>
      </c>
      <c r="L668" s="619"/>
      <c r="M668" s="619">
        <v>358</v>
      </c>
      <c r="N668" s="619">
        <v>3</v>
      </c>
      <c r="O668" s="619">
        <v>1086</v>
      </c>
      <c r="P668" s="640"/>
      <c r="Q668" s="620">
        <v>362</v>
      </c>
    </row>
    <row r="669" spans="1:17" ht="14.4" customHeight="1" x14ac:dyDescent="0.3">
      <c r="A669" s="615" t="s">
        <v>479</v>
      </c>
      <c r="B669" s="616" t="s">
        <v>4696</v>
      </c>
      <c r="C669" s="616" t="s">
        <v>3592</v>
      </c>
      <c r="D669" s="616" t="s">
        <v>4723</v>
      </c>
      <c r="E669" s="616" t="s">
        <v>4724</v>
      </c>
      <c r="F669" s="619">
        <v>1</v>
      </c>
      <c r="G669" s="619">
        <v>6067</v>
      </c>
      <c r="H669" s="619">
        <v>1</v>
      </c>
      <c r="I669" s="619">
        <v>6067</v>
      </c>
      <c r="J669" s="619"/>
      <c r="K669" s="619"/>
      <c r="L669" s="619"/>
      <c r="M669" s="619"/>
      <c r="N669" s="619"/>
      <c r="O669" s="619"/>
      <c r="P669" s="640"/>
      <c r="Q669" s="620"/>
    </row>
    <row r="670" spans="1:17" ht="14.4" customHeight="1" x14ac:dyDescent="0.3">
      <c r="A670" s="615" t="s">
        <v>479</v>
      </c>
      <c r="B670" s="616" t="s">
        <v>4696</v>
      </c>
      <c r="C670" s="616" t="s">
        <v>3592</v>
      </c>
      <c r="D670" s="616" t="s">
        <v>4725</v>
      </c>
      <c r="E670" s="616" t="s">
        <v>4726</v>
      </c>
      <c r="F670" s="619"/>
      <c r="G670" s="619"/>
      <c r="H670" s="619"/>
      <c r="I670" s="619"/>
      <c r="J670" s="619"/>
      <c r="K670" s="619"/>
      <c r="L670" s="619"/>
      <c r="M670" s="619"/>
      <c r="N670" s="619">
        <v>1</v>
      </c>
      <c r="O670" s="619">
        <v>3141</v>
      </c>
      <c r="P670" s="640"/>
      <c r="Q670" s="620">
        <v>3141</v>
      </c>
    </row>
    <row r="671" spans="1:17" ht="14.4" customHeight="1" x14ac:dyDescent="0.3">
      <c r="A671" s="615" t="s">
        <v>479</v>
      </c>
      <c r="B671" s="616" t="s">
        <v>4696</v>
      </c>
      <c r="C671" s="616" t="s">
        <v>3592</v>
      </c>
      <c r="D671" s="616" t="s">
        <v>4727</v>
      </c>
      <c r="E671" s="616" t="s">
        <v>4728</v>
      </c>
      <c r="F671" s="619"/>
      <c r="G671" s="619"/>
      <c r="H671" s="619"/>
      <c r="I671" s="619"/>
      <c r="J671" s="619"/>
      <c r="K671" s="619"/>
      <c r="L671" s="619"/>
      <c r="M671" s="619"/>
      <c r="N671" s="619">
        <v>1</v>
      </c>
      <c r="O671" s="619">
        <v>5949</v>
      </c>
      <c r="P671" s="640"/>
      <c r="Q671" s="620">
        <v>5949</v>
      </c>
    </row>
    <row r="672" spans="1:17" ht="14.4" customHeight="1" x14ac:dyDescent="0.3">
      <c r="A672" s="615" t="s">
        <v>479</v>
      </c>
      <c r="B672" s="616" t="s">
        <v>4696</v>
      </c>
      <c r="C672" s="616" t="s">
        <v>3592</v>
      </c>
      <c r="D672" s="616" t="s">
        <v>4729</v>
      </c>
      <c r="E672" s="616" t="s">
        <v>4730</v>
      </c>
      <c r="F672" s="619"/>
      <c r="G672" s="619"/>
      <c r="H672" s="619"/>
      <c r="I672" s="619"/>
      <c r="J672" s="619"/>
      <c r="K672" s="619"/>
      <c r="L672" s="619"/>
      <c r="M672" s="619"/>
      <c r="N672" s="619">
        <v>1</v>
      </c>
      <c r="O672" s="619">
        <v>5011</v>
      </c>
      <c r="P672" s="640"/>
      <c r="Q672" s="620">
        <v>5011</v>
      </c>
    </row>
    <row r="673" spans="1:17" ht="14.4" customHeight="1" x14ac:dyDescent="0.3">
      <c r="A673" s="615" t="s">
        <v>479</v>
      </c>
      <c r="B673" s="616" t="s">
        <v>4731</v>
      </c>
      <c r="C673" s="616" t="s">
        <v>3592</v>
      </c>
      <c r="D673" s="616" t="s">
        <v>4732</v>
      </c>
      <c r="E673" s="616" t="s">
        <v>4733</v>
      </c>
      <c r="F673" s="619"/>
      <c r="G673" s="619"/>
      <c r="H673" s="619"/>
      <c r="I673" s="619"/>
      <c r="J673" s="619"/>
      <c r="K673" s="619"/>
      <c r="L673" s="619"/>
      <c r="M673" s="619"/>
      <c r="N673" s="619">
        <v>3</v>
      </c>
      <c r="O673" s="619">
        <v>27960</v>
      </c>
      <c r="P673" s="640"/>
      <c r="Q673" s="620">
        <v>9320</v>
      </c>
    </row>
    <row r="674" spans="1:17" ht="14.4" customHeight="1" x14ac:dyDescent="0.3">
      <c r="A674" s="615" t="s">
        <v>479</v>
      </c>
      <c r="B674" s="616" t="s">
        <v>4734</v>
      </c>
      <c r="C674" s="616" t="s">
        <v>3592</v>
      </c>
      <c r="D674" s="616" t="s">
        <v>4735</v>
      </c>
      <c r="E674" s="616" t="s">
        <v>4736</v>
      </c>
      <c r="F674" s="619"/>
      <c r="G674" s="619"/>
      <c r="H674" s="619"/>
      <c r="I674" s="619"/>
      <c r="J674" s="619">
        <v>1</v>
      </c>
      <c r="K674" s="619">
        <v>259</v>
      </c>
      <c r="L674" s="619"/>
      <c r="M674" s="619">
        <v>259</v>
      </c>
      <c r="N674" s="619">
        <v>1</v>
      </c>
      <c r="O674" s="619">
        <v>265</v>
      </c>
      <c r="P674" s="640"/>
      <c r="Q674" s="620">
        <v>265</v>
      </c>
    </row>
    <row r="675" spans="1:17" ht="14.4" customHeight="1" x14ac:dyDescent="0.3">
      <c r="A675" s="615" t="s">
        <v>479</v>
      </c>
      <c r="B675" s="616" t="s">
        <v>4734</v>
      </c>
      <c r="C675" s="616" t="s">
        <v>3592</v>
      </c>
      <c r="D675" s="616" t="s">
        <v>4737</v>
      </c>
      <c r="E675" s="616" t="s">
        <v>4738</v>
      </c>
      <c r="F675" s="619"/>
      <c r="G675" s="619"/>
      <c r="H675" s="619"/>
      <c r="I675" s="619"/>
      <c r="J675" s="619"/>
      <c r="K675" s="619"/>
      <c r="L675" s="619"/>
      <c r="M675" s="619"/>
      <c r="N675" s="619">
        <v>2</v>
      </c>
      <c r="O675" s="619">
        <v>698</v>
      </c>
      <c r="P675" s="640"/>
      <c r="Q675" s="620">
        <v>349</v>
      </c>
    </row>
    <row r="676" spans="1:17" ht="14.4" customHeight="1" x14ac:dyDescent="0.3">
      <c r="A676" s="615" t="s">
        <v>479</v>
      </c>
      <c r="B676" s="616" t="s">
        <v>4734</v>
      </c>
      <c r="C676" s="616" t="s">
        <v>3592</v>
      </c>
      <c r="D676" s="616" t="s">
        <v>4739</v>
      </c>
      <c r="E676" s="616" t="s">
        <v>4740</v>
      </c>
      <c r="F676" s="619"/>
      <c r="G676" s="619"/>
      <c r="H676" s="619"/>
      <c r="I676" s="619"/>
      <c r="J676" s="619"/>
      <c r="K676" s="619"/>
      <c r="L676" s="619"/>
      <c r="M676" s="619"/>
      <c r="N676" s="619">
        <v>2</v>
      </c>
      <c r="O676" s="619">
        <v>566</v>
      </c>
      <c r="P676" s="640"/>
      <c r="Q676" s="620">
        <v>283</v>
      </c>
    </row>
    <row r="677" spans="1:17" ht="14.4" customHeight="1" thickBot="1" x14ac:dyDescent="0.35">
      <c r="A677" s="621" t="s">
        <v>479</v>
      </c>
      <c r="B677" s="622" t="s">
        <v>4734</v>
      </c>
      <c r="C677" s="622" t="s">
        <v>3592</v>
      </c>
      <c r="D677" s="622" t="s">
        <v>4741</v>
      </c>
      <c r="E677" s="622" t="s">
        <v>4742</v>
      </c>
      <c r="F677" s="625"/>
      <c r="G677" s="625"/>
      <c r="H677" s="625"/>
      <c r="I677" s="625"/>
      <c r="J677" s="625"/>
      <c r="K677" s="625"/>
      <c r="L677" s="625"/>
      <c r="M677" s="625"/>
      <c r="N677" s="625">
        <v>2</v>
      </c>
      <c r="O677" s="625">
        <v>11194</v>
      </c>
      <c r="P677" s="633"/>
      <c r="Q677" s="626">
        <v>5597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38" customWidth="1"/>
    <col min="2" max="4" width="7.88671875" style="338" customWidth="1"/>
    <col min="5" max="5" width="7.88671875" style="347" customWidth="1"/>
    <col min="6" max="8" width="7.88671875" style="338" customWidth="1"/>
    <col min="9" max="9" width="7.88671875" style="348" customWidth="1"/>
    <col min="10" max="13" width="7.88671875" style="338" customWidth="1"/>
    <col min="14" max="16384" width="9.33203125" style="338"/>
  </cols>
  <sheetData>
    <row r="1" spans="1:13" ht="18.600000000000001" customHeight="1" thickBot="1" x14ac:dyDescent="0.4">
      <c r="A1" s="542" t="s">
        <v>122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 ht="14.4" customHeight="1" thickBot="1" x14ac:dyDescent="0.35">
      <c r="A2" s="360" t="s">
        <v>280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</row>
    <row r="3" spans="1:13" ht="14.4" customHeight="1" thickBot="1" x14ac:dyDescent="0.35">
      <c r="A3" s="543" t="s">
        <v>57</v>
      </c>
      <c r="B3" s="513" t="s">
        <v>58</v>
      </c>
      <c r="C3" s="514"/>
      <c r="D3" s="514"/>
      <c r="E3" s="515"/>
      <c r="F3" s="513" t="s">
        <v>230</v>
      </c>
      <c r="G3" s="514"/>
      <c r="H3" s="514"/>
      <c r="I3" s="515"/>
      <c r="J3" s="108"/>
      <c r="K3" s="109"/>
      <c r="L3" s="108"/>
      <c r="M3" s="110"/>
    </row>
    <row r="4" spans="1:13" ht="14.4" customHeight="1" thickBot="1" x14ac:dyDescent="0.35">
      <c r="A4" s="544"/>
      <c r="B4" s="111">
        <v>2014</v>
      </c>
      <c r="C4" s="112">
        <v>2015</v>
      </c>
      <c r="D4" s="112">
        <v>2016</v>
      </c>
      <c r="E4" s="113" t="s">
        <v>2</v>
      </c>
      <c r="F4" s="111">
        <v>2014</v>
      </c>
      <c r="G4" s="112">
        <v>2015</v>
      </c>
      <c r="H4" s="112">
        <v>2016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388.66</v>
      </c>
      <c r="C5" s="99">
        <v>227.57499999999999</v>
      </c>
      <c r="D5" s="99">
        <v>263.99900000000002</v>
      </c>
      <c r="E5" s="116">
        <v>1.160052729869274</v>
      </c>
      <c r="F5" s="117">
        <v>45</v>
      </c>
      <c r="G5" s="99">
        <v>34</v>
      </c>
      <c r="H5" s="99">
        <v>42</v>
      </c>
      <c r="I5" s="118">
        <v>1.2352941176470589</v>
      </c>
      <c r="J5" s="108"/>
      <c r="K5" s="108"/>
      <c r="L5" s="7">
        <f>D5-B5</f>
        <v>-124.661</v>
      </c>
      <c r="M5" s="8">
        <f>H5-F5</f>
        <v>-3</v>
      </c>
    </row>
    <row r="6" spans="1:13" ht="14.4" hidden="1" customHeight="1" outlineLevel="1" x14ac:dyDescent="0.3">
      <c r="A6" s="104" t="s">
        <v>151</v>
      </c>
      <c r="B6" s="107">
        <v>62.621000000000002</v>
      </c>
      <c r="C6" s="98">
        <v>41.259</v>
      </c>
      <c r="D6" s="98">
        <v>49.695999999999998</v>
      </c>
      <c r="E6" s="119">
        <v>1.2044887176131267</v>
      </c>
      <c r="F6" s="120">
        <v>13</v>
      </c>
      <c r="G6" s="98">
        <v>10</v>
      </c>
      <c r="H6" s="98">
        <v>10</v>
      </c>
      <c r="I6" s="121">
        <v>1</v>
      </c>
      <c r="J6" s="108"/>
      <c r="K6" s="108"/>
      <c r="L6" s="5">
        <f t="shared" ref="L6:L11" si="0">D6-B6</f>
        <v>-12.925000000000004</v>
      </c>
      <c r="M6" s="6">
        <f t="shared" ref="M6:M13" si="1">H6-F6</f>
        <v>-3</v>
      </c>
    </row>
    <row r="7" spans="1:13" ht="14.4" hidden="1" customHeight="1" outlineLevel="1" x14ac:dyDescent="0.3">
      <c r="A7" s="104" t="s">
        <v>152</v>
      </c>
      <c r="B7" s="107">
        <v>161.94900000000001</v>
      </c>
      <c r="C7" s="98">
        <v>160.77500000000001</v>
      </c>
      <c r="D7" s="98">
        <v>86.191000000000003</v>
      </c>
      <c r="E7" s="119">
        <v>0.53609703001088482</v>
      </c>
      <c r="F7" s="120">
        <v>15</v>
      </c>
      <c r="G7" s="98">
        <v>17</v>
      </c>
      <c r="H7" s="98">
        <v>11</v>
      </c>
      <c r="I7" s="121">
        <v>0.6470588235294118</v>
      </c>
      <c r="J7" s="108"/>
      <c r="K7" s="108"/>
      <c r="L7" s="5">
        <f t="shared" si="0"/>
        <v>-75.75800000000001</v>
      </c>
      <c r="M7" s="6">
        <f t="shared" si="1"/>
        <v>-4</v>
      </c>
    </row>
    <row r="8" spans="1:13" ht="14.4" hidden="1" customHeight="1" outlineLevel="1" x14ac:dyDescent="0.3">
      <c r="A8" s="104" t="s">
        <v>153</v>
      </c>
      <c r="B8" s="107">
        <v>4.3070000000000004</v>
      </c>
      <c r="C8" s="98">
        <v>3.3860000000000001</v>
      </c>
      <c r="D8" s="98">
        <v>57.823</v>
      </c>
      <c r="E8" s="119">
        <v>17.077082102776135</v>
      </c>
      <c r="F8" s="120">
        <v>2</v>
      </c>
      <c r="G8" s="98">
        <v>2</v>
      </c>
      <c r="H8" s="98">
        <v>5</v>
      </c>
      <c r="I8" s="121">
        <v>2.5</v>
      </c>
      <c r="J8" s="108"/>
      <c r="K8" s="108"/>
      <c r="L8" s="5">
        <f t="shared" si="0"/>
        <v>53.515999999999998</v>
      </c>
      <c r="M8" s="6">
        <f t="shared" si="1"/>
        <v>3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0</v>
      </c>
      <c r="E9" s="119" t="s">
        <v>481</v>
      </c>
      <c r="F9" s="120">
        <v>0</v>
      </c>
      <c r="G9" s="98">
        <v>0</v>
      </c>
      <c r="H9" s="98">
        <v>0</v>
      </c>
      <c r="I9" s="121" t="s">
        <v>481</v>
      </c>
      <c r="J9" s="108"/>
      <c r="K9" s="108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4" t="s">
        <v>155</v>
      </c>
      <c r="B10" s="107">
        <v>37.735999999999997</v>
      </c>
      <c r="C10" s="98">
        <v>13.111000000000001</v>
      </c>
      <c r="D10" s="98">
        <v>19.181999999999999</v>
      </c>
      <c r="E10" s="119">
        <v>1.4630462970025169</v>
      </c>
      <c r="F10" s="120">
        <v>7</v>
      </c>
      <c r="G10" s="98">
        <v>5</v>
      </c>
      <c r="H10" s="98">
        <v>5</v>
      </c>
      <c r="I10" s="121">
        <v>1</v>
      </c>
      <c r="J10" s="108"/>
      <c r="K10" s="108"/>
      <c r="L10" s="5">
        <f t="shared" si="0"/>
        <v>-18.553999999999998</v>
      </c>
      <c r="M10" s="6">
        <f t="shared" si="1"/>
        <v>-2</v>
      </c>
    </row>
    <row r="11" spans="1:13" ht="14.4" hidden="1" customHeight="1" outlineLevel="1" x14ac:dyDescent="0.3">
      <c r="A11" s="104" t="s">
        <v>156</v>
      </c>
      <c r="B11" s="107">
        <v>46.082000000000001</v>
      </c>
      <c r="C11" s="98">
        <v>26.242999999999999</v>
      </c>
      <c r="D11" s="98">
        <v>1.284</v>
      </c>
      <c r="E11" s="119">
        <v>4.8927333003086541E-2</v>
      </c>
      <c r="F11" s="120">
        <v>6</v>
      </c>
      <c r="G11" s="98">
        <v>3</v>
      </c>
      <c r="H11" s="98">
        <v>1</v>
      </c>
      <c r="I11" s="121">
        <v>0.33333333333333331</v>
      </c>
      <c r="J11" s="108"/>
      <c r="K11" s="108"/>
      <c r="L11" s="5">
        <f t="shared" si="0"/>
        <v>-44.798000000000002</v>
      </c>
      <c r="M11" s="6">
        <f t="shared" si="1"/>
        <v>-5</v>
      </c>
    </row>
    <row r="12" spans="1:13" ht="14.4" hidden="1" customHeight="1" outlineLevel="1" thickBot="1" x14ac:dyDescent="0.35">
      <c r="A12" s="228" t="s">
        <v>186</v>
      </c>
      <c r="B12" s="229">
        <v>3.7829999999999999</v>
      </c>
      <c r="C12" s="230">
        <v>0</v>
      </c>
      <c r="D12" s="230">
        <v>1.907</v>
      </c>
      <c r="E12" s="231" t="s">
        <v>481</v>
      </c>
      <c r="F12" s="232">
        <v>1</v>
      </c>
      <c r="G12" s="230">
        <v>0</v>
      </c>
      <c r="H12" s="230">
        <v>1</v>
      </c>
      <c r="I12" s="233" t="s">
        <v>481</v>
      </c>
      <c r="J12" s="108"/>
      <c r="K12" s="108"/>
      <c r="L12" s="234">
        <f>D12-B12</f>
        <v>-1.8759999999999999</v>
      </c>
      <c r="M12" s="235">
        <f>H12-F12</f>
        <v>0</v>
      </c>
    </row>
    <row r="13" spans="1:13" ht="14.4" customHeight="1" collapsed="1" thickBot="1" x14ac:dyDescent="0.35">
      <c r="A13" s="105" t="s">
        <v>3</v>
      </c>
      <c r="B13" s="100">
        <f>SUM(B5:B12)</f>
        <v>705.13800000000003</v>
      </c>
      <c r="C13" s="101">
        <f>SUM(C5:C12)</f>
        <v>472.34900000000005</v>
      </c>
      <c r="D13" s="101">
        <f>SUM(D5:D12)</f>
        <v>480.08200000000005</v>
      </c>
      <c r="E13" s="122">
        <f>IF(OR(D13=0,B13=0),0,D13/B13)</f>
        <v>0.68083410623168805</v>
      </c>
      <c r="F13" s="123">
        <f>SUM(F5:F12)</f>
        <v>89</v>
      </c>
      <c r="G13" s="101">
        <f>SUM(G5:G12)</f>
        <v>71</v>
      </c>
      <c r="H13" s="101">
        <f>SUM(H5:H12)</f>
        <v>75</v>
      </c>
      <c r="I13" s="124">
        <f>IF(OR(H13=0,F13=0),0,H13/F13)</f>
        <v>0.84269662921348309</v>
      </c>
      <c r="J13" s="108"/>
      <c r="K13" s="108"/>
      <c r="L13" s="114">
        <f>D13-B13</f>
        <v>-225.05599999999998</v>
      </c>
      <c r="M13" s="125">
        <f t="shared" si="1"/>
        <v>-14</v>
      </c>
    </row>
    <row r="14" spans="1:13" ht="14.4" customHeight="1" x14ac:dyDescent="0.3">
      <c r="A14" s="126"/>
      <c r="B14" s="536"/>
      <c r="C14" s="536"/>
      <c r="D14" s="536"/>
      <c r="E14" s="536"/>
      <c r="F14" s="536"/>
      <c r="G14" s="536"/>
      <c r="H14" s="536"/>
      <c r="I14" s="536"/>
      <c r="J14" s="108"/>
      <c r="K14" s="108"/>
      <c r="L14" s="108"/>
      <c r="M14" s="110"/>
    </row>
    <row r="15" spans="1:13" ht="14.4" customHeight="1" thickBot="1" x14ac:dyDescent="0.35">
      <c r="A15" s="126"/>
      <c r="B15" s="340"/>
      <c r="C15" s="341"/>
      <c r="D15" s="341"/>
      <c r="E15" s="341"/>
      <c r="F15" s="340"/>
      <c r="G15" s="341"/>
      <c r="H15" s="341"/>
      <c r="I15" s="341"/>
      <c r="J15" s="108"/>
      <c r="K15" s="108"/>
      <c r="L15" s="108"/>
      <c r="M15" s="110"/>
    </row>
    <row r="16" spans="1:13" ht="14.4" customHeight="1" thickBot="1" x14ac:dyDescent="0.35">
      <c r="A16" s="531" t="s">
        <v>182</v>
      </c>
      <c r="B16" s="533" t="s">
        <v>58</v>
      </c>
      <c r="C16" s="534"/>
      <c r="D16" s="534"/>
      <c r="E16" s="535"/>
      <c r="F16" s="533" t="s">
        <v>230</v>
      </c>
      <c r="G16" s="534"/>
      <c r="H16" s="534"/>
      <c r="I16" s="535"/>
      <c r="J16" s="538" t="s">
        <v>160</v>
      </c>
      <c r="K16" s="539"/>
      <c r="L16" s="143"/>
      <c r="M16" s="143"/>
    </row>
    <row r="17" spans="1:13" ht="14.4" customHeight="1" thickBot="1" x14ac:dyDescent="0.35">
      <c r="A17" s="532"/>
      <c r="B17" s="127">
        <v>2014</v>
      </c>
      <c r="C17" s="128">
        <v>2015</v>
      </c>
      <c r="D17" s="128">
        <v>2016</v>
      </c>
      <c r="E17" s="129" t="s">
        <v>2</v>
      </c>
      <c r="F17" s="127">
        <v>2014</v>
      </c>
      <c r="G17" s="128">
        <v>2015</v>
      </c>
      <c r="H17" s="128">
        <v>2016</v>
      </c>
      <c r="I17" s="129" t="s">
        <v>2</v>
      </c>
      <c r="J17" s="540" t="s">
        <v>161</v>
      </c>
      <c r="K17" s="541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384.947</v>
      </c>
      <c r="C18" s="99">
        <v>223.90600000000001</v>
      </c>
      <c r="D18" s="99">
        <v>262.10500000000002</v>
      </c>
      <c r="E18" s="116">
        <v>1.1706028422641646</v>
      </c>
      <c r="F18" s="106">
        <v>44</v>
      </c>
      <c r="G18" s="99">
        <v>33</v>
      </c>
      <c r="H18" s="99">
        <v>41</v>
      </c>
      <c r="I18" s="118">
        <v>1.2424242424242424</v>
      </c>
      <c r="J18" s="524">
        <v>0.91871999999999998</v>
      </c>
      <c r="K18" s="525"/>
      <c r="L18" s="132">
        <f>D18-B18</f>
        <v>-122.84199999999998</v>
      </c>
      <c r="M18" s="133">
        <f>H18-F18</f>
        <v>-3</v>
      </c>
    </row>
    <row r="19" spans="1:13" ht="14.4" hidden="1" customHeight="1" outlineLevel="1" x14ac:dyDescent="0.3">
      <c r="A19" s="104" t="s">
        <v>151</v>
      </c>
      <c r="B19" s="107">
        <v>62.621000000000002</v>
      </c>
      <c r="C19" s="98">
        <v>41.259</v>
      </c>
      <c r="D19" s="98">
        <v>49.695999999999998</v>
      </c>
      <c r="E19" s="119">
        <v>1.2044887176131267</v>
      </c>
      <c r="F19" s="107">
        <v>13</v>
      </c>
      <c r="G19" s="98">
        <v>10</v>
      </c>
      <c r="H19" s="98">
        <v>10</v>
      </c>
      <c r="I19" s="121">
        <v>1</v>
      </c>
      <c r="J19" s="524">
        <v>0.99456</v>
      </c>
      <c r="K19" s="525"/>
      <c r="L19" s="134">
        <f t="shared" ref="L19:L26" si="2">D19-B19</f>
        <v>-12.925000000000004</v>
      </c>
      <c r="M19" s="135">
        <f t="shared" ref="M19:M26" si="3">H19-F19</f>
        <v>-3</v>
      </c>
    </row>
    <row r="20" spans="1:13" ht="14.4" hidden="1" customHeight="1" outlineLevel="1" x14ac:dyDescent="0.3">
      <c r="A20" s="104" t="s">
        <v>152</v>
      </c>
      <c r="B20" s="107">
        <v>161.94900000000001</v>
      </c>
      <c r="C20" s="98">
        <v>160.77500000000001</v>
      </c>
      <c r="D20" s="98">
        <v>86.191000000000003</v>
      </c>
      <c r="E20" s="119">
        <v>0.53609703001088482</v>
      </c>
      <c r="F20" s="107">
        <v>15</v>
      </c>
      <c r="G20" s="98">
        <v>17</v>
      </c>
      <c r="H20" s="98">
        <v>11</v>
      </c>
      <c r="I20" s="121">
        <v>0.6470588235294118</v>
      </c>
      <c r="J20" s="524">
        <v>0.96671999999999991</v>
      </c>
      <c r="K20" s="525"/>
      <c r="L20" s="134">
        <f t="shared" si="2"/>
        <v>-75.75800000000001</v>
      </c>
      <c r="M20" s="135">
        <f t="shared" si="3"/>
        <v>-4</v>
      </c>
    </row>
    <row r="21" spans="1:13" ht="14.4" hidden="1" customHeight="1" outlineLevel="1" x14ac:dyDescent="0.3">
      <c r="A21" s="104" t="s">
        <v>153</v>
      </c>
      <c r="B21" s="107">
        <v>4.3070000000000004</v>
      </c>
      <c r="C21" s="98">
        <v>3.3860000000000001</v>
      </c>
      <c r="D21" s="98">
        <v>57.823</v>
      </c>
      <c r="E21" s="119">
        <v>17.077082102776135</v>
      </c>
      <c r="F21" s="107">
        <v>2</v>
      </c>
      <c r="G21" s="98">
        <v>2</v>
      </c>
      <c r="H21" s="98">
        <v>5</v>
      </c>
      <c r="I21" s="121">
        <v>2.5</v>
      </c>
      <c r="J21" s="524">
        <v>1.11744</v>
      </c>
      <c r="K21" s="525"/>
      <c r="L21" s="134">
        <f t="shared" si="2"/>
        <v>53.515999999999998</v>
      </c>
      <c r="M21" s="135">
        <f t="shared" si="3"/>
        <v>3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0</v>
      </c>
      <c r="E22" s="119" t="s">
        <v>481</v>
      </c>
      <c r="F22" s="107">
        <v>0</v>
      </c>
      <c r="G22" s="98">
        <v>0</v>
      </c>
      <c r="H22" s="98">
        <v>0</v>
      </c>
      <c r="I22" s="121" t="s">
        <v>481</v>
      </c>
      <c r="J22" s="524">
        <v>0.96</v>
      </c>
      <c r="K22" s="525"/>
      <c r="L22" s="134">
        <f t="shared" si="2"/>
        <v>0</v>
      </c>
      <c r="M22" s="135">
        <f t="shared" si="3"/>
        <v>0</v>
      </c>
    </row>
    <row r="23" spans="1:13" ht="14.4" hidden="1" customHeight="1" outlineLevel="1" x14ac:dyDescent="0.3">
      <c r="A23" s="104" t="s">
        <v>155</v>
      </c>
      <c r="B23" s="107">
        <v>37.735999999999997</v>
      </c>
      <c r="C23" s="98">
        <v>13.111000000000001</v>
      </c>
      <c r="D23" s="98">
        <v>19.181999999999999</v>
      </c>
      <c r="E23" s="119">
        <v>1.4630462970025169</v>
      </c>
      <c r="F23" s="107">
        <v>7</v>
      </c>
      <c r="G23" s="98">
        <v>5</v>
      </c>
      <c r="H23" s="98">
        <v>5</v>
      </c>
      <c r="I23" s="121">
        <v>1</v>
      </c>
      <c r="J23" s="524">
        <v>0.98495999999999995</v>
      </c>
      <c r="K23" s="525"/>
      <c r="L23" s="134">
        <f t="shared" si="2"/>
        <v>-18.553999999999998</v>
      </c>
      <c r="M23" s="135">
        <f t="shared" si="3"/>
        <v>-2</v>
      </c>
    </row>
    <row r="24" spans="1:13" ht="14.4" hidden="1" customHeight="1" outlineLevel="1" x14ac:dyDescent="0.3">
      <c r="A24" s="104" t="s">
        <v>156</v>
      </c>
      <c r="B24" s="107">
        <v>46.082000000000001</v>
      </c>
      <c r="C24" s="98">
        <v>22.53</v>
      </c>
      <c r="D24" s="98">
        <v>1.284</v>
      </c>
      <c r="E24" s="119">
        <v>5.6990679094540614E-2</v>
      </c>
      <c r="F24" s="107">
        <v>6</v>
      </c>
      <c r="G24" s="98">
        <v>2</v>
      </c>
      <c r="H24" s="98">
        <v>1</v>
      </c>
      <c r="I24" s="121">
        <v>0.5</v>
      </c>
      <c r="J24" s="524">
        <v>1.0147199999999998</v>
      </c>
      <c r="K24" s="525"/>
      <c r="L24" s="134">
        <f t="shared" si="2"/>
        <v>-44.798000000000002</v>
      </c>
      <c r="M24" s="135">
        <f t="shared" si="3"/>
        <v>-5</v>
      </c>
    </row>
    <row r="25" spans="1:13" ht="14.4" hidden="1" customHeight="1" outlineLevel="1" thickBot="1" x14ac:dyDescent="0.35">
      <c r="A25" s="228" t="s">
        <v>186</v>
      </c>
      <c r="B25" s="229">
        <v>3.7829999999999999</v>
      </c>
      <c r="C25" s="230">
        <v>0</v>
      </c>
      <c r="D25" s="230">
        <v>1.907</v>
      </c>
      <c r="E25" s="231" t="s">
        <v>481</v>
      </c>
      <c r="F25" s="229">
        <v>1</v>
      </c>
      <c r="G25" s="230">
        <v>0</v>
      </c>
      <c r="H25" s="230">
        <v>1</v>
      </c>
      <c r="I25" s="233" t="s">
        <v>481</v>
      </c>
      <c r="J25" s="342"/>
      <c r="K25" s="343"/>
      <c r="L25" s="236">
        <f>D25-B25</f>
        <v>-1.8759999999999999</v>
      </c>
      <c r="M25" s="237">
        <f>H25-F25</f>
        <v>0</v>
      </c>
    </row>
    <row r="26" spans="1:13" ht="14.4" customHeight="1" collapsed="1" thickBot="1" x14ac:dyDescent="0.35">
      <c r="A26" s="136" t="s">
        <v>3</v>
      </c>
      <c r="B26" s="137">
        <f>SUM(B18:B25)</f>
        <v>701.42500000000007</v>
      </c>
      <c r="C26" s="138">
        <f>SUM(C18:C25)</f>
        <v>464.9670000000001</v>
      </c>
      <c r="D26" s="138">
        <f>SUM(D18:D25)</f>
        <v>478.18800000000005</v>
      </c>
      <c r="E26" s="139">
        <f>IF(OR(D26=0,B26=0),0,D26/B26)</f>
        <v>0.68173789072245783</v>
      </c>
      <c r="F26" s="137">
        <f>SUM(F18:F25)</f>
        <v>88</v>
      </c>
      <c r="G26" s="138">
        <f>SUM(G18:G25)</f>
        <v>69</v>
      </c>
      <c r="H26" s="138">
        <f>SUM(H18:H25)</f>
        <v>74</v>
      </c>
      <c r="I26" s="140">
        <f>IF(OR(H26=0,F26=0),0,H26/F26)</f>
        <v>0.84090909090909094</v>
      </c>
      <c r="J26" s="108"/>
      <c r="K26" s="108"/>
      <c r="L26" s="130">
        <f t="shared" si="2"/>
        <v>-223.23700000000002</v>
      </c>
      <c r="M26" s="141">
        <f t="shared" si="3"/>
        <v>-14</v>
      </c>
    </row>
    <row r="27" spans="1:13" ht="14.4" customHeight="1" x14ac:dyDescent="0.3">
      <c r="A27" s="142"/>
      <c r="B27" s="536" t="s">
        <v>184</v>
      </c>
      <c r="C27" s="537"/>
      <c r="D27" s="537"/>
      <c r="E27" s="537"/>
      <c r="F27" s="536" t="s">
        <v>185</v>
      </c>
      <c r="G27" s="537"/>
      <c r="H27" s="537"/>
      <c r="I27" s="537"/>
      <c r="J27" s="143"/>
      <c r="K27" s="143"/>
      <c r="L27" s="143"/>
      <c r="M27" s="144"/>
    </row>
    <row r="28" spans="1:13" ht="14.4" customHeight="1" thickBot="1" x14ac:dyDescent="0.35">
      <c r="A28" s="142"/>
      <c r="B28" s="340"/>
      <c r="C28" s="341"/>
      <c r="D28" s="341"/>
      <c r="E28" s="341"/>
      <c r="F28" s="340"/>
      <c r="G28" s="341"/>
      <c r="H28" s="341"/>
      <c r="I28" s="341"/>
      <c r="J28" s="143"/>
      <c r="K28" s="143"/>
      <c r="L28" s="143"/>
      <c r="M28" s="144"/>
    </row>
    <row r="29" spans="1:13" ht="14.4" customHeight="1" thickBot="1" x14ac:dyDescent="0.35">
      <c r="A29" s="526" t="s">
        <v>183</v>
      </c>
      <c r="B29" s="528" t="s">
        <v>58</v>
      </c>
      <c r="C29" s="529"/>
      <c r="D29" s="529"/>
      <c r="E29" s="530"/>
      <c r="F29" s="529" t="s">
        <v>230</v>
      </c>
      <c r="G29" s="529"/>
      <c r="H29" s="529"/>
      <c r="I29" s="530"/>
      <c r="J29" s="143"/>
      <c r="K29" s="143"/>
      <c r="L29" s="143"/>
      <c r="M29" s="144"/>
    </row>
    <row r="30" spans="1:13" ht="14.4" customHeight="1" thickBot="1" x14ac:dyDescent="0.35">
      <c r="A30" s="527"/>
      <c r="B30" s="145">
        <v>2014</v>
      </c>
      <c r="C30" s="146">
        <v>2015</v>
      </c>
      <c r="D30" s="146">
        <v>2016</v>
      </c>
      <c r="E30" s="147" t="s">
        <v>2</v>
      </c>
      <c r="F30" s="146">
        <v>2014</v>
      </c>
      <c r="G30" s="146">
        <v>2015</v>
      </c>
      <c r="H30" s="146">
        <v>2016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3.7130000000000001</v>
      </c>
      <c r="C31" s="99">
        <v>3.669</v>
      </c>
      <c r="D31" s="99">
        <v>0</v>
      </c>
      <c r="E31" s="116" t="s">
        <v>481</v>
      </c>
      <c r="F31" s="117">
        <v>1</v>
      </c>
      <c r="G31" s="99">
        <v>1</v>
      </c>
      <c r="H31" s="99">
        <v>0</v>
      </c>
      <c r="I31" s="118" t="s">
        <v>481</v>
      </c>
      <c r="J31" s="143"/>
      <c r="K31" s="143"/>
      <c r="L31" s="132">
        <f t="shared" ref="L31:L39" si="4">D31-B31</f>
        <v>-3.7130000000000001</v>
      </c>
      <c r="M31" s="133">
        <f t="shared" ref="M31:M39" si="5">H31-F31</f>
        <v>-1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481</v>
      </c>
      <c r="F32" s="120">
        <v>0</v>
      </c>
      <c r="G32" s="98">
        <v>0</v>
      </c>
      <c r="H32" s="98">
        <v>0</v>
      </c>
      <c r="I32" s="121" t="s">
        <v>481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481</v>
      </c>
      <c r="F33" s="120">
        <v>0</v>
      </c>
      <c r="G33" s="98">
        <v>0</v>
      </c>
      <c r="H33" s="98">
        <v>0</v>
      </c>
      <c r="I33" s="121" t="s">
        <v>481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481</v>
      </c>
      <c r="F34" s="120">
        <v>0</v>
      </c>
      <c r="G34" s="98">
        <v>0</v>
      </c>
      <c r="H34" s="98">
        <v>0</v>
      </c>
      <c r="I34" s="121" t="s">
        <v>481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481</v>
      </c>
      <c r="F35" s="120">
        <v>0</v>
      </c>
      <c r="G35" s="98">
        <v>0</v>
      </c>
      <c r="H35" s="98">
        <v>0</v>
      </c>
      <c r="I35" s="121" t="s">
        <v>481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481</v>
      </c>
      <c r="F36" s="120">
        <v>0</v>
      </c>
      <c r="G36" s="98">
        <v>0</v>
      </c>
      <c r="H36" s="98">
        <v>0</v>
      </c>
      <c r="I36" s="121" t="s">
        <v>481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3.7130000000000001</v>
      </c>
      <c r="D37" s="98">
        <v>0</v>
      </c>
      <c r="E37" s="119" t="s">
        <v>481</v>
      </c>
      <c r="F37" s="120">
        <v>0</v>
      </c>
      <c r="G37" s="98">
        <v>1</v>
      </c>
      <c r="H37" s="98">
        <v>0</v>
      </c>
      <c r="I37" s="121" t="s">
        <v>481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28" t="s">
        <v>186</v>
      </c>
      <c r="B38" s="229">
        <v>0</v>
      </c>
      <c r="C38" s="230">
        <v>0</v>
      </c>
      <c r="D38" s="230">
        <v>0</v>
      </c>
      <c r="E38" s="231" t="s">
        <v>481</v>
      </c>
      <c r="F38" s="232">
        <v>0</v>
      </c>
      <c r="G38" s="230">
        <v>0</v>
      </c>
      <c r="H38" s="230">
        <v>0</v>
      </c>
      <c r="I38" s="233" t="s">
        <v>481</v>
      </c>
      <c r="J38" s="143"/>
      <c r="K38" s="143"/>
      <c r="L38" s="236">
        <f>D38-B38</f>
        <v>0</v>
      </c>
      <c r="M38" s="237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3.7130000000000001</v>
      </c>
      <c r="C39" s="151">
        <f>SUM(C31:C38)</f>
        <v>7.3819999999999997</v>
      </c>
      <c r="D39" s="151">
        <f>SUM(D31:D38)</f>
        <v>0</v>
      </c>
      <c r="E39" s="152">
        <f>IF(OR(D39=0,B39=0),0,D39/B39)</f>
        <v>0</v>
      </c>
      <c r="F39" s="153">
        <f>SUM(F31:F38)</f>
        <v>1</v>
      </c>
      <c r="G39" s="151">
        <f>SUM(G31:G38)</f>
        <v>2</v>
      </c>
      <c r="H39" s="151">
        <f>SUM(H31:H38)</f>
        <v>0</v>
      </c>
      <c r="I39" s="154">
        <f>IF(OR(H39=0,F39=0),0,H39/F39)</f>
        <v>0</v>
      </c>
      <c r="J39" s="143"/>
      <c r="K39" s="143"/>
      <c r="L39" s="148">
        <f t="shared" si="4"/>
        <v>-3.7130000000000001</v>
      </c>
      <c r="M39" s="155">
        <f t="shared" si="5"/>
        <v>-1</v>
      </c>
    </row>
    <row r="40" spans="1:13" ht="14.4" customHeight="1" x14ac:dyDescent="0.25">
      <c r="A40" s="344"/>
      <c r="B40" s="344"/>
      <c r="C40" s="344"/>
      <c r="D40" s="344"/>
      <c r="E40" s="345"/>
      <c r="F40" s="344"/>
      <c r="G40" s="344"/>
      <c r="H40" s="344"/>
      <c r="I40" s="346"/>
      <c r="J40" s="344"/>
      <c r="K40" s="344"/>
      <c r="L40" s="344"/>
      <c r="M40" s="344"/>
    </row>
    <row r="41" spans="1:13" ht="14.4" customHeight="1" x14ac:dyDescent="0.3">
      <c r="A41" s="246" t="s">
        <v>231</v>
      </c>
      <c r="B41" s="344"/>
      <c r="C41" s="344"/>
      <c r="D41" s="344"/>
      <c r="E41" s="345"/>
      <c r="F41" s="344"/>
      <c r="G41" s="344"/>
      <c r="H41" s="344"/>
      <c r="I41" s="346"/>
      <c r="J41" s="344"/>
      <c r="K41" s="344"/>
      <c r="L41" s="344"/>
      <c r="M41" s="344"/>
    </row>
    <row r="42" spans="1:13" ht="14.4" customHeight="1" x14ac:dyDescent="0.25">
      <c r="A42" s="428" t="s">
        <v>275</v>
      </c>
    </row>
    <row r="43" spans="1:13" ht="14.4" customHeight="1" x14ac:dyDescent="0.25">
      <c r="A43" s="429" t="s">
        <v>276</v>
      </c>
    </row>
    <row r="44" spans="1:13" ht="14.4" customHeight="1" x14ac:dyDescent="0.25">
      <c r="A44" s="428" t="s">
        <v>277</v>
      </c>
    </row>
    <row r="45" spans="1:13" ht="14.4" customHeight="1" x14ac:dyDescent="0.25">
      <c r="A45" s="429" t="s">
        <v>278</v>
      </c>
    </row>
    <row r="46" spans="1:13" ht="14.4" customHeight="1" x14ac:dyDescent="0.3">
      <c r="A46" s="227" t="s">
        <v>245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1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84" t="s">
        <v>102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 ht="14.4" customHeight="1" x14ac:dyDescent="0.3">
      <c r="A2" s="360" t="s">
        <v>280</v>
      </c>
      <c r="B2" s="187"/>
      <c r="C2" s="187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9"/>
      <c r="C3" s="349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9"/>
      <c r="C4" s="349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9"/>
      <c r="C5" s="349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9"/>
      <c r="C6" s="349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9"/>
      <c r="C7" s="349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9"/>
      <c r="C8" s="349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9"/>
      <c r="C9" s="349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9"/>
      <c r="C10" s="349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9"/>
      <c r="C11" s="349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9"/>
      <c r="C12" s="349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9"/>
      <c r="C13" s="349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9"/>
      <c r="C14" s="349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9"/>
      <c r="C15" s="349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9"/>
      <c r="C16" s="349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9"/>
      <c r="C17" s="349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9"/>
      <c r="C18" s="349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9"/>
      <c r="C19" s="349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9"/>
      <c r="C20" s="349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9"/>
      <c r="C21" s="349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9"/>
      <c r="C22" s="349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9"/>
      <c r="C23" s="349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9"/>
      <c r="C24" s="349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9"/>
      <c r="C25" s="349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9"/>
      <c r="C26" s="349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9"/>
      <c r="C27" s="349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9"/>
      <c r="C28" s="349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9"/>
      <c r="C29" s="349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9"/>
      <c r="C30" s="349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45" t="s">
        <v>70</v>
      </c>
      <c r="C31" s="546"/>
      <c r="D31" s="546"/>
      <c r="E31" s="547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0"/>
      <c r="H32" s="350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88">
        <v>76</v>
      </c>
      <c r="C33" s="188">
        <v>83</v>
      </c>
      <c r="D33" s="75">
        <f>IF(C33="","",C33-B33)</f>
        <v>7</v>
      </c>
      <c r="E33" s="76">
        <f>IF(C33="","",C33/B33)</f>
        <v>1.0921052631578947</v>
      </c>
      <c r="F33" s="77">
        <v>38</v>
      </c>
      <c r="G33" s="350">
        <v>0</v>
      </c>
      <c r="H33" s="351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89">
        <v>177</v>
      </c>
      <c r="C34" s="189">
        <v>155</v>
      </c>
      <c r="D34" s="78">
        <f t="shared" ref="D34:D45" si="0">IF(C34="","",C34-B34)</f>
        <v>-22</v>
      </c>
      <c r="E34" s="79">
        <f t="shared" ref="E34:E45" si="1">IF(C34="","",C34/B34)</f>
        <v>0.87570621468926557</v>
      </c>
      <c r="F34" s="80">
        <v>45</v>
      </c>
      <c r="G34" s="350">
        <v>1</v>
      </c>
      <c r="H34" s="351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89">
        <v>339</v>
      </c>
      <c r="C35" s="189">
        <v>242</v>
      </c>
      <c r="D35" s="78">
        <f t="shared" si="0"/>
        <v>-97</v>
      </c>
      <c r="E35" s="79">
        <f t="shared" si="1"/>
        <v>0.71386430678466073</v>
      </c>
      <c r="F35" s="80">
        <v>60</v>
      </c>
      <c r="G35" s="352"/>
      <c r="H35" s="352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89">
        <v>557</v>
      </c>
      <c r="C36" s="189">
        <v>419</v>
      </c>
      <c r="D36" s="78">
        <f t="shared" si="0"/>
        <v>-138</v>
      </c>
      <c r="E36" s="79">
        <f t="shared" si="1"/>
        <v>0.75224416517055659</v>
      </c>
      <c r="F36" s="80">
        <v>110</v>
      </c>
      <c r="G36" s="352"/>
      <c r="H36" s="352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89">
        <v>540</v>
      </c>
      <c r="C37" s="189">
        <v>444</v>
      </c>
      <c r="D37" s="78">
        <f t="shared" si="0"/>
        <v>-96</v>
      </c>
      <c r="E37" s="79">
        <f t="shared" si="1"/>
        <v>0.82222222222222219</v>
      </c>
      <c r="F37" s="80">
        <v>123</v>
      </c>
      <c r="G37" s="352"/>
      <c r="H37" s="352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89">
        <v>569</v>
      </c>
      <c r="C38" s="189">
        <v>481</v>
      </c>
      <c r="D38" s="78">
        <f t="shared" si="0"/>
        <v>-88</v>
      </c>
      <c r="E38" s="79">
        <f t="shared" si="1"/>
        <v>0.84534270650263621</v>
      </c>
      <c r="F38" s="80">
        <v>127</v>
      </c>
      <c r="G38" s="352"/>
      <c r="H38" s="352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89">
        <v>622</v>
      </c>
      <c r="C39" s="189">
        <v>496</v>
      </c>
      <c r="D39" s="78">
        <f t="shared" si="0"/>
        <v>-126</v>
      </c>
      <c r="E39" s="79">
        <f t="shared" si="1"/>
        <v>0.797427652733119</v>
      </c>
      <c r="F39" s="80">
        <v>127</v>
      </c>
      <c r="G39" s="352"/>
      <c r="H39" s="352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89">
        <v>733</v>
      </c>
      <c r="C40" s="189">
        <v>562</v>
      </c>
      <c r="D40" s="78">
        <f t="shared" si="0"/>
        <v>-171</v>
      </c>
      <c r="E40" s="79">
        <f t="shared" si="1"/>
        <v>0.76671214188267389</v>
      </c>
      <c r="F40" s="80">
        <v>147</v>
      </c>
      <c r="G40" s="352"/>
      <c r="H40" s="352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89">
        <v>894</v>
      </c>
      <c r="C41" s="189">
        <v>635</v>
      </c>
      <c r="D41" s="78">
        <f t="shared" si="0"/>
        <v>-259</v>
      </c>
      <c r="E41" s="79">
        <f t="shared" si="1"/>
        <v>0.71029082774049213</v>
      </c>
      <c r="F41" s="80">
        <v>151</v>
      </c>
      <c r="G41" s="352"/>
      <c r="H41" s="352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89">
        <v>942</v>
      </c>
      <c r="C42" s="189">
        <v>690</v>
      </c>
      <c r="D42" s="78">
        <f t="shared" si="0"/>
        <v>-252</v>
      </c>
      <c r="E42" s="79">
        <f t="shared" si="1"/>
        <v>0.73248407643312097</v>
      </c>
      <c r="F42" s="80">
        <v>171</v>
      </c>
      <c r="G42" s="352"/>
      <c r="H42" s="352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89">
        <v>942</v>
      </c>
      <c r="C43" s="189">
        <v>692</v>
      </c>
      <c r="D43" s="78">
        <f t="shared" si="0"/>
        <v>-250</v>
      </c>
      <c r="E43" s="79">
        <f t="shared" si="1"/>
        <v>0.73460721868365175</v>
      </c>
      <c r="F43" s="80">
        <v>171</v>
      </c>
      <c r="G43" s="352"/>
      <c r="H43" s="352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89">
        <v>1028</v>
      </c>
      <c r="C44" s="189">
        <v>823</v>
      </c>
      <c r="D44" s="78">
        <f t="shared" si="0"/>
        <v>-205</v>
      </c>
      <c r="E44" s="79">
        <f t="shared" si="1"/>
        <v>0.80058365758754868</v>
      </c>
      <c r="F44" s="80">
        <v>241</v>
      </c>
      <c r="G44" s="352"/>
      <c r="H44" s="352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0"/>
      <c r="C45" s="190"/>
      <c r="D45" s="81" t="str">
        <f t="shared" si="0"/>
        <v/>
      </c>
      <c r="E45" s="82" t="str">
        <f t="shared" si="1"/>
        <v/>
      </c>
      <c r="F45" s="83"/>
      <c r="G45" s="352"/>
      <c r="H45" s="352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1" customWidth="1"/>
    <col min="3" max="3" width="5.88671875" style="201" customWidth="1"/>
    <col min="4" max="4" width="7.6640625" style="201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1" customWidth="1"/>
    <col min="20" max="20" width="9.6640625" style="201" customWidth="1"/>
    <col min="21" max="21" width="7.6640625" style="201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2" customFormat="1" ht="18.600000000000001" customHeight="1" thickBot="1" x14ac:dyDescent="0.4">
      <c r="A1" s="510" t="s">
        <v>4953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</row>
    <row r="2" spans="1:23" ht="14.4" customHeight="1" thickBot="1" x14ac:dyDescent="0.35">
      <c r="A2" s="360" t="s">
        <v>280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3"/>
      <c r="Q2" s="353"/>
      <c r="R2" s="353"/>
      <c r="S2" s="354"/>
      <c r="T2" s="354"/>
      <c r="U2" s="354"/>
      <c r="V2" s="353"/>
      <c r="W2" s="355"/>
    </row>
    <row r="3" spans="1:23" s="85" customFormat="1" ht="14.4" customHeight="1" x14ac:dyDescent="0.3">
      <c r="A3" s="554" t="s">
        <v>62</v>
      </c>
      <c r="B3" s="555">
        <v>2014</v>
      </c>
      <c r="C3" s="556"/>
      <c r="D3" s="557"/>
      <c r="E3" s="555">
        <v>2015</v>
      </c>
      <c r="F3" s="556"/>
      <c r="G3" s="557"/>
      <c r="H3" s="555">
        <v>2016</v>
      </c>
      <c r="I3" s="556"/>
      <c r="J3" s="557"/>
      <c r="K3" s="558" t="s">
        <v>63</v>
      </c>
      <c r="L3" s="550" t="s">
        <v>64</v>
      </c>
      <c r="M3" s="550" t="s">
        <v>65</v>
      </c>
      <c r="N3" s="550" t="s">
        <v>66</v>
      </c>
      <c r="O3" s="252" t="s">
        <v>67</v>
      </c>
      <c r="P3" s="551" t="s">
        <v>68</v>
      </c>
      <c r="Q3" s="552" t="s">
        <v>69</v>
      </c>
      <c r="R3" s="553"/>
      <c r="S3" s="548" t="s">
        <v>70</v>
      </c>
      <c r="T3" s="549"/>
      <c r="U3" s="549"/>
      <c r="V3" s="549"/>
      <c r="W3" s="202" t="s">
        <v>70</v>
      </c>
    </row>
    <row r="4" spans="1:23" s="86" customFormat="1" ht="14.4" customHeight="1" thickBot="1" x14ac:dyDescent="0.35">
      <c r="A4" s="742"/>
      <c r="B4" s="743" t="s">
        <v>71</v>
      </c>
      <c r="C4" s="744" t="s">
        <v>59</v>
      </c>
      <c r="D4" s="745" t="s">
        <v>72</v>
      </c>
      <c r="E4" s="743" t="s">
        <v>71</v>
      </c>
      <c r="F4" s="744" t="s">
        <v>59</v>
      </c>
      <c r="G4" s="745" t="s">
        <v>72</v>
      </c>
      <c r="H4" s="743" t="s">
        <v>71</v>
      </c>
      <c r="I4" s="744" t="s">
        <v>59</v>
      </c>
      <c r="J4" s="745" t="s">
        <v>72</v>
      </c>
      <c r="K4" s="746"/>
      <c r="L4" s="747"/>
      <c r="M4" s="747"/>
      <c r="N4" s="747"/>
      <c r="O4" s="748"/>
      <c r="P4" s="749"/>
      <c r="Q4" s="750" t="s">
        <v>60</v>
      </c>
      <c r="R4" s="751" t="s">
        <v>59</v>
      </c>
      <c r="S4" s="752" t="s">
        <v>73</v>
      </c>
      <c r="T4" s="753" t="s">
        <v>74</v>
      </c>
      <c r="U4" s="753" t="s">
        <v>75</v>
      </c>
      <c r="V4" s="754" t="s">
        <v>2</v>
      </c>
      <c r="W4" s="755" t="s">
        <v>76</v>
      </c>
    </row>
    <row r="5" spans="1:23" ht="14.4" customHeight="1" x14ac:dyDescent="0.3">
      <c r="A5" s="783" t="s">
        <v>4744</v>
      </c>
      <c r="B5" s="756">
        <v>1</v>
      </c>
      <c r="C5" s="757">
        <v>30.36</v>
      </c>
      <c r="D5" s="758">
        <v>115</v>
      </c>
      <c r="E5" s="759"/>
      <c r="F5" s="760"/>
      <c r="G5" s="761"/>
      <c r="H5" s="762"/>
      <c r="I5" s="760"/>
      <c r="J5" s="761"/>
      <c r="K5" s="763">
        <v>13.87</v>
      </c>
      <c r="L5" s="762">
        <v>11</v>
      </c>
      <c r="M5" s="762">
        <v>72</v>
      </c>
      <c r="N5" s="764">
        <v>24</v>
      </c>
      <c r="O5" s="762" t="s">
        <v>4745</v>
      </c>
      <c r="P5" s="765" t="s">
        <v>4746</v>
      </c>
      <c r="Q5" s="766">
        <f>H5-B5</f>
        <v>-1</v>
      </c>
      <c r="R5" s="766">
        <f>I5-C5</f>
        <v>-30.36</v>
      </c>
      <c r="S5" s="378" t="str">
        <f>IF(H5=0,"",H5*N5)</f>
        <v/>
      </c>
      <c r="T5" s="378" t="str">
        <f>IF(H5=0,"",H5*J5)</f>
        <v/>
      </c>
      <c r="U5" s="378" t="str">
        <f>IF(H5=0,"",T5-S5)</f>
        <v/>
      </c>
      <c r="V5" s="767" t="str">
        <f>IF(H5=0,"",T5/S5)</f>
        <v/>
      </c>
      <c r="W5" s="768"/>
    </row>
    <row r="6" spans="1:23" ht="14.4" customHeight="1" x14ac:dyDescent="0.3">
      <c r="A6" s="784" t="s">
        <v>4747</v>
      </c>
      <c r="B6" s="737"/>
      <c r="C6" s="739"/>
      <c r="D6" s="740"/>
      <c r="E6" s="735">
        <v>1</v>
      </c>
      <c r="F6" s="719">
        <v>7.09</v>
      </c>
      <c r="G6" s="720">
        <v>13</v>
      </c>
      <c r="H6" s="726">
        <v>1</v>
      </c>
      <c r="I6" s="727">
        <v>7.09</v>
      </c>
      <c r="J6" s="728">
        <v>6</v>
      </c>
      <c r="K6" s="722">
        <v>7.09</v>
      </c>
      <c r="L6" s="721">
        <v>5</v>
      </c>
      <c r="M6" s="721">
        <v>45</v>
      </c>
      <c r="N6" s="723">
        <v>15</v>
      </c>
      <c r="O6" s="721" t="s">
        <v>4745</v>
      </c>
      <c r="P6" s="736" t="s">
        <v>4748</v>
      </c>
      <c r="Q6" s="724">
        <f t="shared" ref="Q6:R69" si="0">H6-B6</f>
        <v>1</v>
      </c>
      <c r="R6" s="724">
        <f t="shared" si="0"/>
        <v>7.09</v>
      </c>
      <c r="S6" s="737">
        <f t="shared" ref="S6:S69" si="1">IF(H6=0,"",H6*N6)</f>
        <v>15</v>
      </c>
      <c r="T6" s="737">
        <f t="shared" ref="T6:T69" si="2">IF(H6=0,"",H6*J6)</f>
        <v>6</v>
      </c>
      <c r="U6" s="737">
        <f t="shared" ref="U6:U69" si="3">IF(H6=0,"",T6-S6)</f>
        <v>-9</v>
      </c>
      <c r="V6" s="738">
        <f t="shared" ref="V6:V69" si="4">IF(H6=0,"",T6/S6)</f>
        <v>0.4</v>
      </c>
      <c r="W6" s="725"/>
    </row>
    <row r="7" spans="1:23" ht="14.4" customHeight="1" x14ac:dyDescent="0.3">
      <c r="A7" s="785" t="s">
        <v>4749</v>
      </c>
      <c r="B7" s="769">
        <v>1</v>
      </c>
      <c r="C7" s="770">
        <v>7.77</v>
      </c>
      <c r="D7" s="741">
        <v>7</v>
      </c>
      <c r="E7" s="771">
        <v>1</v>
      </c>
      <c r="F7" s="772">
        <v>7.77</v>
      </c>
      <c r="G7" s="729">
        <v>21</v>
      </c>
      <c r="H7" s="773">
        <v>3</v>
      </c>
      <c r="I7" s="774">
        <v>27.42</v>
      </c>
      <c r="J7" s="730">
        <v>10.3</v>
      </c>
      <c r="K7" s="775">
        <v>7.77</v>
      </c>
      <c r="L7" s="776">
        <v>5</v>
      </c>
      <c r="M7" s="776">
        <v>45</v>
      </c>
      <c r="N7" s="777">
        <v>15</v>
      </c>
      <c r="O7" s="776" t="s">
        <v>4745</v>
      </c>
      <c r="P7" s="778" t="s">
        <v>4748</v>
      </c>
      <c r="Q7" s="779">
        <f t="shared" si="0"/>
        <v>2</v>
      </c>
      <c r="R7" s="779">
        <f t="shared" si="0"/>
        <v>19.650000000000002</v>
      </c>
      <c r="S7" s="769">
        <f t="shared" si="1"/>
        <v>45</v>
      </c>
      <c r="T7" s="769">
        <f t="shared" si="2"/>
        <v>30.900000000000002</v>
      </c>
      <c r="U7" s="769">
        <f t="shared" si="3"/>
        <v>-14.099999999999998</v>
      </c>
      <c r="V7" s="780">
        <f t="shared" si="4"/>
        <v>0.68666666666666676</v>
      </c>
      <c r="W7" s="731">
        <v>3</v>
      </c>
    </row>
    <row r="8" spans="1:23" ht="14.4" customHeight="1" x14ac:dyDescent="0.3">
      <c r="A8" s="784" t="s">
        <v>4750</v>
      </c>
      <c r="B8" s="716">
        <v>1</v>
      </c>
      <c r="C8" s="717">
        <v>54.7</v>
      </c>
      <c r="D8" s="718">
        <v>62</v>
      </c>
      <c r="E8" s="735"/>
      <c r="F8" s="719"/>
      <c r="G8" s="720"/>
      <c r="H8" s="721"/>
      <c r="I8" s="719"/>
      <c r="J8" s="720"/>
      <c r="K8" s="722">
        <v>52.63</v>
      </c>
      <c r="L8" s="721">
        <v>43</v>
      </c>
      <c r="M8" s="721">
        <v>225</v>
      </c>
      <c r="N8" s="723">
        <v>75</v>
      </c>
      <c r="O8" s="721" t="s">
        <v>4745</v>
      </c>
      <c r="P8" s="736" t="s">
        <v>4751</v>
      </c>
      <c r="Q8" s="724">
        <f t="shared" si="0"/>
        <v>-1</v>
      </c>
      <c r="R8" s="724">
        <f t="shared" si="0"/>
        <v>-54.7</v>
      </c>
      <c r="S8" s="737" t="str">
        <f t="shared" si="1"/>
        <v/>
      </c>
      <c r="T8" s="737" t="str">
        <f t="shared" si="2"/>
        <v/>
      </c>
      <c r="U8" s="737" t="str">
        <f t="shared" si="3"/>
        <v/>
      </c>
      <c r="V8" s="738" t="str">
        <f t="shared" si="4"/>
        <v/>
      </c>
      <c r="W8" s="725"/>
    </row>
    <row r="9" spans="1:23" ht="14.4" customHeight="1" x14ac:dyDescent="0.3">
      <c r="A9" s="784" t="s">
        <v>4752</v>
      </c>
      <c r="B9" s="737">
        <v>2</v>
      </c>
      <c r="C9" s="739">
        <v>97.84</v>
      </c>
      <c r="D9" s="740">
        <v>117.5</v>
      </c>
      <c r="E9" s="735">
        <v>1</v>
      </c>
      <c r="F9" s="719">
        <v>37.18</v>
      </c>
      <c r="G9" s="720">
        <v>64</v>
      </c>
      <c r="H9" s="726">
        <v>2</v>
      </c>
      <c r="I9" s="727">
        <v>70.12</v>
      </c>
      <c r="J9" s="732">
        <v>50</v>
      </c>
      <c r="K9" s="722">
        <v>33.15</v>
      </c>
      <c r="L9" s="721">
        <v>22</v>
      </c>
      <c r="M9" s="721">
        <v>135</v>
      </c>
      <c r="N9" s="723">
        <v>45</v>
      </c>
      <c r="O9" s="721" t="s">
        <v>4745</v>
      </c>
      <c r="P9" s="736" t="s">
        <v>4753</v>
      </c>
      <c r="Q9" s="724">
        <f t="shared" si="0"/>
        <v>0</v>
      </c>
      <c r="R9" s="724">
        <f t="shared" si="0"/>
        <v>-27.72</v>
      </c>
      <c r="S9" s="737">
        <f t="shared" si="1"/>
        <v>90</v>
      </c>
      <c r="T9" s="737">
        <f t="shared" si="2"/>
        <v>100</v>
      </c>
      <c r="U9" s="737">
        <f t="shared" si="3"/>
        <v>10</v>
      </c>
      <c r="V9" s="738">
        <f t="shared" si="4"/>
        <v>1.1111111111111112</v>
      </c>
      <c r="W9" s="725">
        <v>24</v>
      </c>
    </row>
    <row r="10" spans="1:23" ht="14.4" customHeight="1" x14ac:dyDescent="0.3">
      <c r="A10" s="784" t="s">
        <v>4754</v>
      </c>
      <c r="B10" s="737"/>
      <c r="C10" s="739"/>
      <c r="D10" s="740"/>
      <c r="E10" s="726">
        <v>1</v>
      </c>
      <c r="F10" s="727">
        <v>16.850000000000001</v>
      </c>
      <c r="G10" s="728">
        <v>15</v>
      </c>
      <c r="H10" s="721"/>
      <c r="I10" s="719"/>
      <c r="J10" s="720"/>
      <c r="K10" s="722">
        <v>22.92</v>
      </c>
      <c r="L10" s="721">
        <v>22</v>
      </c>
      <c r="M10" s="721">
        <v>117</v>
      </c>
      <c r="N10" s="723">
        <v>39</v>
      </c>
      <c r="O10" s="721" t="s">
        <v>4745</v>
      </c>
      <c r="P10" s="736" t="s">
        <v>4753</v>
      </c>
      <c r="Q10" s="724">
        <f t="shared" si="0"/>
        <v>0</v>
      </c>
      <c r="R10" s="724">
        <f t="shared" si="0"/>
        <v>0</v>
      </c>
      <c r="S10" s="737" t="str">
        <f t="shared" si="1"/>
        <v/>
      </c>
      <c r="T10" s="737" t="str">
        <f t="shared" si="2"/>
        <v/>
      </c>
      <c r="U10" s="737" t="str">
        <f t="shared" si="3"/>
        <v/>
      </c>
      <c r="V10" s="738" t="str">
        <f t="shared" si="4"/>
        <v/>
      </c>
      <c r="W10" s="725"/>
    </row>
    <row r="11" spans="1:23" ht="14.4" customHeight="1" x14ac:dyDescent="0.3">
      <c r="A11" s="784" t="s">
        <v>4755</v>
      </c>
      <c r="B11" s="716">
        <v>7</v>
      </c>
      <c r="C11" s="717">
        <v>157.66</v>
      </c>
      <c r="D11" s="718">
        <v>36</v>
      </c>
      <c r="E11" s="735">
        <v>6</v>
      </c>
      <c r="F11" s="719">
        <v>126.47</v>
      </c>
      <c r="G11" s="720">
        <v>28.2</v>
      </c>
      <c r="H11" s="721">
        <v>2</v>
      </c>
      <c r="I11" s="719">
        <v>66.48</v>
      </c>
      <c r="J11" s="732">
        <v>65</v>
      </c>
      <c r="K11" s="722">
        <v>20.34</v>
      </c>
      <c r="L11" s="721">
        <v>11</v>
      </c>
      <c r="M11" s="721">
        <v>87</v>
      </c>
      <c r="N11" s="723">
        <v>29</v>
      </c>
      <c r="O11" s="721" t="s">
        <v>4745</v>
      </c>
      <c r="P11" s="736" t="s">
        <v>4746</v>
      </c>
      <c r="Q11" s="724">
        <f t="shared" si="0"/>
        <v>-5</v>
      </c>
      <c r="R11" s="724">
        <f t="shared" si="0"/>
        <v>-91.179999999999993</v>
      </c>
      <c r="S11" s="737">
        <f t="shared" si="1"/>
        <v>58</v>
      </c>
      <c r="T11" s="737">
        <f t="shared" si="2"/>
        <v>130</v>
      </c>
      <c r="U11" s="737">
        <f t="shared" si="3"/>
        <v>72</v>
      </c>
      <c r="V11" s="738">
        <f t="shared" si="4"/>
        <v>2.2413793103448274</v>
      </c>
      <c r="W11" s="725">
        <v>72</v>
      </c>
    </row>
    <row r="12" spans="1:23" ht="14.4" customHeight="1" x14ac:dyDescent="0.3">
      <c r="A12" s="784" t="s">
        <v>4756</v>
      </c>
      <c r="B12" s="716"/>
      <c r="C12" s="717"/>
      <c r="D12" s="718"/>
      <c r="E12" s="735">
        <v>1</v>
      </c>
      <c r="F12" s="719">
        <v>12.38</v>
      </c>
      <c r="G12" s="720">
        <v>17</v>
      </c>
      <c r="H12" s="721"/>
      <c r="I12" s="719"/>
      <c r="J12" s="720"/>
      <c r="K12" s="722">
        <v>12.38</v>
      </c>
      <c r="L12" s="721">
        <v>5</v>
      </c>
      <c r="M12" s="721">
        <v>60</v>
      </c>
      <c r="N12" s="723">
        <v>20</v>
      </c>
      <c r="O12" s="721" t="s">
        <v>4745</v>
      </c>
      <c r="P12" s="736" t="s">
        <v>4748</v>
      </c>
      <c r="Q12" s="724">
        <f t="shared" si="0"/>
        <v>0</v>
      </c>
      <c r="R12" s="724">
        <f t="shared" si="0"/>
        <v>0</v>
      </c>
      <c r="S12" s="737" t="str">
        <f t="shared" si="1"/>
        <v/>
      </c>
      <c r="T12" s="737" t="str">
        <f t="shared" si="2"/>
        <v/>
      </c>
      <c r="U12" s="737" t="str">
        <f t="shared" si="3"/>
        <v/>
      </c>
      <c r="V12" s="738" t="str">
        <f t="shared" si="4"/>
        <v/>
      </c>
      <c r="W12" s="725"/>
    </row>
    <row r="13" spans="1:23" ht="14.4" customHeight="1" x14ac:dyDescent="0.3">
      <c r="A13" s="785" t="s">
        <v>4757</v>
      </c>
      <c r="B13" s="781">
        <v>1</v>
      </c>
      <c r="C13" s="782">
        <v>12.38</v>
      </c>
      <c r="D13" s="733">
        <v>14</v>
      </c>
      <c r="E13" s="771">
        <v>2</v>
      </c>
      <c r="F13" s="772">
        <v>24.75</v>
      </c>
      <c r="G13" s="729">
        <v>12</v>
      </c>
      <c r="H13" s="776">
        <v>1</v>
      </c>
      <c r="I13" s="772">
        <v>12.38</v>
      </c>
      <c r="J13" s="729">
        <v>7</v>
      </c>
      <c r="K13" s="775">
        <v>12.38</v>
      </c>
      <c r="L13" s="776">
        <v>5</v>
      </c>
      <c r="M13" s="776">
        <v>60</v>
      </c>
      <c r="N13" s="777">
        <v>20</v>
      </c>
      <c r="O13" s="776" t="s">
        <v>4745</v>
      </c>
      <c r="P13" s="778" t="s">
        <v>4748</v>
      </c>
      <c r="Q13" s="779">
        <f t="shared" si="0"/>
        <v>0</v>
      </c>
      <c r="R13" s="779">
        <f t="shared" si="0"/>
        <v>0</v>
      </c>
      <c r="S13" s="769">
        <f t="shared" si="1"/>
        <v>20</v>
      </c>
      <c r="T13" s="769">
        <f t="shared" si="2"/>
        <v>7</v>
      </c>
      <c r="U13" s="769">
        <f t="shared" si="3"/>
        <v>-13</v>
      </c>
      <c r="V13" s="780">
        <f t="shared" si="4"/>
        <v>0.35</v>
      </c>
      <c r="W13" s="731"/>
    </row>
    <row r="14" spans="1:23" ht="14.4" customHeight="1" x14ac:dyDescent="0.3">
      <c r="A14" s="785" t="s">
        <v>4758</v>
      </c>
      <c r="B14" s="781">
        <v>11</v>
      </c>
      <c r="C14" s="782">
        <v>139.13</v>
      </c>
      <c r="D14" s="733">
        <v>13.6</v>
      </c>
      <c r="E14" s="771">
        <v>4</v>
      </c>
      <c r="F14" s="772">
        <v>55.2</v>
      </c>
      <c r="G14" s="729">
        <v>25.8</v>
      </c>
      <c r="H14" s="776">
        <v>10</v>
      </c>
      <c r="I14" s="772">
        <v>144.72</v>
      </c>
      <c r="J14" s="734">
        <v>25.8</v>
      </c>
      <c r="K14" s="775">
        <v>12.65</v>
      </c>
      <c r="L14" s="776">
        <v>5</v>
      </c>
      <c r="M14" s="776">
        <v>60</v>
      </c>
      <c r="N14" s="777">
        <v>20</v>
      </c>
      <c r="O14" s="776" t="s">
        <v>4745</v>
      </c>
      <c r="P14" s="778" t="s">
        <v>4748</v>
      </c>
      <c r="Q14" s="779">
        <f t="shared" si="0"/>
        <v>-1</v>
      </c>
      <c r="R14" s="779">
        <f t="shared" si="0"/>
        <v>5.5900000000000034</v>
      </c>
      <c r="S14" s="769">
        <f t="shared" si="1"/>
        <v>200</v>
      </c>
      <c r="T14" s="769">
        <f t="shared" si="2"/>
        <v>258</v>
      </c>
      <c r="U14" s="769">
        <f t="shared" si="3"/>
        <v>58</v>
      </c>
      <c r="V14" s="780">
        <f t="shared" si="4"/>
        <v>1.29</v>
      </c>
      <c r="W14" s="731">
        <v>88</v>
      </c>
    </row>
    <row r="15" spans="1:23" ht="14.4" customHeight="1" x14ac:dyDescent="0.3">
      <c r="A15" s="784" t="s">
        <v>4759</v>
      </c>
      <c r="B15" s="737"/>
      <c r="C15" s="739"/>
      <c r="D15" s="740"/>
      <c r="E15" s="726">
        <v>1</v>
      </c>
      <c r="F15" s="727">
        <v>3.57</v>
      </c>
      <c r="G15" s="728">
        <v>3</v>
      </c>
      <c r="H15" s="721"/>
      <c r="I15" s="719"/>
      <c r="J15" s="720"/>
      <c r="K15" s="722">
        <v>4.5999999999999996</v>
      </c>
      <c r="L15" s="721">
        <v>4</v>
      </c>
      <c r="M15" s="721">
        <v>39</v>
      </c>
      <c r="N15" s="723">
        <v>13</v>
      </c>
      <c r="O15" s="721" t="s">
        <v>4745</v>
      </c>
      <c r="P15" s="736" t="s">
        <v>4760</v>
      </c>
      <c r="Q15" s="724">
        <f t="shared" si="0"/>
        <v>0</v>
      </c>
      <c r="R15" s="724">
        <f t="shared" si="0"/>
        <v>0</v>
      </c>
      <c r="S15" s="737" t="str">
        <f t="shared" si="1"/>
        <v/>
      </c>
      <c r="T15" s="737" t="str">
        <f t="shared" si="2"/>
        <v/>
      </c>
      <c r="U15" s="737" t="str">
        <f t="shared" si="3"/>
        <v/>
      </c>
      <c r="V15" s="738" t="str">
        <f t="shared" si="4"/>
        <v/>
      </c>
      <c r="W15" s="725"/>
    </row>
    <row r="16" spans="1:23" ht="14.4" customHeight="1" x14ac:dyDescent="0.3">
      <c r="A16" s="785" t="s">
        <v>4761</v>
      </c>
      <c r="B16" s="769"/>
      <c r="C16" s="770"/>
      <c r="D16" s="741"/>
      <c r="E16" s="773">
        <v>1</v>
      </c>
      <c r="F16" s="774">
        <v>5.0599999999999996</v>
      </c>
      <c r="G16" s="730">
        <v>2</v>
      </c>
      <c r="H16" s="776"/>
      <c r="I16" s="772"/>
      <c r="J16" s="729"/>
      <c r="K16" s="775">
        <v>6.5</v>
      </c>
      <c r="L16" s="776">
        <v>4</v>
      </c>
      <c r="M16" s="776">
        <v>39</v>
      </c>
      <c r="N16" s="777">
        <v>13</v>
      </c>
      <c r="O16" s="776" t="s">
        <v>4745</v>
      </c>
      <c r="P16" s="778" t="s">
        <v>4762</v>
      </c>
      <c r="Q16" s="779">
        <f t="shared" si="0"/>
        <v>0</v>
      </c>
      <c r="R16" s="779">
        <f t="shared" si="0"/>
        <v>0</v>
      </c>
      <c r="S16" s="769" t="str">
        <f t="shared" si="1"/>
        <v/>
      </c>
      <c r="T16" s="769" t="str">
        <f t="shared" si="2"/>
        <v/>
      </c>
      <c r="U16" s="769" t="str">
        <f t="shared" si="3"/>
        <v/>
      </c>
      <c r="V16" s="780" t="str">
        <f t="shared" si="4"/>
        <v/>
      </c>
      <c r="W16" s="731"/>
    </row>
    <row r="17" spans="1:23" ht="14.4" customHeight="1" x14ac:dyDescent="0.3">
      <c r="A17" s="784" t="s">
        <v>4763</v>
      </c>
      <c r="B17" s="737"/>
      <c r="C17" s="739"/>
      <c r="D17" s="740"/>
      <c r="E17" s="726">
        <v>1</v>
      </c>
      <c r="F17" s="727">
        <v>2.0099999999999998</v>
      </c>
      <c r="G17" s="728">
        <v>2</v>
      </c>
      <c r="H17" s="721"/>
      <c r="I17" s="719"/>
      <c r="J17" s="720"/>
      <c r="K17" s="722">
        <v>2.2200000000000002</v>
      </c>
      <c r="L17" s="721">
        <v>3</v>
      </c>
      <c r="M17" s="721">
        <v>30</v>
      </c>
      <c r="N17" s="723">
        <v>10</v>
      </c>
      <c r="O17" s="721" t="s">
        <v>4745</v>
      </c>
      <c r="P17" s="736" t="s">
        <v>4764</v>
      </c>
      <c r="Q17" s="724">
        <f t="shared" si="0"/>
        <v>0</v>
      </c>
      <c r="R17" s="724">
        <f t="shared" si="0"/>
        <v>0</v>
      </c>
      <c r="S17" s="737" t="str">
        <f t="shared" si="1"/>
        <v/>
      </c>
      <c r="T17" s="737" t="str">
        <f t="shared" si="2"/>
        <v/>
      </c>
      <c r="U17" s="737" t="str">
        <f t="shared" si="3"/>
        <v/>
      </c>
      <c r="V17" s="738" t="str">
        <f t="shared" si="4"/>
        <v/>
      </c>
      <c r="W17" s="725"/>
    </row>
    <row r="18" spans="1:23" ht="14.4" customHeight="1" x14ac:dyDescent="0.3">
      <c r="A18" s="784" t="s">
        <v>4765</v>
      </c>
      <c r="B18" s="737"/>
      <c r="C18" s="739"/>
      <c r="D18" s="740"/>
      <c r="E18" s="735"/>
      <c r="F18" s="719"/>
      <c r="G18" s="720"/>
      <c r="H18" s="726">
        <v>1</v>
      </c>
      <c r="I18" s="727">
        <v>2.2999999999999998</v>
      </c>
      <c r="J18" s="732">
        <v>36</v>
      </c>
      <c r="K18" s="722">
        <v>1.0900000000000001</v>
      </c>
      <c r="L18" s="721">
        <v>3</v>
      </c>
      <c r="M18" s="721">
        <v>27</v>
      </c>
      <c r="N18" s="723">
        <v>9</v>
      </c>
      <c r="O18" s="721" t="s">
        <v>4745</v>
      </c>
      <c r="P18" s="736" t="s">
        <v>4766</v>
      </c>
      <c r="Q18" s="724">
        <f t="shared" si="0"/>
        <v>1</v>
      </c>
      <c r="R18" s="724">
        <f t="shared" si="0"/>
        <v>2.2999999999999998</v>
      </c>
      <c r="S18" s="737">
        <f t="shared" si="1"/>
        <v>9</v>
      </c>
      <c r="T18" s="737">
        <f t="shared" si="2"/>
        <v>36</v>
      </c>
      <c r="U18" s="737">
        <f t="shared" si="3"/>
        <v>27</v>
      </c>
      <c r="V18" s="738">
        <f t="shared" si="4"/>
        <v>4</v>
      </c>
      <c r="W18" s="725">
        <v>27</v>
      </c>
    </row>
    <row r="19" spans="1:23" ht="14.4" customHeight="1" x14ac:dyDescent="0.3">
      <c r="A19" s="784" t="s">
        <v>4767</v>
      </c>
      <c r="B19" s="716">
        <v>1</v>
      </c>
      <c r="C19" s="717">
        <v>2.41</v>
      </c>
      <c r="D19" s="718">
        <v>3</v>
      </c>
      <c r="E19" s="735"/>
      <c r="F19" s="719"/>
      <c r="G19" s="720"/>
      <c r="H19" s="721"/>
      <c r="I19" s="719"/>
      <c r="J19" s="720"/>
      <c r="K19" s="722">
        <v>2.38</v>
      </c>
      <c r="L19" s="721">
        <v>3</v>
      </c>
      <c r="M19" s="721">
        <v>30</v>
      </c>
      <c r="N19" s="723">
        <v>10</v>
      </c>
      <c r="O19" s="721" t="s">
        <v>4745</v>
      </c>
      <c r="P19" s="736" t="s">
        <v>4768</v>
      </c>
      <c r="Q19" s="724">
        <f t="shared" si="0"/>
        <v>-1</v>
      </c>
      <c r="R19" s="724">
        <f t="shared" si="0"/>
        <v>-2.41</v>
      </c>
      <c r="S19" s="737" t="str">
        <f t="shared" si="1"/>
        <v/>
      </c>
      <c r="T19" s="737" t="str">
        <f t="shared" si="2"/>
        <v/>
      </c>
      <c r="U19" s="737" t="str">
        <f t="shared" si="3"/>
        <v/>
      </c>
      <c r="V19" s="738" t="str">
        <f t="shared" si="4"/>
        <v/>
      </c>
      <c r="W19" s="725"/>
    </row>
    <row r="20" spans="1:23" ht="14.4" customHeight="1" x14ac:dyDescent="0.3">
      <c r="A20" s="784" t="s">
        <v>4769</v>
      </c>
      <c r="B20" s="716">
        <v>1</v>
      </c>
      <c r="C20" s="717">
        <v>0.97</v>
      </c>
      <c r="D20" s="718">
        <v>2</v>
      </c>
      <c r="E20" s="735"/>
      <c r="F20" s="719"/>
      <c r="G20" s="720"/>
      <c r="H20" s="721"/>
      <c r="I20" s="719"/>
      <c r="J20" s="720"/>
      <c r="K20" s="722">
        <v>1.41</v>
      </c>
      <c r="L20" s="721">
        <v>3</v>
      </c>
      <c r="M20" s="721">
        <v>24</v>
      </c>
      <c r="N20" s="723">
        <v>8</v>
      </c>
      <c r="O20" s="721" t="s">
        <v>4745</v>
      </c>
      <c r="P20" s="736" t="s">
        <v>4770</v>
      </c>
      <c r="Q20" s="724">
        <f t="shared" si="0"/>
        <v>-1</v>
      </c>
      <c r="R20" s="724">
        <f t="shared" si="0"/>
        <v>-0.97</v>
      </c>
      <c r="S20" s="737" t="str">
        <f t="shared" si="1"/>
        <v/>
      </c>
      <c r="T20" s="737" t="str">
        <f t="shared" si="2"/>
        <v/>
      </c>
      <c r="U20" s="737" t="str">
        <f t="shared" si="3"/>
        <v/>
      </c>
      <c r="V20" s="738" t="str">
        <f t="shared" si="4"/>
        <v/>
      </c>
      <c r="W20" s="725"/>
    </row>
    <row r="21" spans="1:23" ht="14.4" customHeight="1" x14ac:dyDescent="0.3">
      <c r="A21" s="784" t="s">
        <v>4771</v>
      </c>
      <c r="B21" s="737"/>
      <c r="C21" s="739"/>
      <c r="D21" s="740"/>
      <c r="E21" s="735"/>
      <c r="F21" s="719"/>
      <c r="G21" s="720"/>
      <c r="H21" s="726">
        <v>1</v>
      </c>
      <c r="I21" s="727">
        <v>0.57999999999999996</v>
      </c>
      <c r="J21" s="728">
        <v>3</v>
      </c>
      <c r="K21" s="722">
        <v>0.57999999999999996</v>
      </c>
      <c r="L21" s="721">
        <v>2</v>
      </c>
      <c r="M21" s="721">
        <v>18</v>
      </c>
      <c r="N21" s="723">
        <v>6</v>
      </c>
      <c r="O21" s="721" t="s">
        <v>4745</v>
      </c>
      <c r="P21" s="736" t="s">
        <v>4772</v>
      </c>
      <c r="Q21" s="724">
        <f t="shared" si="0"/>
        <v>1</v>
      </c>
      <c r="R21" s="724">
        <f t="shared" si="0"/>
        <v>0.57999999999999996</v>
      </c>
      <c r="S21" s="737">
        <f t="shared" si="1"/>
        <v>6</v>
      </c>
      <c r="T21" s="737">
        <f t="shared" si="2"/>
        <v>3</v>
      </c>
      <c r="U21" s="737">
        <f t="shared" si="3"/>
        <v>-3</v>
      </c>
      <c r="V21" s="738">
        <f t="shared" si="4"/>
        <v>0.5</v>
      </c>
      <c r="W21" s="725"/>
    </row>
    <row r="22" spans="1:23" ht="14.4" customHeight="1" x14ac:dyDescent="0.3">
      <c r="A22" s="784" t="s">
        <v>4773</v>
      </c>
      <c r="B22" s="737">
        <v>2</v>
      </c>
      <c r="C22" s="739">
        <v>2.79</v>
      </c>
      <c r="D22" s="740">
        <v>2.5</v>
      </c>
      <c r="E22" s="735">
        <v>1</v>
      </c>
      <c r="F22" s="719">
        <v>1.67</v>
      </c>
      <c r="G22" s="720">
        <v>3</v>
      </c>
      <c r="H22" s="726">
        <v>2</v>
      </c>
      <c r="I22" s="727">
        <v>3.72</v>
      </c>
      <c r="J22" s="732">
        <v>10</v>
      </c>
      <c r="K22" s="722">
        <v>1.67</v>
      </c>
      <c r="L22" s="721">
        <v>3</v>
      </c>
      <c r="M22" s="721">
        <v>27</v>
      </c>
      <c r="N22" s="723">
        <v>9</v>
      </c>
      <c r="O22" s="721" t="s">
        <v>4745</v>
      </c>
      <c r="P22" s="736" t="s">
        <v>4774</v>
      </c>
      <c r="Q22" s="724">
        <f t="shared" si="0"/>
        <v>0</v>
      </c>
      <c r="R22" s="724">
        <f t="shared" si="0"/>
        <v>0.93000000000000016</v>
      </c>
      <c r="S22" s="737">
        <f t="shared" si="1"/>
        <v>18</v>
      </c>
      <c r="T22" s="737">
        <f t="shared" si="2"/>
        <v>20</v>
      </c>
      <c r="U22" s="737">
        <f t="shared" si="3"/>
        <v>2</v>
      </c>
      <c r="V22" s="738">
        <f t="shared" si="4"/>
        <v>1.1111111111111112</v>
      </c>
      <c r="W22" s="725">
        <v>4</v>
      </c>
    </row>
    <row r="23" spans="1:23" ht="14.4" customHeight="1" x14ac:dyDescent="0.3">
      <c r="A23" s="784" t="s">
        <v>4775</v>
      </c>
      <c r="B23" s="716">
        <v>1</v>
      </c>
      <c r="C23" s="717">
        <v>0.84</v>
      </c>
      <c r="D23" s="718">
        <v>17</v>
      </c>
      <c r="E23" s="735"/>
      <c r="F23" s="719"/>
      <c r="G23" s="720"/>
      <c r="H23" s="721"/>
      <c r="I23" s="719"/>
      <c r="J23" s="720"/>
      <c r="K23" s="722">
        <v>0.84</v>
      </c>
      <c r="L23" s="721">
        <v>3</v>
      </c>
      <c r="M23" s="721">
        <v>30</v>
      </c>
      <c r="N23" s="723">
        <v>10</v>
      </c>
      <c r="O23" s="721" t="s">
        <v>4745</v>
      </c>
      <c r="P23" s="736" t="s">
        <v>4776</v>
      </c>
      <c r="Q23" s="724">
        <f t="shared" si="0"/>
        <v>-1</v>
      </c>
      <c r="R23" s="724">
        <f t="shared" si="0"/>
        <v>-0.84</v>
      </c>
      <c r="S23" s="737" t="str">
        <f t="shared" si="1"/>
        <v/>
      </c>
      <c r="T23" s="737" t="str">
        <f t="shared" si="2"/>
        <v/>
      </c>
      <c r="U23" s="737" t="str">
        <f t="shared" si="3"/>
        <v/>
      </c>
      <c r="V23" s="738" t="str">
        <f t="shared" si="4"/>
        <v/>
      </c>
      <c r="W23" s="725"/>
    </row>
    <row r="24" spans="1:23" ht="14.4" customHeight="1" x14ac:dyDescent="0.3">
      <c r="A24" s="784" t="s">
        <v>4777</v>
      </c>
      <c r="B24" s="716">
        <v>1</v>
      </c>
      <c r="C24" s="717">
        <v>0.48</v>
      </c>
      <c r="D24" s="718">
        <v>2</v>
      </c>
      <c r="E24" s="735"/>
      <c r="F24" s="719"/>
      <c r="G24" s="720"/>
      <c r="H24" s="721"/>
      <c r="I24" s="719"/>
      <c r="J24" s="720"/>
      <c r="K24" s="722">
        <v>0.93</v>
      </c>
      <c r="L24" s="721">
        <v>4</v>
      </c>
      <c r="M24" s="721">
        <v>33</v>
      </c>
      <c r="N24" s="723">
        <v>11</v>
      </c>
      <c r="O24" s="721" t="s">
        <v>4745</v>
      </c>
      <c r="P24" s="736" t="s">
        <v>4778</v>
      </c>
      <c r="Q24" s="724">
        <f t="shared" si="0"/>
        <v>-1</v>
      </c>
      <c r="R24" s="724">
        <f t="shared" si="0"/>
        <v>-0.48</v>
      </c>
      <c r="S24" s="737" t="str">
        <f t="shared" si="1"/>
        <v/>
      </c>
      <c r="T24" s="737" t="str">
        <f t="shared" si="2"/>
        <v/>
      </c>
      <c r="U24" s="737" t="str">
        <f t="shared" si="3"/>
        <v/>
      </c>
      <c r="V24" s="738" t="str">
        <f t="shared" si="4"/>
        <v/>
      </c>
      <c r="W24" s="725"/>
    </row>
    <row r="25" spans="1:23" ht="14.4" customHeight="1" x14ac:dyDescent="0.3">
      <c r="A25" s="784" t="s">
        <v>4779</v>
      </c>
      <c r="B25" s="737"/>
      <c r="C25" s="739"/>
      <c r="D25" s="740"/>
      <c r="E25" s="735"/>
      <c r="F25" s="719"/>
      <c r="G25" s="720"/>
      <c r="H25" s="726">
        <v>1</v>
      </c>
      <c r="I25" s="727">
        <v>1.3</v>
      </c>
      <c r="J25" s="728">
        <v>4</v>
      </c>
      <c r="K25" s="722">
        <v>1.3</v>
      </c>
      <c r="L25" s="721">
        <v>4</v>
      </c>
      <c r="M25" s="721">
        <v>33</v>
      </c>
      <c r="N25" s="723">
        <v>11</v>
      </c>
      <c r="O25" s="721" t="s">
        <v>4745</v>
      </c>
      <c r="P25" s="736" t="s">
        <v>4780</v>
      </c>
      <c r="Q25" s="724">
        <f t="shared" si="0"/>
        <v>1</v>
      </c>
      <c r="R25" s="724">
        <f t="shared" si="0"/>
        <v>1.3</v>
      </c>
      <c r="S25" s="737">
        <f t="shared" si="1"/>
        <v>11</v>
      </c>
      <c r="T25" s="737">
        <f t="shared" si="2"/>
        <v>4</v>
      </c>
      <c r="U25" s="737">
        <f t="shared" si="3"/>
        <v>-7</v>
      </c>
      <c r="V25" s="738">
        <f t="shared" si="4"/>
        <v>0.36363636363636365</v>
      </c>
      <c r="W25" s="725"/>
    </row>
    <row r="26" spans="1:23" ht="14.4" customHeight="1" x14ac:dyDescent="0.3">
      <c r="A26" s="784" t="s">
        <v>4781</v>
      </c>
      <c r="B26" s="716">
        <v>1</v>
      </c>
      <c r="C26" s="717">
        <v>0.56000000000000005</v>
      </c>
      <c r="D26" s="718">
        <v>2</v>
      </c>
      <c r="E26" s="735"/>
      <c r="F26" s="719"/>
      <c r="G26" s="720"/>
      <c r="H26" s="721"/>
      <c r="I26" s="719"/>
      <c r="J26" s="720"/>
      <c r="K26" s="722">
        <v>0.56000000000000005</v>
      </c>
      <c r="L26" s="721">
        <v>2</v>
      </c>
      <c r="M26" s="721">
        <v>21</v>
      </c>
      <c r="N26" s="723">
        <v>7</v>
      </c>
      <c r="O26" s="721" t="s">
        <v>4745</v>
      </c>
      <c r="P26" s="736" t="s">
        <v>4782</v>
      </c>
      <c r="Q26" s="724">
        <f t="shared" si="0"/>
        <v>-1</v>
      </c>
      <c r="R26" s="724">
        <f t="shared" si="0"/>
        <v>-0.56000000000000005</v>
      </c>
      <c r="S26" s="737" t="str">
        <f t="shared" si="1"/>
        <v/>
      </c>
      <c r="T26" s="737" t="str">
        <f t="shared" si="2"/>
        <v/>
      </c>
      <c r="U26" s="737" t="str">
        <f t="shared" si="3"/>
        <v/>
      </c>
      <c r="V26" s="738" t="str">
        <f t="shared" si="4"/>
        <v/>
      </c>
      <c r="W26" s="725"/>
    </row>
    <row r="27" spans="1:23" ht="14.4" customHeight="1" x14ac:dyDescent="0.3">
      <c r="A27" s="784" t="s">
        <v>4783</v>
      </c>
      <c r="B27" s="737">
        <v>3</v>
      </c>
      <c r="C27" s="739">
        <v>1.51</v>
      </c>
      <c r="D27" s="740">
        <v>2.7</v>
      </c>
      <c r="E27" s="726">
        <v>4</v>
      </c>
      <c r="F27" s="727">
        <v>2.37</v>
      </c>
      <c r="G27" s="728">
        <v>3</v>
      </c>
      <c r="H27" s="721">
        <v>1</v>
      </c>
      <c r="I27" s="719">
        <v>2.33</v>
      </c>
      <c r="J27" s="720">
        <v>1</v>
      </c>
      <c r="K27" s="722">
        <v>0.42</v>
      </c>
      <c r="L27" s="721">
        <v>1</v>
      </c>
      <c r="M27" s="721">
        <v>5</v>
      </c>
      <c r="N27" s="723">
        <v>2</v>
      </c>
      <c r="O27" s="721" t="s">
        <v>4745</v>
      </c>
      <c r="P27" s="736" t="s">
        <v>4784</v>
      </c>
      <c r="Q27" s="724">
        <f t="shared" si="0"/>
        <v>-2</v>
      </c>
      <c r="R27" s="724">
        <f t="shared" si="0"/>
        <v>0.82000000000000006</v>
      </c>
      <c r="S27" s="737">
        <f t="shared" si="1"/>
        <v>2</v>
      </c>
      <c r="T27" s="737">
        <f t="shared" si="2"/>
        <v>1</v>
      </c>
      <c r="U27" s="737">
        <f t="shared" si="3"/>
        <v>-1</v>
      </c>
      <c r="V27" s="738">
        <f t="shared" si="4"/>
        <v>0.5</v>
      </c>
      <c r="W27" s="725"/>
    </row>
    <row r="28" spans="1:23" ht="14.4" customHeight="1" x14ac:dyDescent="0.3">
      <c r="A28" s="784" t="s">
        <v>4785</v>
      </c>
      <c r="B28" s="716">
        <v>3</v>
      </c>
      <c r="C28" s="717">
        <v>12.18</v>
      </c>
      <c r="D28" s="718">
        <v>2.2999999999999998</v>
      </c>
      <c r="E28" s="735"/>
      <c r="F28" s="719"/>
      <c r="G28" s="720"/>
      <c r="H28" s="721">
        <v>2</v>
      </c>
      <c r="I28" s="719">
        <v>7.68</v>
      </c>
      <c r="J28" s="720">
        <v>2.5</v>
      </c>
      <c r="K28" s="722">
        <v>5.41</v>
      </c>
      <c r="L28" s="721">
        <v>4</v>
      </c>
      <c r="M28" s="721">
        <v>33</v>
      </c>
      <c r="N28" s="723">
        <v>11</v>
      </c>
      <c r="O28" s="721" t="s">
        <v>4745</v>
      </c>
      <c r="P28" s="736" t="s">
        <v>4786</v>
      </c>
      <c r="Q28" s="724">
        <f t="shared" si="0"/>
        <v>-1</v>
      </c>
      <c r="R28" s="724">
        <f t="shared" si="0"/>
        <v>-4.5</v>
      </c>
      <c r="S28" s="737">
        <f t="shared" si="1"/>
        <v>22</v>
      </c>
      <c r="T28" s="737">
        <f t="shared" si="2"/>
        <v>5</v>
      </c>
      <c r="U28" s="737">
        <f t="shared" si="3"/>
        <v>-17</v>
      </c>
      <c r="V28" s="738">
        <f t="shared" si="4"/>
        <v>0.22727272727272727</v>
      </c>
      <c r="W28" s="725"/>
    </row>
    <row r="29" spans="1:23" ht="14.4" customHeight="1" x14ac:dyDescent="0.3">
      <c r="A29" s="785" t="s">
        <v>4787</v>
      </c>
      <c r="B29" s="781"/>
      <c r="C29" s="782"/>
      <c r="D29" s="733"/>
      <c r="E29" s="771">
        <v>2</v>
      </c>
      <c r="F29" s="772">
        <v>14.52</v>
      </c>
      <c r="G29" s="729">
        <v>5</v>
      </c>
      <c r="H29" s="776"/>
      <c r="I29" s="772"/>
      <c r="J29" s="729"/>
      <c r="K29" s="775">
        <v>7.26</v>
      </c>
      <c r="L29" s="776">
        <v>4</v>
      </c>
      <c r="M29" s="776">
        <v>39</v>
      </c>
      <c r="N29" s="777">
        <v>13</v>
      </c>
      <c r="O29" s="776" t="s">
        <v>4745</v>
      </c>
      <c r="P29" s="778" t="s">
        <v>4788</v>
      </c>
      <c r="Q29" s="779">
        <f t="shared" si="0"/>
        <v>0</v>
      </c>
      <c r="R29" s="779">
        <f t="shared" si="0"/>
        <v>0</v>
      </c>
      <c r="S29" s="769" t="str">
        <f t="shared" si="1"/>
        <v/>
      </c>
      <c r="T29" s="769" t="str">
        <f t="shared" si="2"/>
        <v/>
      </c>
      <c r="U29" s="769" t="str">
        <f t="shared" si="3"/>
        <v/>
      </c>
      <c r="V29" s="780" t="str">
        <f t="shared" si="4"/>
        <v/>
      </c>
      <c r="W29" s="731"/>
    </row>
    <row r="30" spans="1:23" ht="14.4" customHeight="1" x14ac:dyDescent="0.3">
      <c r="A30" s="785" t="s">
        <v>4789</v>
      </c>
      <c r="B30" s="781">
        <v>3</v>
      </c>
      <c r="C30" s="782">
        <v>23.36</v>
      </c>
      <c r="D30" s="733">
        <v>5.3</v>
      </c>
      <c r="E30" s="771">
        <v>2</v>
      </c>
      <c r="F30" s="772">
        <v>14.47</v>
      </c>
      <c r="G30" s="729">
        <v>8</v>
      </c>
      <c r="H30" s="776">
        <v>3</v>
      </c>
      <c r="I30" s="772">
        <v>23.36</v>
      </c>
      <c r="J30" s="729">
        <v>4</v>
      </c>
      <c r="K30" s="775">
        <v>9.31</v>
      </c>
      <c r="L30" s="776">
        <v>5</v>
      </c>
      <c r="M30" s="776">
        <v>48</v>
      </c>
      <c r="N30" s="777">
        <v>16</v>
      </c>
      <c r="O30" s="776" t="s">
        <v>4745</v>
      </c>
      <c r="P30" s="778" t="s">
        <v>4790</v>
      </c>
      <c r="Q30" s="779">
        <f t="shared" si="0"/>
        <v>0</v>
      </c>
      <c r="R30" s="779">
        <f t="shared" si="0"/>
        <v>0</v>
      </c>
      <c r="S30" s="769">
        <f t="shared" si="1"/>
        <v>48</v>
      </c>
      <c r="T30" s="769">
        <f t="shared" si="2"/>
        <v>12</v>
      </c>
      <c r="U30" s="769">
        <f t="shared" si="3"/>
        <v>-36</v>
      </c>
      <c r="V30" s="780">
        <f t="shared" si="4"/>
        <v>0.25</v>
      </c>
      <c r="W30" s="731"/>
    </row>
    <row r="31" spans="1:23" ht="14.4" customHeight="1" x14ac:dyDescent="0.3">
      <c r="A31" s="784" t="s">
        <v>4791</v>
      </c>
      <c r="B31" s="716">
        <v>1</v>
      </c>
      <c r="C31" s="717">
        <v>4.2300000000000004</v>
      </c>
      <c r="D31" s="718">
        <v>3</v>
      </c>
      <c r="E31" s="735"/>
      <c r="F31" s="719"/>
      <c r="G31" s="720"/>
      <c r="H31" s="721"/>
      <c r="I31" s="719"/>
      <c r="J31" s="720"/>
      <c r="K31" s="722">
        <v>4.2300000000000004</v>
      </c>
      <c r="L31" s="721">
        <v>2</v>
      </c>
      <c r="M31" s="721">
        <v>21</v>
      </c>
      <c r="N31" s="723">
        <v>7</v>
      </c>
      <c r="O31" s="721" t="s">
        <v>4745</v>
      </c>
      <c r="P31" s="736" t="s">
        <v>4792</v>
      </c>
      <c r="Q31" s="724">
        <f t="shared" si="0"/>
        <v>-1</v>
      </c>
      <c r="R31" s="724">
        <f t="shared" si="0"/>
        <v>-4.2300000000000004</v>
      </c>
      <c r="S31" s="737" t="str">
        <f t="shared" si="1"/>
        <v/>
      </c>
      <c r="T31" s="737" t="str">
        <f t="shared" si="2"/>
        <v/>
      </c>
      <c r="U31" s="737" t="str">
        <f t="shared" si="3"/>
        <v/>
      </c>
      <c r="V31" s="738" t="str">
        <f t="shared" si="4"/>
        <v/>
      </c>
      <c r="W31" s="725"/>
    </row>
    <row r="32" spans="1:23" ht="14.4" customHeight="1" x14ac:dyDescent="0.3">
      <c r="A32" s="784" t="s">
        <v>4793</v>
      </c>
      <c r="B32" s="737">
        <v>1</v>
      </c>
      <c r="C32" s="739">
        <v>2.12</v>
      </c>
      <c r="D32" s="740">
        <v>5</v>
      </c>
      <c r="E32" s="735">
        <v>1</v>
      </c>
      <c r="F32" s="719">
        <v>7.22</v>
      </c>
      <c r="G32" s="720">
        <v>40</v>
      </c>
      <c r="H32" s="726">
        <v>3</v>
      </c>
      <c r="I32" s="727">
        <v>4.47</v>
      </c>
      <c r="J32" s="728">
        <v>2</v>
      </c>
      <c r="K32" s="722">
        <v>2.12</v>
      </c>
      <c r="L32" s="721">
        <v>3</v>
      </c>
      <c r="M32" s="721">
        <v>24</v>
      </c>
      <c r="N32" s="723">
        <v>8</v>
      </c>
      <c r="O32" s="721" t="s">
        <v>4745</v>
      </c>
      <c r="P32" s="736" t="s">
        <v>4794</v>
      </c>
      <c r="Q32" s="724">
        <f t="shared" si="0"/>
        <v>2</v>
      </c>
      <c r="R32" s="724">
        <f t="shared" si="0"/>
        <v>2.3499999999999996</v>
      </c>
      <c r="S32" s="737">
        <f t="shared" si="1"/>
        <v>24</v>
      </c>
      <c r="T32" s="737">
        <f t="shared" si="2"/>
        <v>6</v>
      </c>
      <c r="U32" s="737">
        <f t="shared" si="3"/>
        <v>-18</v>
      </c>
      <c r="V32" s="738">
        <f t="shared" si="4"/>
        <v>0.25</v>
      </c>
      <c r="W32" s="725"/>
    </row>
    <row r="33" spans="1:23" ht="14.4" customHeight="1" x14ac:dyDescent="0.3">
      <c r="A33" s="785" t="s">
        <v>4795</v>
      </c>
      <c r="B33" s="769"/>
      <c r="C33" s="770"/>
      <c r="D33" s="741"/>
      <c r="E33" s="771">
        <v>2</v>
      </c>
      <c r="F33" s="772">
        <v>4.4400000000000004</v>
      </c>
      <c r="G33" s="729">
        <v>3.5</v>
      </c>
      <c r="H33" s="773">
        <v>1</v>
      </c>
      <c r="I33" s="774">
        <v>2.2200000000000002</v>
      </c>
      <c r="J33" s="730">
        <v>3</v>
      </c>
      <c r="K33" s="775">
        <v>2.86</v>
      </c>
      <c r="L33" s="776">
        <v>4</v>
      </c>
      <c r="M33" s="776">
        <v>36</v>
      </c>
      <c r="N33" s="777">
        <v>12</v>
      </c>
      <c r="O33" s="776" t="s">
        <v>4745</v>
      </c>
      <c r="P33" s="778" t="s">
        <v>4796</v>
      </c>
      <c r="Q33" s="779">
        <f t="shared" si="0"/>
        <v>1</v>
      </c>
      <c r="R33" s="779">
        <f t="shared" si="0"/>
        <v>2.2200000000000002</v>
      </c>
      <c r="S33" s="769">
        <f t="shared" si="1"/>
        <v>12</v>
      </c>
      <c r="T33" s="769">
        <f t="shared" si="2"/>
        <v>3</v>
      </c>
      <c r="U33" s="769">
        <f t="shared" si="3"/>
        <v>-9</v>
      </c>
      <c r="V33" s="780">
        <f t="shared" si="4"/>
        <v>0.25</v>
      </c>
      <c r="W33" s="731"/>
    </row>
    <row r="34" spans="1:23" ht="14.4" customHeight="1" x14ac:dyDescent="0.3">
      <c r="A34" s="785" t="s">
        <v>4797</v>
      </c>
      <c r="B34" s="769">
        <v>2</v>
      </c>
      <c r="C34" s="770">
        <v>6.75</v>
      </c>
      <c r="D34" s="741">
        <v>3</v>
      </c>
      <c r="E34" s="771">
        <v>1</v>
      </c>
      <c r="F34" s="772">
        <v>3.81</v>
      </c>
      <c r="G34" s="729">
        <v>6</v>
      </c>
      <c r="H34" s="773">
        <v>2</v>
      </c>
      <c r="I34" s="774">
        <v>6.78</v>
      </c>
      <c r="J34" s="730">
        <v>4.5</v>
      </c>
      <c r="K34" s="775">
        <v>3.81</v>
      </c>
      <c r="L34" s="776">
        <v>4</v>
      </c>
      <c r="M34" s="776">
        <v>39</v>
      </c>
      <c r="N34" s="777">
        <v>13</v>
      </c>
      <c r="O34" s="776" t="s">
        <v>4745</v>
      </c>
      <c r="P34" s="778" t="s">
        <v>4798</v>
      </c>
      <c r="Q34" s="779">
        <f t="shared" si="0"/>
        <v>0</v>
      </c>
      <c r="R34" s="779">
        <f t="shared" si="0"/>
        <v>3.0000000000000249E-2</v>
      </c>
      <c r="S34" s="769">
        <f t="shared" si="1"/>
        <v>26</v>
      </c>
      <c r="T34" s="769">
        <f t="shared" si="2"/>
        <v>9</v>
      </c>
      <c r="U34" s="769">
        <f t="shared" si="3"/>
        <v>-17</v>
      </c>
      <c r="V34" s="780">
        <f t="shared" si="4"/>
        <v>0.34615384615384615</v>
      </c>
      <c r="W34" s="731"/>
    </row>
    <row r="35" spans="1:23" ht="14.4" customHeight="1" x14ac:dyDescent="0.3">
      <c r="A35" s="784" t="s">
        <v>4799</v>
      </c>
      <c r="B35" s="716">
        <v>1</v>
      </c>
      <c r="C35" s="717">
        <v>1.21</v>
      </c>
      <c r="D35" s="718">
        <v>3</v>
      </c>
      <c r="E35" s="735"/>
      <c r="F35" s="719"/>
      <c r="G35" s="720"/>
      <c r="H35" s="721"/>
      <c r="I35" s="719"/>
      <c r="J35" s="720"/>
      <c r="K35" s="722">
        <v>2.3199999999999998</v>
      </c>
      <c r="L35" s="721">
        <v>6</v>
      </c>
      <c r="M35" s="721">
        <v>54</v>
      </c>
      <c r="N35" s="723">
        <v>18</v>
      </c>
      <c r="O35" s="721" t="s">
        <v>4745</v>
      </c>
      <c r="P35" s="736" t="s">
        <v>4800</v>
      </c>
      <c r="Q35" s="724">
        <f t="shared" si="0"/>
        <v>-1</v>
      </c>
      <c r="R35" s="724">
        <f t="shared" si="0"/>
        <v>-1.21</v>
      </c>
      <c r="S35" s="737" t="str">
        <f t="shared" si="1"/>
        <v/>
      </c>
      <c r="T35" s="737" t="str">
        <f t="shared" si="2"/>
        <v/>
      </c>
      <c r="U35" s="737" t="str">
        <f t="shared" si="3"/>
        <v/>
      </c>
      <c r="V35" s="738" t="str">
        <f t="shared" si="4"/>
        <v/>
      </c>
      <c r="W35" s="725"/>
    </row>
    <row r="36" spans="1:23" ht="14.4" customHeight="1" x14ac:dyDescent="0.3">
      <c r="A36" s="784" t="s">
        <v>4801</v>
      </c>
      <c r="B36" s="737"/>
      <c r="C36" s="739"/>
      <c r="D36" s="740"/>
      <c r="E36" s="726">
        <v>2</v>
      </c>
      <c r="F36" s="727">
        <v>4.01</v>
      </c>
      <c r="G36" s="728">
        <v>8</v>
      </c>
      <c r="H36" s="721"/>
      <c r="I36" s="719"/>
      <c r="J36" s="720"/>
      <c r="K36" s="722">
        <v>2.5299999999999998</v>
      </c>
      <c r="L36" s="721">
        <v>6</v>
      </c>
      <c r="M36" s="721">
        <v>54</v>
      </c>
      <c r="N36" s="723">
        <v>18</v>
      </c>
      <c r="O36" s="721" t="s">
        <v>4745</v>
      </c>
      <c r="P36" s="736" t="s">
        <v>4802</v>
      </c>
      <c r="Q36" s="724">
        <f t="shared" si="0"/>
        <v>0</v>
      </c>
      <c r="R36" s="724">
        <f t="shared" si="0"/>
        <v>0</v>
      </c>
      <c r="S36" s="737" t="str">
        <f t="shared" si="1"/>
        <v/>
      </c>
      <c r="T36" s="737" t="str">
        <f t="shared" si="2"/>
        <v/>
      </c>
      <c r="U36" s="737" t="str">
        <f t="shared" si="3"/>
        <v/>
      </c>
      <c r="V36" s="738" t="str">
        <f t="shared" si="4"/>
        <v/>
      </c>
      <c r="W36" s="725"/>
    </row>
    <row r="37" spans="1:23" ht="14.4" customHeight="1" x14ac:dyDescent="0.3">
      <c r="A37" s="784" t="s">
        <v>4803</v>
      </c>
      <c r="B37" s="737"/>
      <c r="C37" s="739"/>
      <c r="D37" s="740"/>
      <c r="E37" s="726">
        <v>1</v>
      </c>
      <c r="F37" s="727">
        <v>3.67</v>
      </c>
      <c r="G37" s="728">
        <v>8</v>
      </c>
      <c r="H37" s="721"/>
      <c r="I37" s="719"/>
      <c r="J37" s="720"/>
      <c r="K37" s="722">
        <v>3.67</v>
      </c>
      <c r="L37" s="721">
        <v>1</v>
      </c>
      <c r="M37" s="721">
        <v>12</v>
      </c>
      <c r="N37" s="723">
        <v>4</v>
      </c>
      <c r="O37" s="721" t="s">
        <v>3592</v>
      </c>
      <c r="P37" s="736" t="s">
        <v>4804</v>
      </c>
      <c r="Q37" s="724">
        <f t="shared" si="0"/>
        <v>0</v>
      </c>
      <c r="R37" s="724">
        <f t="shared" si="0"/>
        <v>0</v>
      </c>
      <c r="S37" s="737" t="str">
        <f t="shared" si="1"/>
        <v/>
      </c>
      <c r="T37" s="737" t="str">
        <f t="shared" si="2"/>
        <v/>
      </c>
      <c r="U37" s="737" t="str">
        <f t="shared" si="3"/>
        <v/>
      </c>
      <c r="V37" s="738" t="str">
        <f t="shared" si="4"/>
        <v/>
      </c>
      <c r="W37" s="725"/>
    </row>
    <row r="38" spans="1:23" ht="14.4" customHeight="1" x14ac:dyDescent="0.3">
      <c r="A38" s="784" t="s">
        <v>4805</v>
      </c>
      <c r="B38" s="737"/>
      <c r="C38" s="739"/>
      <c r="D38" s="740"/>
      <c r="E38" s="735"/>
      <c r="F38" s="719"/>
      <c r="G38" s="720"/>
      <c r="H38" s="726">
        <v>1</v>
      </c>
      <c r="I38" s="727">
        <v>1.23</v>
      </c>
      <c r="J38" s="728">
        <v>6</v>
      </c>
      <c r="K38" s="722">
        <v>1.23</v>
      </c>
      <c r="L38" s="721">
        <v>2</v>
      </c>
      <c r="M38" s="721">
        <v>21</v>
      </c>
      <c r="N38" s="723">
        <v>7</v>
      </c>
      <c r="O38" s="721" t="s">
        <v>4745</v>
      </c>
      <c r="P38" s="736" t="s">
        <v>4806</v>
      </c>
      <c r="Q38" s="724">
        <f t="shared" si="0"/>
        <v>1</v>
      </c>
      <c r="R38" s="724">
        <f t="shared" si="0"/>
        <v>1.23</v>
      </c>
      <c r="S38" s="737">
        <f t="shared" si="1"/>
        <v>7</v>
      </c>
      <c r="T38" s="737">
        <f t="shared" si="2"/>
        <v>6</v>
      </c>
      <c r="U38" s="737">
        <f t="shared" si="3"/>
        <v>-1</v>
      </c>
      <c r="V38" s="738">
        <f t="shared" si="4"/>
        <v>0.8571428571428571</v>
      </c>
      <c r="W38" s="725"/>
    </row>
    <row r="39" spans="1:23" ht="14.4" customHeight="1" x14ac:dyDescent="0.3">
      <c r="A39" s="784" t="s">
        <v>4807</v>
      </c>
      <c r="B39" s="737"/>
      <c r="C39" s="739"/>
      <c r="D39" s="740"/>
      <c r="E39" s="735"/>
      <c r="F39" s="719"/>
      <c r="G39" s="720"/>
      <c r="H39" s="726">
        <v>1</v>
      </c>
      <c r="I39" s="727">
        <v>0.2</v>
      </c>
      <c r="J39" s="728">
        <v>1</v>
      </c>
      <c r="K39" s="722">
        <v>0.54</v>
      </c>
      <c r="L39" s="721">
        <v>3</v>
      </c>
      <c r="M39" s="721">
        <v>24</v>
      </c>
      <c r="N39" s="723">
        <v>8</v>
      </c>
      <c r="O39" s="721" t="s">
        <v>4745</v>
      </c>
      <c r="P39" s="736" t="s">
        <v>4808</v>
      </c>
      <c r="Q39" s="724">
        <f t="shared" si="0"/>
        <v>1</v>
      </c>
      <c r="R39" s="724">
        <f t="shared" si="0"/>
        <v>0.2</v>
      </c>
      <c r="S39" s="737">
        <f t="shared" si="1"/>
        <v>8</v>
      </c>
      <c r="T39" s="737">
        <f t="shared" si="2"/>
        <v>1</v>
      </c>
      <c r="U39" s="737">
        <f t="shared" si="3"/>
        <v>-7</v>
      </c>
      <c r="V39" s="738">
        <f t="shared" si="4"/>
        <v>0.125</v>
      </c>
      <c r="W39" s="725"/>
    </row>
    <row r="40" spans="1:23" ht="14.4" customHeight="1" x14ac:dyDescent="0.3">
      <c r="A40" s="785" t="s">
        <v>4809</v>
      </c>
      <c r="B40" s="769"/>
      <c r="C40" s="770"/>
      <c r="D40" s="741"/>
      <c r="E40" s="771"/>
      <c r="F40" s="772"/>
      <c r="G40" s="729"/>
      <c r="H40" s="773">
        <v>1</v>
      </c>
      <c r="I40" s="774">
        <v>1.64</v>
      </c>
      <c r="J40" s="730">
        <v>4</v>
      </c>
      <c r="K40" s="775">
        <v>0.62</v>
      </c>
      <c r="L40" s="776">
        <v>2</v>
      </c>
      <c r="M40" s="776">
        <v>21</v>
      </c>
      <c r="N40" s="777">
        <v>7</v>
      </c>
      <c r="O40" s="776" t="s">
        <v>4745</v>
      </c>
      <c r="P40" s="778" t="s">
        <v>4810</v>
      </c>
      <c r="Q40" s="779">
        <f t="shared" si="0"/>
        <v>1</v>
      </c>
      <c r="R40" s="779">
        <f t="shared" si="0"/>
        <v>1.64</v>
      </c>
      <c r="S40" s="769">
        <f t="shared" si="1"/>
        <v>7</v>
      </c>
      <c r="T40" s="769">
        <f t="shared" si="2"/>
        <v>4</v>
      </c>
      <c r="U40" s="769">
        <f t="shared" si="3"/>
        <v>-3</v>
      </c>
      <c r="V40" s="780">
        <f t="shared" si="4"/>
        <v>0.5714285714285714</v>
      </c>
      <c r="W40" s="731"/>
    </row>
    <row r="41" spans="1:23" ht="14.4" customHeight="1" x14ac:dyDescent="0.3">
      <c r="A41" s="784" t="s">
        <v>4811</v>
      </c>
      <c r="B41" s="737"/>
      <c r="C41" s="739"/>
      <c r="D41" s="740"/>
      <c r="E41" s="735"/>
      <c r="F41" s="719"/>
      <c r="G41" s="720"/>
      <c r="H41" s="726">
        <v>1</v>
      </c>
      <c r="I41" s="727">
        <v>0.86</v>
      </c>
      <c r="J41" s="728">
        <v>7</v>
      </c>
      <c r="K41" s="722">
        <v>0.78</v>
      </c>
      <c r="L41" s="721">
        <v>3</v>
      </c>
      <c r="M41" s="721">
        <v>24</v>
      </c>
      <c r="N41" s="723">
        <v>8</v>
      </c>
      <c r="O41" s="721" t="s">
        <v>4745</v>
      </c>
      <c r="P41" s="736" t="s">
        <v>4812</v>
      </c>
      <c r="Q41" s="724">
        <f t="shared" si="0"/>
        <v>1</v>
      </c>
      <c r="R41" s="724">
        <f t="shared" si="0"/>
        <v>0.86</v>
      </c>
      <c r="S41" s="737">
        <f t="shared" si="1"/>
        <v>8</v>
      </c>
      <c r="T41" s="737">
        <f t="shared" si="2"/>
        <v>7</v>
      </c>
      <c r="U41" s="737">
        <f t="shared" si="3"/>
        <v>-1</v>
      </c>
      <c r="V41" s="738">
        <f t="shared" si="4"/>
        <v>0.875</v>
      </c>
      <c r="W41" s="725"/>
    </row>
    <row r="42" spans="1:23" ht="14.4" customHeight="1" x14ac:dyDescent="0.3">
      <c r="A42" s="784" t="s">
        <v>4813</v>
      </c>
      <c r="B42" s="737"/>
      <c r="C42" s="739"/>
      <c r="D42" s="740"/>
      <c r="E42" s="735"/>
      <c r="F42" s="719"/>
      <c r="G42" s="720"/>
      <c r="H42" s="726">
        <v>1</v>
      </c>
      <c r="I42" s="727">
        <v>4.2699999999999996</v>
      </c>
      <c r="J42" s="728">
        <v>2</v>
      </c>
      <c r="K42" s="722">
        <v>4.2699999999999996</v>
      </c>
      <c r="L42" s="721">
        <v>2</v>
      </c>
      <c r="M42" s="721">
        <v>21</v>
      </c>
      <c r="N42" s="723">
        <v>7</v>
      </c>
      <c r="O42" s="721" t="s">
        <v>4745</v>
      </c>
      <c r="P42" s="736" t="s">
        <v>4814</v>
      </c>
      <c r="Q42" s="724">
        <f t="shared" si="0"/>
        <v>1</v>
      </c>
      <c r="R42" s="724">
        <f t="shared" si="0"/>
        <v>4.2699999999999996</v>
      </c>
      <c r="S42" s="737">
        <f t="shared" si="1"/>
        <v>7</v>
      </c>
      <c r="T42" s="737">
        <f t="shared" si="2"/>
        <v>2</v>
      </c>
      <c r="U42" s="737">
        <f t="shared" si="3"/>
        <v>-5</v>
      </c>
      <c r="V42" s="738">
        <f t="shared" si="4"/>
        <v>0.2857142857142857</v>
      </c>
      <c r="W42" s="725"/>
    </row>
    <row r="43" spans="1:23" ht="14.4" customHeight="1" x14ac:dyDescent="0.3">
      <c r="A43" s="785" t="s">
        <v>4815</v>
      </c>
      <c r="B43" s="769">
        <v>1</v>
      </c>
      <c r="C43" s="770">
        <v>4.6100000000000003</v>
      </c>
      <c r="D43" s="741">
        <v>4</v>
      </c>
      <c r="E43" s="771"/>
      <c r="F43" s="772"/>
      <c r="G43" s="729"/>
      <c r="H43" s="773"/>
      <c r="I43" s="774"/>
      <c r="J43" s="730"/>
      <c r="K43" s="775">
        <v>4.6100000000000003</v>
      </c>
      <c r="L43" s="776">
        <v>3</v>
      </c>
      <c r="M43" s="776">
        <v>27</v>
      </c>
      <c r="N43" s="777">
        <v>9</v>
      </c>
      <c r="O43" s="776" t="s">
        <v>4745</v>
      </c>
      <c r="P43" s="778" t="s">
        <v>4814</v>
      </c>
      <c r="Q43" s="779">
        <f t="shared" si="0"/>
        <v>-1</v>
      </c>
      <c r="R43" s="779">
        <f t="shared" si="0"/>
        <v>-4.6100000000000003</v>
      </c>
      <c r="S43" s="769" t="str">
        <f t="shared" si="1"/>
        <v/>
      </c>
      <c r="T43" s="769" t="str">
        <f t="shared" si="2"/>
        <v/>
      </c>
      <c r="U43" s="769" t="str">
        <f t="shared" si="3"/>
        <v/>
      </c>
      <c r="V43" s="780" t="str">
        <f t="shared" si="4"/>
        <v/>
      </c>
      <c r="W43" s="731"/>
    </row>
    <row r="44" spans="1:23" ht="14.4" customHeight="1" x14ac:dyDescent="0.3">
      <c r="A44" s="784" t="s">
        <v>4816</v>
      </c>
      <c r="B44" s="716">
        <v>1</v>
      </c>
      <c r="C44" s="717">
        <v>2.0499999999999998</v>
      </c>
      <c r="D44" s="718">
        <v>2</v>
      </c>
      <c r="E44" s="735"/>
      <c r="F44" s="719"/>
      <c r="G44" s="720"/>
      <c r="H44" s="721"/>
      <c r="I44" s="719"/>
      <c r="J44" s="720"/>
      <c r="K44" s="722">
        <v>2.0499999999999998</v>
      </c>
      <c r="L44" s="721">
        <v>2</v>
      </c>
      <c r="M44" s="721">
        <v>15</v>
      </c>
      <c r="N44" s="723">
        <v>5</v>
      </c>
      <c r="O44" s="721" t="s">
        <v>4745</v>
      </c>
      <c r="P44" s="736" t="s">
        <v>4817</v>
      </c>
      <c r="Q44" s="724">
        <f t="shared" si="0"/>
        <v>-1</v>
      </c>
      <c r="R44" s="724">
        <f t="shared" si="0"/>
        <v>-2.0499999999999998</v>
      </c>
      <c r="S44" s="737" t="str">
        <f t="shared" si="1"/>
        <v/>
      </c>
      <c r="T44" s="737" t="str">
        <f t="shared" si="2"/>
        <v/>
      </c>
      <c r="U44" s="737" t="str">
        <f t="shared" si="3"/>
        <v/>
      </c>
      <c r="V44" s="738" t="str">
        <f t="shared" si="4"/>
        <v/>
      </c>
      <c r="W44" s="725"/>
    </row>
    <row r="45" spans="1:23" ht="14.4" customHeight="1" x14ac:dyDescent="0.3">
      <c r="A45" s="785" t="s">
        <v>4818</v>
      </c>
      <c r="B45" s="781">
        <v>2</v>
      </c>
      <c r="C45" s="782">
        <v>4.78</v>
      </c>
      <c r="D45" s="733">
        <v>8.5</v>
      </c>
      <c r="E45" s="771"/>
      <c r="F45" s="772"/>
      <c r="G45" s="729"/>
      <c r="H45" s="776"/>
      <c r="I45" s="772"/>
      <c r="J45" s="729"/>
      <c r="K45" s="775">
        <v>2.65</v>
      </c>
      <c r="L45" s="776">
        <v>3</v>
      </c>
      <c r="M45" s="776">
        <v>27</v>
      </c>
      <c r="N45" s="777">
        <v>9</v>
      </c>
      <c r="O45" s="776" t="s">
        <v>4745</v>
      </c>
      <c r="P45" s="778" t="s">
        <v>4819</v>
      </c>
      <c r="Q45" s="779">
        <f t="shared" si="0"/>
        <v>-2</v>
      </c>
      <c r="R45" s="779">
        <f t="shared" si="0"/>
        <v>-4.78</v>
      </c>
      <c r="S45" s="769" t="str">
        <f t="shared" si="1"/>
        <v/>
      </c>
      <c r="T45" s="769" t="str">
        <f t="shared" si="2"/>
        <v/>
      </c>
      <c r="U45" s="769" t="str">
        <f t="shared" si="3"/>
        <v/>
      </c>
      <c r="V45" s="780" t="str">
        <f t="shared" si="4"/>
        <v/>
      </c>
      <c r="W45" s="731"/>
    </row>
    <row r="46" spans="1:23" ht="14.4" customHeight="1" x14ac:dyDescent="0.3">
      <c r="A46" s="784" t="s">
        <v>4820</v>
      </c>
      <c r="B46" s="737">
        <v>1</v>
      </c>
      <c r="C46" s="739">
        <v>5.93</v>
      </c>
      <c r="D46" s="740">
        <v>57</v>
      </c>
      <c r="E46" s="735"/>
      <c r="F46" s="719"/>
      <c r="G46" s="720"/>
      <c r="H46" s="726">
        <v>1</v>
      </c>
      <c r="I46" s="727">
        <v>4.09</v>
      </c>
      <c r="J46" s="728">
        <v>9</v>
      </c>
      <c r="K46" s="722">
        <v>4.09</v>
      </c>
      <c r="L46" s="721">
        <v>5</v>
      </c>
      <c r="M46" s="721">
        <v>45</v>
      </c>
      <c r="N46" s="723">
        <v>15</v>
      </c>
      <c r="O46" s="721" t="s">
        <v>4745</v>
      </c>
      <c r="P46" s="736" t="s">
        <v>4821</v>
      </c>
      <c r="Q46" s="724">
        <f t="shared" si="0"/>
        <v>0</v>
      </c>
      <c r="R46" s="724">
        <f t="shared" si="0"/>
        <v>-1.8399999999999999</v>
      </c>
      <c r="S46" s="737">
        <f t="shared" si="1"/>
        <v>15</v>
      </c>
      <c r="T46" s="737">
        <f t="shared" si="2"/>
        <v>9</v>
      </c>
      <c r="U46" s="737">
        <f t="shared" si="3"/>
        <v>-6</v>
      </c>
      <c r="V46" s="738">
        <f t="shared" si="4"/>
        <v>0.6</v>
      </c>
      <c r="W46" s="725"/>
    </row>
    <row r="47" spans="1:23" ht="14.4" customHeight="1" x14ac:dyDescent="0.3">
      <c r="A47" s="785" t="s">
        <v>4822</v>
      </c>
      <c r="B47" s="769">
        <v>3</v>
      </c>
      <c r="C47" s="770">
        <v>19.87</v>
      </c>
      <c r="D47" s="741">
        <v>18.3</v>
      </c>
      <c r="E47" s="771">
        <v>3</v>
      </c>
      <c r="F47" s="772">
        <v>8.2100000000000009</v>
      </c>
      <c r="G47" s="729">
        <v>2.7</v>
      </c>
      <c r="H47" s="773">
        <v>4</v>
      </c>
      <c r="I47" s="774">
        <v>25.09</v>
      </c>
      <c r="J47" s="730">
        <v>11.8</v>
      </c>
      <c r="K47" s="775">
        <v>6.37</v>
      </c>
      <c r="L47" s="776">
        <v>7</v>
      </c>
      <c r="M47" s="776">
        <v>60</v>
      </c>
      <c r="N47" s="777">
        <v>20</v>
      </c>
      <c r="O47" s="776" t="s">
        <v>4745</v>
      </c>
      <c r="P47" s="778" t="s">
        <v>4823</v>
      </c>
      <c r="Q47" s="779">
        <f t="shared" si="0"/>
        <v>1</v>
      </c>
      <c r="R47" s="779">
        <f t="shared" si="0"/>
        <v>5.2199999999999989</v>
      </c>
      <c r="S47" s="769">
        <f t="shared" si="1"/>
        <v>80</v>
      </c>
      <c r="T47" s="769">
        <f t="shared" si="2"/>
        <v>47.2</v>
      </c>
      <c r="U47" s="769">
        <f t="shared" si="3"/>
        <v>-32.799999999999997</v>
      </c>
      <c r="V47" s="780">
        <f t="shared" si="4"/>
        <v>0.59000000000000008</v>
      </c>
      <c r="W47" s="731">
        <v>4</v>
      </c>
    </row>
    <row r="48" spans="1:23" ht="14.4" customHeight="1" x14ac:dyDescent="0.3">
      <c r="A48" s="784" t="s">
        <v>4824</v>
      </c>
      <c r="B48" s="716"/>
      <c r="C48" s="717"/>
      <c r="D48" s="718"/>
      <c r="E48" s="735">
        <v>1</v>
      </c>
      <c r="F48" s="719">
        <v>1.23</v>
      </c>
      <c r="G48" s="720">
        <v>1</v>
      </c>
      <c r="H48" s="721"/>
      <c r="I48" s="719"/>
      <c r="J48" s="720"/>
      <c r="K48" s="722">
        <v>4.6500000000000004</v>
      </c>
      <c r="L48" s="721">
        <v>5</v>
      </c>
      <c r="M48" s="721">
        <v>45</v>
      </c>
      <c r="N48" s="723">
        <v>15</v>
      </c>
      <c r="O48" s="721" t="s">
        <v>4745</v>
      </c>
      <c r="P48" s="736" t="s">
        <v>4825</v>
      </c>
      <c r="Q48" s="724">
        <f t="shared" si="0"/>
        <v>0</v>
      </c>
      <c r="R48" s="724">
        <f t="shared" si="0"/>
        <v>0</v>
      </c>
      <c r="S48" s="737" t="str">
        <f t="shared" si="1"/>
        <v/>
      </c>
      <c r="T48" s="737" t="str">
        <f t="shared" si="2"/>
        <v/>
      </c>
      <c r="U48" s="737" t="str">
        <f t="shared" si="3"/>
        <v/>
      </c>
      <c r="V48" s="738" t="str">
        <f t="shared" si="4"/>
        <v/>
      </c>
      <c r="W48" s="725"/>
    </row>
    <row r="49" spans="1:23" ht="14.4" customHeight="1" x14ac:dyDescent="0.3">
      <c r="A49" s="785" t="s">
        <v>4826</v>
      </c>
      <c r="B49" s="781">
        <v>2</v>
      </c>
      <c r="C49" s="782">
        <v>12.65</v>
      </c>
      <c r="D49" s="733">
        <v>8.5</v>
      </c>
      <c r="E49" s="771"/>
      <c r="F49" s="772"/>
      <c r="G49" s="729"/>
      <c r="H49" s="776">
        <v>1</v>
      </c>
      <c r="I49" s="772">
        <v>2.39</v>
      </c>
      <c r="J49" s="729">
        <v>2</v>
      </c>
      <c r="K49" s="775">
        <v>5.3</v>
      </c>
      <c r="L49" s="776">
        <v>5</v>
      </c>
      <c r="M49" s="776">
        <v>45</v>
      </c>
      <c r="N49" s="777">
        <v>15</v>
      </c>
      <c r="O49" s="776" t="s">
        <v>4745</v>
      </c>
      <c r="P49" s="778" t="s">
        <v>4827</v>
      </c>
      <c r="Q49" s="779">
        <f t="shared" si="0"/>
        <v>-1</v>
      </c>
      <c r="R49" s="779">
        <f t="shared" si="0"/>
        <v>-10.26</v>
      </c>
      <c r="S49" s="769">
        <f t="shared" si="1"/>
        <v>15</v>
      </c>
      <c r="T49" s="769">
        <f t="shared" si="2"/>
        <v>2</v>
      </c>
      <c r="U49" s="769">
        <f t="shared" si="3"/>
        <v>-13</v>
      </c>
      <c r="V49" s="780">
        <f t="shared" si="4"/>
        <v>0.13333333333333333</v>
      </c>
      <c r="W49" s="731"/>
    </row>
    <row r="50" spans="1:23" ht="14.4" customHeight="1" x14ac:dyDescent="0.3">
      <c r="A50" s="784" t="s">
        <v>4828</v>
      </c>
      <c r="B50" s="737"/>
      <c r="C50" s="739"/>
      <c r="D50" s="740"/>
      <c r="E50" s="726">
        <v>1</v>
      </c>
      <c r="F50" s="727">
        <v>1.64</v>
      </c>
      <c r="G50" s="728">
        <v>3</v>
      </c>
      <c r="H50" s="721"/>
      <c r="I50" s="719"/>
      <c r="J50" s="720"/>
      <c r="K50" s="722">
        <v>1.64</v>
      </c>
      <c r="L50" s="721">
        <v>3</v>
      </c>
      <c r="M50" s="721">
        <v>27</v>
      </c>
      <c r="N50" s="723">
        <v>9</v>
      </c>
      <c r="O50" s="721" t="s">
        <v>4745</v>
      </c>
      <c r="P50" s="736" t="s">
        <v>4829</v>
      </c>
      <c r="Q50" s="724">
        <f t="shared" si="0"/>
        <v>0</v>
      </c>
      <c r="R50" s="724">
        <f t="shared" si="0"/>
        <v>0</v>
      </c>
      <c r="S50" s="737" t="str">
        <f t="shared" si="1"/>
        <v/>
      </c>
      <c r="T50" s="737" t="str">
        <f t="shared" si="2"/>
        <v/>
      </c>
      <c r="U50" s="737" t="str">
        <f t="shared" si="3"/>
        <v/>
      </c>
      <c r="V50" s="738" t="str">
        <f t="shared" si="4"/>
        <v/>
      </c>
      <c r="W50" s="725"/>
    </row>
    <row r="51" spans="1:23" ht="14.4" customHeight="1" x14ac:dyDescent="0.3">
      <c r="A51" s="785" t="s">
        <v>4830</v>
      </c>
      <c r="B51" s="769">
        <v>1</v>
      </c>
      <c r="C51" s="770">
        <v>2.11</v>
      </c>
      <c r="D51" s="741">
        <v>2</v>
      </c>
      <c r="E51" s="773">
        <v>1</v>
      </c>
      <c r="F51" s="774">
        <v>1.97</v>
      </c>
      <c r="G51" s="730">
        <v>3</v>
      </c>
      <c r="H51" s="776">
        <v>1</v>
      </c>
      <c r="I51" s="772">
        <v>2.5499999999999998</v>
      </c>
      <c r="J51" s="729">
        <v>4</v>
      </c>
      <c r="K51" s="775">
        <v>2.5499999999999998</v>
      </c>
      <c r="L51" s="776">
        <v>4</v>
      </c>
      <c r="M51" s="776">
        <v>36</v>
      </c>
      <c r="N51" s="777">
        <v>12</v>
      </c>
      <c r="O51" s="776" t="s">
        <v>4745</v>
      </c>
      <c r="P51" s="778" t="s">
        <v>4831</v>
      </c>
      <c r="Q51" s="779">
        <f t="shared" si="0"/>
        <v>0</v>
      </c>
      <c r="R51" s="779">
        <f t="shared" si="0"/>
        <v>0.43999999999999995</v>
      </c>
      <c r="S51" s="769">
        <f t="shared" si="1"/>
        <v>12</v>
      </c>
      <c r="T51" s="769">
        <f t="shared" si="2"/>
        <v>4</v>
      </c>
      <c r="U51" s="769">
        <f t="shared" si="3"/>
        <v>-8</v>
      </c>
      <c r="V51" s="780">
        <f t="shared" si="4"/>
        <v>0.33333333333333331</v>
      </c>
      <c r="W51" s="731"/>
    </row>
    <row r="52" spans="1:23" ht="14.4" customHeight="1" x14ac:dyDescent="0.3">
      <c r="A52" s="785" t="s">
        <v>4832</v>
      </c>
      <c r="B52" s="769">
        <v>1</v>
      </c>
      <c r="C52" s="770">
        <v>4.4800000000000004</v>
      </c>
      <c r="D52" s="741">
        <v>44</v>
      </c>
      <c r="E52" s="773"/>
      <c r="F52" s="774"/>
      <c r="G52" s="730"/>
      <c r="H52" s="776"/>
      <c r="I52" s="772"/>
      <c r="J52" s="729"/>
      <c r="K52" s="775">
        <v>4.2</v>
      </c>
      <c r="L52" s="776">
        <v>5</v>
      </c>
      <c r="M52" s="776">
        <v>45</v>
      </c>
      <c r="N52" s="777">
        <v>15</v>
      </c>
      <c r="O52" s="776" t="s">
        <v>4745</v>
      </c>
      <c r="P52" s="778" t="s">
        <v>4833</v>
      </c>
      <c r="Q52" s="779">
        <f t="shared" si="0"/>
        <v>-1</v>
      </c>
      <c r="R52" s="779">
        <f t="shared" si="0"/>
        <v>-4.4800000000000004</v>
      </c>
      <c r="S52" s="769" t="str">
        <f t="shared" si="1"/>
        <v/>
      </c>
      <c r="T52" s="769" t="str">
        <f t="shared" si="2"/>
        <v/>
      </c>
      <c r="U52" s="769" t="str">
        <f t="shared" si="3"/>
        <v/>
      </c>
      <c r="V52" s="780" t="str">
        <f t="shared" si="4"/>
        <v/>
      </c>
      <c r="W52" s="731"/>
    </row>
    <row r="53" spans="1:23" ht="14.4" customHeight="1" x14ac:dyDescent="0.3">
      <c r="A53" s="784" t="s">
        <v>4834</v>
      </c>
      <c r="B53" s="737"/>
      <c r="C53" s="739"/>
      <c r="D53" s="740"/>
      <c r="E53" s="726">
        <v>1</v>
      </c>
      <c r="F53" s="727">
        <v>1.27</v>
      </c>
      <c r="G53" s="728">
        <v>5</v>
      </c>
      <c r="H53" s="721"/>
      <c r="I53" s="719"/>
      <c r="J53" s="720"/>
      <c r="K53" s="722">
        <v>1.27</v>
      </c>
      <c r="L53" s="721">
        <v>2</v>
      </c>
      <c r="M53" s="721">
        <v>21</v>
      </c>
      <c r="N53" s="723">
        <v>7</v>
      </c>
      <c r="O53" s="721" t="s">
        <v>4745</v>
      </c>
      <c r="P53" s="736" t="s">
        <v>4835</v>
      </c>
      <c r="Q53" s="724">
        <f t="shared" si="0"/>
        <v>0</v>
      </c>
      <c r="R53" s="724">
        <f t="shared" si="0"/>
        <v>0</v>
      </c>
      <c r="S53" s="737" t="str">
        <f t="shared" si="1"/>
        <v/>
      </c>
      <c r="T53" s="737" t="str">
        <f t="shared" si="2"/>
        <v/>
      </c>
      <c r="U53" s="737" t="str">
        <f t="shared" si="3"/>
        <v/>
      </c>
      <c r="V53" s="738" t="str">
        <f t="shared" si="4"/>
        <v/>
      </c>
      <c r="W53" s="725"/>
    </row>
    <row r="54" spans="1:23" ht="14.4" customHeight="1" x14ac:dyDescent="0.3">
      <c r="A54" s="784" t="s">
        <v>4836</v>
      </c>
      <c r="B54" s="737"/>
      <c r="C54" s="739"/>
      <c r="D54" s="740"/>
      <c r="E54" s="726">
        <v>1</v>
      </c>
      <c r="F54" s="727">
        <v>1.5</v>
      </c>
      <c r="G54" s="728">
        <v>5</v>
      </c>
      <c r="H54" s="721"/>
      <c r="I54" s="719"/>
      <c r="J54" s="720"/>
      <c r="K54" s="722">
        <v>1.5</v>
      </c>
      <c r="L54" s="721">
        <v>3</v>
      </c>
      <c r="M54" s="721">
        <v>27</v>
      </c>
      <c r="N54" s="723">
        <v>9</v>
      </c>
      <c r="O54" s="721" t="s">
        <v>4745</v>
      </c>
      <c r="P54" s="736" t="s">
        <v>4837</v>
      </c>
      <c r="Q54" s="724">
        <f t="shared" si="0"/>
        <v>0</v>
      </c>
      <c r="R54" s="724">
        <f t="shared" si="0"/>
        <v>0</v>
      </c>
      <c r="S54" s="737" t="str">
        <f t="shared" si="1"/>
        <v/>
      </c>
      <c r="T54" s="737" t="str">
        <f t="shared" si="2"/>
        <v/>
      </c>
      <c r="U54" s="737" t="str">
        <f t="shared" si="3"/>
        <v/>
      </c>
      <c r="V54" s="738" t="str">
        <f t="shared" si="4"/>
        <v/>
      </c>
      <c r="W54" s="725"/>
    </row>
    <row r="55" spans="1:23" ht="14.4" customHeight="1" x14ac:dyDescent="0.3">
      <c r="A55" s="784" t="s">
        <v>4838</v>
      </c>
      <c r="B55" s="716">
        <v>1</v>
      </c>
      <c r="C55" s="717">
        <v>2.56</v>
      </c>
      <c r="D55" s="718">
        <v>17</v>
      </c>
      <c r="E55" s="735"/>
      <c r="F55" s="719"/>
      <c r="G55" s="720"/>
      <c r="H55" s="721"/>
      <c r="I55" s="719"/>
      <c r="J55" s="720"/>
      <c r="K55" s="722">
        <v>1.72</v>
      </c>
      <c r="L55" s="721">
        <v>3</v>
      </c>
      <c r="M55" s="721">
        <v>27</v>
      </c>
      <c r="N55" s="723">
        <v>9</v>
      </c>
      <c r="O55" s="721" t="s">
        <v>4745</v>
      </c>
      <c r="P55" s="736" t="s">
        <v>4839</v>
      </c>
      <c r="Q55" s="724">
        <f t="shared" si="0"/>
        <v>-1</v>
      </c>
      <c r="R55" s="724">
        <f t="shared" si="0"/>
        <v>-2.56</v>
      </c>
      <c r="S55" s="737" t="str">
        <f t="shared" si="1"/>
        <v/>
      </c>
      <c r="T55" s="737" t="str">
        <f t="shared" si="2"/>
        <v/>
      </c>
      <c r="U55" s="737" t="str">
        <f t="shared" si="3"/>
        <v/>
      </c>
      <c r="V55" s="738" t="str">
        <f t="shared" si="4"/>
        <v/>
      </c>
      <c r="W55" s="725"/>
    </row>
    <row r="56" spans="1:23" ht="14.4" customHeight="1" x14ac:dyDescent="0.3">
      <c r="A56" s="785" t="s">
        <v>4840</v>
      </c>
      <c r="B56" s="781">
        <v>3</v>
      </c>
      <c r="C56" s="782">
        <v>11.87</v>
      </c>
      <c r="D56" s="733">
        <v>4.7</v>
      </c>
      <c r="E56" s="771"/>
      <c r="F56" s="772"/>
      <c r="G56" s="729"/>
      <c r="H56" s="776">
        <v>2</v>
      </c>
      <c r="I56" s="772">
        <v>4.0199999999999996</v>
      </c>
      <c r="J56" s="729">
        <v>2</v>
      </c>
      <c r="K56" s="775">
        <v>3.18</v>
      </c>
      <c r="L56" s="776">
        <v>4</v>
      </c>
      <c r="M56" s="776">
        <v>39</v>
      </c>
      <c r="N56" s="777">
        <v>13</v>
      </c>
      <c r="O56" s="776" t="s">
        <v>4745</v>
      </c>
      <c r="P56" s="778" t="s">
        <v>4839</v>
      </c>
      <c r="Q56" s="779">
        <f t="shared" si="0"/>
        <v>-1</v>
      </c>
      <c r="R56" s="779">
        <f t="shared" si="0"/>
        <v>-7.85</v>
      </c>
      <c r="S56" s="769">
        <f t="shared" si="1"/>
        <v>26</v>
      </c>
      <c r="T56" s="769">
        <f t="shared" si="2"/>
        <v>4</v>
      </c>
      <c r="U56" s="769">
        <f t="shared" si="3"/>
        <v>-22</v>
      </c>
      <c r="V56" s="780">
        <f t="shared" si="4"/>
        <v>0.15384615384615385</v>
      </c>
      <c r="W56" s="731"/>
    </row>
    <row r="57" spans="1:23" ht="14.4" customHeight="1" x14ac:dyDescent="0.3">
      <c r="A57" s="784" t="s">
        <v>4841</v>
      </c>
      <c r="B57" s="737"/>
      <c r="C57" s="739"/>
      <c r="D57" s="740"/>
      <c r="E57" s="735"/>
      <c r="F57" s="719"/>
      <c r="G57" s="720"/>
      <c r="H57" s="726">
        <v>1</v>
      </c>
      <c r="I57" s="727">
        <v>2.52</v>
      </c>
      <c r="J57" s="728">
        <v>2</v>
      </c>
      <c r="K57" s="722">
        <v>0.59</v>
      </c>
      <c r="L57" s="721">
        <v>2</v>
      </c>
      <c r="M57" s="721">
        <v>21</v>
      </c>
      <c r="N57" s="723">
        <v>7</v>
      </c>
      <c r="O57" s="721" t="s">
        <v>4745</v>
      </c>
      <c r="P57" s="736" t="s">
        <v>4842</v>
      </c>
      <c r="Q57" s="724">
        <f t="shared" si="0"/>
        <v>1</v>
      </c>
      <c r="R57" s="724">
        <f t="shared" si="0"/>
        <v>2.52</v>
      </c>
      <c r="S57" s="737">
        <f t="shared" si="1"/>
        <v>7</v>
      </c>
      <c r="T57" s="737">
        <f t="shared" si="2"/>
        <v>2</v>
      </c>
      <c r="U57" s="737">
        <f t="shared" si="3"/>
        <v>-5</v>
      </c>
      <c r="V57" s="738">
        <f t="shared" si="4"/>
        <v>0.2857142857142857</v>
      </c>
      <c r="W57" s="725"/>
    </row>
    <row r="58" spans="1:23" ht="14.4" customHeight="1" x14ac:dyDescent="0.3">
      <c r="A58" s="784" t="s">
        <v>4843</v>
      </c>
      <c r="B58" s="737"/>
      <c r="C58" s="739"/>
      <c r="D58" s="740"/>
      <c r="E58" s="735"/>
      <c r="F58" s="719"/>
      <c r="G58" s="720"/>
      <c r="H58" s="726">
        <v>1</v>
      </c>
      <c r="I58" s="727">
        <v>0.32</v>
      </c>
      <c r="J58" s="728">
        <v>1</v>
      </c>
      <c r="K58" s="722">
        <v>0.6</v>
      </c>
      <c r="L58" s="721">
        <v>2</v>
      </c>
      <c r="M58" s="721">
        <v>18</v>
      </c>
      <c r="N58" s="723">
        <v>6</v>
      </c>
      <c r="O58" s="721" t="s">
        <v>4745</v>
      </c>
      <c r="P58" s="736" t="s">
        <v>4844</v>
      </c>
      <c r="Q58" s="724">
        <f t="shared" si="0"/>
        <v>1</v>
      </c>
      <c r="R58" s="724">
        <f t="shared" si="0"/>
        <v>0.32</v>
      </c>
      <c r="S58" s="737">
        <f t="shared" si="1"/>
        <v>6</v>
      </c>
      <c r="T58" s="737">
        <f t="shared" si="2"/>
        <v>1</v>
      </c>
      <c r="U58" s="737">
        <f t="shared" si="3"/>
        <v>-5</v>
      </c>
      <c r="V58" s="738">
        <f t="shared" si="4"/>
        <v>0.16666666666666666</v>
      </c>
      <c r="W58" s="725"/>
    </row>
    <row r="59" spans="1:23" ht="14.4" customHeight="1" x14ac:dyDescent="0.3">
      <c r="A59" s="784" t="s">
        <v>4845</v>
      </c>
      <c r="B59" s="716">
        <v>1</v>
      </c>
      <c r="C59" s="717">
        <v>0.57999999999999996</v>
      </c>
      <c r="D59" s="718">
        <v>4</v>
      </c>
      <c r="E59" s="735"/>
      <c r="F59" s="719"/>
      <c r="G59" s="720"/>
      <c r="H59" s="721"/>
      <c r="I59" s="719"/>
      <c r="J59" s="720"/>
      <c r="K59" s="722">
        <v>0.57999999999999996</v>
      </c>
      <c r="L59" s="721">
        <v>2</v>
      </c>
      <c r="M59" s="721">
        <v>21</v>
      </c>
      <c r="N59" s="723">
        <v>7</v>
      </c>
      <c r="O59" s="721" t="s">
        <v>4745</v>
      </c>
      <c r="P59" s="736" t="s">
        <v>4846</v>
      </c>
      <c r="Q59" s="724">
        <f t="shared" si="0"/>
        <v>-1</v>
      </c>
      <c r="R59" s="724">
        <f t="shared" si="0"/>
        <v>-0.57999999999999996</v>
      </c>
      <c r="S59" s="737" t="str">
        <f t="shared" si="1"/>
        <v/>
      </c>
      <c r="T59" s="737" t="str">
        <f t="shared" si="2"/>
        <v/>
      </c>
      <c r="U59" s="737" t="str">
        <f t="shared" si="3"/>
        <v/>
      </c>
      <c r="V59" s="738" t="str">
        <f t="shared" si="4"/>
        <v/>
      </c>
      <c r="W59" s="725"/>
    </row>
    <row r="60" spans="1:23" ht="14.4" customHeight="1" x14ac:dyDescent="0.3">
      <c r="A60" s="784" t="s">
        <v>4847</v>
      </c>
      <c r="B60" s="737"/>
      <c r="C60" s="739"/>
      <c r="D60" s="740"/>
      <c r="E60" s="735"/>
      <c r="F60" s="719"/>
      <c r="G60" s="720"/>
      <c r="H60" s="726">
        <v>1</v>
      </c>
      <c r="I60" s="727">
        <v>1.6</v>
      </c>
      <c r="J60" s="728">
        <v>8</v>
      </c>
      <c r="K60" s="722">
        <v>1.43</v>
      </c>
      <c r="L60" s="721">
        <v>3</v>
      </c>
      <c r="M60" s="721">
        <v>30</v>
      </c>
      <c r="N60" s="723">
        <v>10</v>
      </c>
      <c r="O60" s="721" t="s">
        <v>4745</v>
      </c>
      <c r="P60" s="736" t="s">
        <v>4848</v>
      </c>
      <c r="Q60" s="724">
        <f t="shared" si="0"/>
        <v>1</v>
      </c>
      <c r="R60" s="724">
        <f t="shared" si="0"/>
        <v>1.6</v>
      </c>
      <c r="S60" s="737">
        <f t="shared" si="1"/>
        <v>10</v>
      </c>
      <c r="T60" s="737">
        <f t="shared" si="2"/>
        <v>8</v>
      </c>
      <c r="U60" s="737">
        <f t="shared" si="3"/>
        <v>-2</v>
      </c>
      <c r="V60" s="738">
        <f t="shared" si="4"/>
        <v>0.8</v>
      </c>
      <c r="W60" s="725"/>
    </row>
    <row r="61" spans="1:23" ht="14.4" customHeight="1" x14ac:dyDescent="0.3">
      <c r="A61" s="784" t="s">
        <v>4849</v>
      </c>
      <c r="B61" s="737"/>
      <c r="C61" s="739"/>
      <c r="D61" s="740"/>
      <c r="E61" s="735"/>
      <c r="F61" s="719"/>
      <c r="G61" s="720"/>
      <c r="H61" s="726">
        <v>1</v>
      </c>
      <c r="I61" s="727">
        <v>5.26</v>
      </c>
      <c r="J61" s="732">
        <v>22</v>
      </c>
      <c r="K61" s="722">
        <v>0.31</v>
      </c>
      <c r="L61" s="721">
        <v>1</v>
      </c>
      <c r="M61" s="721">
        <v>12</v>
      </c>
      <c r="N61" s="723">
        <v>4</v>
      </c>
      <c r="O61" s="721" t="s">
        <v>4745</v>
      </c>
      <c r="P61" s="736" t="s">
        <v>4850</v>
      </c>
      <c r="Q61" s="724">
        <f t="shared" si="0"/>
        <v>1</v>
      </c>
      <c r="R61" s="724">
        <f t="shared" si="0"/>
        <v>5.26</v>
      </c>
      <c r="S61" s="737">
        <f t="shared" si="1"/>
        <v>4</v>
      </c>
      <c r="T61" s="737">
        <f t="shared" si="2"/>
        <v>22</v>
      </c>
      <c r="U61" s="737">
        <f t="shared" si="3"/>
        <v>18</v>
      </c>
      <c r="V61" s="738">
        <f t="shared" si="4"/>
        <v>5.5</v>
      </c>
      <c r="W61" s="725">
        <v>18</v>
      </c>
    </row>
    <row r="62" spans="1:23" ht="14.4" customHeight="1" x14ac:dyDescent="0.3">
      <c r="A62" s="785" t="s">
        <v>4851</v>
      </c>
      <c r="B62" s="769">
        <v>1</v>
      </c>
      <c r="C62" s="770">
        <v>0.86</v>
      </c>
      <c r="D62" s="741">
        <v>2</v>
      </c>
      <c r="E62" s="771"/>
      <c r="F62" s="772"/>
      <c r="G62" s="729"/>
      <c r="H62" s="773"/>
      <c r="I62" s="774"/>
      <c r="J62" s="730"/>
      <c r="K62" s="775">
        <v>0.46</v>
      </c>
      <c r="L62" s="776">
        <v>2</v>
      </c>
      <c r="M62" s="776">
        <v>15</v>
      </c>
      <c r="N62" s="777">
        <v>5</v>
      </c>
      <c r="O62" s="776" t="s">
        <v>4745</v>
      </c>
      <c r="P62" s="778" t="s">
        <v>4852</v>
      </c>
      <c r="Q62" s="779">
        <f t="shared" si="0"/>
        <v>-1</v>
      </c>
      <c r="R62" s="779">
        <f t="shared" si="0"/>
        <v>-0.86</v>
      </c>
      <c r="S62" s="769" t="str">
        <f t="shared" si="1"/>
        <v/>
      </c>
      <c r="T62" s="769" t="str">
        <f t="shared" si="2"/>
        <v/>
      </c>
      <c r="U62" s="769" t="str">
        <f t="shared" si="3"/>
        <v/>
      </c>
      <c r="V62" s="780" t="str">
        <f t="shared" si="4"/>
        <v/>
      </c>
      <c r="W62" s="731"/>
    </row>
    <row r="63" spans="1:23" ht="14.4" customHeight="1" x14ac:dyDescent="0.3">
      <c r="A63" s="785" t="s">
        <v>4853</v>
      </c>
      <c r="B63" s="769">
        <v>1</v>
      </c>
      <c r="C63" s="770">
        <v>0.7</v>
      </c>
      <c r="D63" s="741">
        <v>2</v>
      </c>
      <c r="E63" s="771"/>
      <c r="F63" s="772"/>
      <c r="G63" s="729"/>
      <c r="H63" s="773">
        <v>2</v>
      </c>
      <c r="I63" s="774">
        <v>2.59</v>
      </c>
      <c r="J63" s="730">
        <v>1.5</v>
      </c>
      <c r="K63" s="775">
        <v>0.86</v>
      </c>
      <c r="L63" s="776">
        <v>3</v>
      </c>
      <c r="M63" s="776">
        <v>27</v>
      </c>
      <c r="N63" s="777">
        <v>9</v>
      </c>
      <c r="O63" s="776" t="s">
        <v>4745</v>
      </c>
      <c r="P63" s="778" t="s">
        <v>4854</v>
      </c>
      <c r="Q63" s="779">
        <f t="shared" si="0"/>
        <v>1</v>
      </c>
      <c r="R63" s="779">
        <f t="shared" si="0"/>
        <v>1.89</v>
      </c>
      <c r="S63" s="769">
        <f t="shared" si="1"/>
        <v>18</v>
      </c>
      <c r="T63" s="769">
        <f t="shared" si="2"/>
        <v>3</v>
      </c>
      <c r="U63" s="769">
        <f t="shared" si="3"/>
        <v>-15</v>
      </c>
      <c r="V63" s="780">
        <f t="shared" si="4"/>
        <v>0.16666666666666666</v>
      </c>
      <c r="W63" s="731"/>
    </row>
    <row r="64" spans="1:23" ht="14.4" customHeight="1" x14ac:dyDescent="0.3">
      <c r="A64" s="784" t="s">
        <v>4855</v>
      </c>
      <c r="B64" s="716">
        <v>1</v>
      </c>
      <c r="C64" s="717">
        <v>2.08</v>
      </c>
      <c r="D64" s="718">
        <v>5</v>
      </c>
      <c r="E64" s="735"/>
      <c r="F64" s="719"/>
      <c r="G64" s="720"/>
      <c r="H64" s="721"/>
      <c r="I64" s="719"/>
      <c r="J64" s="720"/>
      <c r="K64" s="722">
        <v>2.08</v>
      </c>
      <c r="L64" s="721">
        <v>4</v>
      </c>
      <c r="M64" s="721">
        <v>39</v>
      </c>
      <c r="N64" s="723">
        <v>13</v>
      </c>
      <c r="O64" s="721" t="s">
        <v>4745</v>
      </c>
      <c r="P64" s="736" t="s">
        <v>4856</v>
      </c>
      <c r="Q64" s="724">
        <f t="shared" si="0"/>
        <v>-1</v>
      </c>
      <c r="R64" s="724">
        <f t="shared" si="0"/>
        <v>-2.08</v>
      </c>
      <c r="S64" s="737" t="str">
        <f t="shared" si="1"/>
        <v/>
      </c>
      <c r="T64" s="737" t="str">
        <f t="shared" si="2"/>
        <v/>
      </c>
      <c r="U64" s="737" t="str">
        <f t="shared" si="3"/>
        <v/>
      </c>
      <c r="V64" s="738" t="str">
        <f t="shared" si="4"/>
        <v/>
      </c>
      <c r="W64" s="725"/>
    </row>
    <row r="65" spans="1:23" ht="14.4" customHeight="1" x14ac:dyDescent="0.3">
      <c r="A65" s="784" t="s">
        <v>4857</v>
      </c>
      <c r="B65" s="737"/>
      <c r="C65" s="739"/>
      <c r="D65" s="740"/>
      <c r="E65" s="735"/>
      <c r="F65" s="719"/>
      <c r="G65" s="720"/>
      <c r="H65" s="726">
        <v>1</v>
      </c>
      <c r="I65" s="727">
        <v>1.28</v>
      </c>
      <c r="J65" s="728">
        <v>2</v>
      </c>
      <c r="K65" s="722">
        <v>1.06</v>
      </c>
      <c r="L65" s="721">
        <v>4</v>
      </c>
      <c r="M65" s="721">
        <v>33</v>
      </c>
      <c r="N65" s="723">
        <v>11</v>
      </c>
      <c r="O65" s="721" t="s">
        <v>4745</v>
      </c>
      <c r="P65" s="736" t="s">
        <v>4858</v>
      </c>
      <c r="Q65" s="724">
        <f t="shared" si="0"/>
        <v>1</v>
      </c>
      <c r="R65" s="724">
        <f t="shared" si="0"/>
        <v>1.28</v>
      </c>
      <c r="S65" s="737">
        <f t="shared" si="1"/>
        <v>11</v>
      </c>
      <c r="T65" s="737">
        <f t="shared" si="2"/>
        <v>2</v>
      </c>
      <c r="U65" s="737">
        <f t="shared" si="3"/>
        <v>-9</v>
      </c>
      <c r="V65" s="738">
        <f t="shared" si="4"/>
        <v>0.18181818181818182</v>
      </c>
      <c r="W65" s="725"/>
    </row>
    <row r="66" spans="1:23" ht="14.4" customHeight="1" x14ac:dyDescent="0.3">
      <c r="A66" s="784" t="s">
        <v>4859</v>
      </c>
      <c r="B66" s="716">
        <v>1</v>
      </c>
      <c r="C66" s="717">
        <v>0.64</v>
      </c>
      <c r="D66" s="718">
        <v>2</v>
      </c>
      <c r="E66" s="735"/>
      <c r="F66" s="719"/>
      <c r="G66" s="720"/>
      <c r="H66" s="721"/>
      <c r="I66" s="719"/>
      <c r="J66" s="720"/>
      <c r="K66" s="722">
        <v>0.63</v>
      </c>
      <c r="L66" s="721">
        <v>2</v>
      </c>
      <c r="M66" s="721">
        <v>21</v>
      </c>
      <c r="N66" s="723">
        <v>7</v>
      </c>
      <c r="O66" s="721" t="s">
        <v>4745</v>
      </c>
      <c r="P66" s="736" t="s">
        <v>4860</v>
      </c>
      <c r="Q66" s="724">
        <f t="shared" si="0"/>
        <v>-1</v>
      </c>
      <c r="R66" s="724">
        <f t="shared" si="0"/>
        <v>-0.64</v>
      </c>
      <c r="S66" s="737" t="str">
        <f t="shared" si="1"/>
        <v/>
      </c>
      <c r="T66" s="737" t="str">
        <f t="shared" si="2"/>
        <v/>
      </c>
      <c r="U66" s="737" t="str">
        <f t="shared" si="3"/>
        <v/>
      </c>
      <c r="V66" s="738" t="str">
        <f t="shared" si="4"/>
        <v/>
      </c>
      <c r="W66" s="725"/>
    </row>
    <row r="67" spans="1:23" ht="14.4" customHeight="1" x14ac:dyDescent="0.3">
      <c r="A67" s="784" t="s">
        <v>4861</v>
      </c>
      <c r="B67" s="737"/>
      <c r="C67" s="739"/>
      <c r="D67" s="740"/>
      <c r="E67" s="726">
        <v>1</v>
      </c>
      <c r="F67" s="727">
        <v>0.81</v>
      </c>
      <c r="G67" s="728">
        <v>3</v>
      </c>
      <c r="H67" s="721"/>
      <c r="I67" s="719"/>
      <c r="J67" s="720"/>
      <c r="K67" s="722">
        <v>1.06</v>
      </c>
      <c r="L67" s="721">
        <v>4</v>
      </c>
      <c r="M67" s="721">
        <v>33</v>
      </c>
      <c r="N67" s="723">
        <v>11</v>
      </c>
      <c r="O67" s="721" t="s">
        <v>4745</v>
      </c>
      <c r="P67" s="736" t="s">
        <v>4862</v>
      </c>
      <c r="Q67" s="724">
        <f t="shared" si="0"/>
        <v>0</v>
      </c>
      <c r="R67" s="724">
        <f t="shared" si="0"/>
        <v>0</v>
      </c>
      <c r="S67" s="737" t="str">
        <f t="shared" si="1"/>
        <v/>
      </c>
      <c r="T67" s="737" t="str">
        <f t="shared" si="2"/>
        <v/>
      </c>
      <c r="U67" s="737" t="str">
        <f t="shared" si="3"/>
        <v/>
      </c>
      <c r="V67" s="738" t="str">
        <f t="shared" si="4"/>
        <v/>
      </c>
      <c r="W67" s="725"/>
    </row>
    <row r="68" spans="1:23" ht="14.4" customHeight="1" x14ac:dyDescent="0.3">
      <c r="A68" s="784" t="s">
        <v>4863</v>
      </c>
      <c r="B68" s="737">
        <v>1</v>
      </c>
      <c r="C68" s="739">
        <v>3.71</v>
      </c>
      <c r="D68" s="740">
        <v>10</v>
      </c>
      <c r="E68" s="726">
        <v>1</v>
      </c>
      <c r="F68" s="727">
        <v>3.71</v>
      </c>
      <c r="G68" s="728">
        <v>8</v>
      </c>
      <c r="H68" s="721"/>
      <c r="I68" s="719"/>
      <c r="J68" s="720"/>
      <c r="K68" s="722">
        <v>3.71</v>
      </c>
      <c r="L68" s="721">
        <v>5</v>
      </c>
      <c r="M68" s="721">
        <v>45</v>
      </c>
      <c r="N68" s="723">
        <v>15</v>
      </c>
      <c r="O68" s="721" t="s">
        <v>3592</v>
      </c>
      <c r="P68" s="736" t="s">
        <v>4864</v>
      </c>
      <c r="Q68" s="724">
        <f t="shared" si="0"/>
        <v>-1</v>
      </c>
      <c r="R68" s="724">
        <f t="shared" si="0"/>
        <v>-3.71</v>
      </c>
      <c r="S68" s="737" t="str">
        <f t="shared" si="1"/>
        <v/>
      </c>
      <c r="T68" s="737" t="str">
        <f t="shared" si="2"/>
        <v/>
      </c>
      <c r="U68" s="737" t="str">
        <f t="shared" si="3"/>
        <v/>
      </c>
      <c r="V68" s="738" t="str">
        <f t="shared" si="4"/>
        <v/>
      </c>
      <c r="W68" s="725"/>
    </row>
    <row r="69" spans="1:23" ht="14.4" customHeight="1" x14ac:dyDescent="0.3">
      <c r="A69" s="784" t="s">
        <v>4865</v>
      </c>
      <c r="B69" s="737">
        <v>1</v>
      </c>
      <c r="C69" s="739">
        <v>2.5</v>
      </c>
      <c r="D69" s="740">
        <v>5</v>
      </c>
      <c r="E69" s="726">
        <v>1</v>
      </c>
      <c r="F69" s="727">
        <v>2.08</v>
      </c>
      <c r="G69" s="728">
        <v>4</v>
      </c>
      <c r="H69" s="721"/>
      <c r="I69" s="719"/>
      <c r="J69" s="720"/>
      <c r="K69" s="722">
        <v>4.1900000000000004</v>
      </c>
      <c r="L69" s="721">
        <v>9</v>
      </c>
      <c r="M69" s="721">
        <v>78</v>
      </c>
      <c r="N69" s="723">
        <v>26</v>
      </c>
      <c r="O69" s="721" t="s">
        <v>4745</v>
      </c>
      <c r="P69" s="736" t="s">
        <v>4866</v>
      </c>
      <c r="Q69" s="724">
        <f t="shared" si="0"/>
        <v>-1</v>
      </c>
      <c r="R69" s="724">
        <f t="shared" si="0"/>
        <v>-2.5</v>
      </c>
      <c r="S69" s="737" t="str">
        <f t="shared" si="1"/>
        <v/>
      </c>
      <c r="T69" s="737" t="str">
        <f t="shared" si="2"/>
        <v/>
      </c>
      <c r="U69" s="737" t="str">
        <f t="shared" si="3"/>
        <v/>
      </c>
      <c r="V69" s="738" t="str">
        <f t="shared" si="4"/>
        <v/>
      </c>
      <c r="W69" s="725"/>
    </row>
    <row r="70" spans="1:23" ht="14.4" customHeight="1" x14ac:dyDescent="0.3">
      <c r="A70" s="784" t="s">
        <v>4867</v>
      </c>
      <c r="B70" s="737">
        <v>1</v>
      </c>
      <c r="C70" s="739">
        <v>2.54</v>
      </c>
      <c r="D70" s="740">
        <v>4</v>
      </c>
      <c r="E70" s="726">
        <v>1</v>
      </c>
      <c r="F70" s="727">
        <v>2.38</v>
      </c>
      <c r="G70" s="728">
        <v>6</v>
      </c>
      <c r="H70" s="721">
        <v>1</v>
      </c>
      <c r="I70" s="719">
        <v>1.41</v>
      </c>
      <c r="J70" s="720">
        <v>2</v>
      </c>
      <c r="K70" s="722">
        <v>2.38</v>
      </c>
      <c r="L70" s="721">
        <v>4</v>
      </c>
      <c r="M70" s="721">
        <v>33</v>
      </c>
      <c r="N70" s="723">
        <v>11</v>
      </c>
      <c r="O70" s="721" t="s">
        <v>4745</v>
      </c>
      <c r="P70" s="736" t="s">
        <v>4868</v>
      </c>
      <c r="Q70" s="724">
        <f t="shared" ref="Q70:R114" si="5">H70-B70</f>
        <v>0</v>
      </c>
      <c r="R70" s="724">
        <f t="shared" si="5"/>
        <v>-1.1300000000000001</v>
      </c>
      <c r="S70" s="737">
        <f t="shared" ref="S70:S114" si="6">IF(H70=0,"",H70*N70)</f>
        <v>11</v>
      </c>
      <c r="T70" s="737">
        <f t="shared" ref="T70:T114" si="7">IF(H70=0,"",H70*J70)</f>
        <v>2</v>
      </c>
      <c r="U70" s="737">
        <f t="shared" ref="U70:U114" si="8">IF(H70=0,"",T70-S70)</f>
        <v>-9</v>
      </c>
      <c r="V70" s="738">
        <f t="shared" ref="V70:V114" si="9">IF(H70=0,"",T70/S70)</f>
        <v>0.18181818181818182</v>
      </c>
      <c r="W70" s="725"/>
    </row>
    <row r="71" spans="1:23" ht="14.4" customHeight="1" x14ac:dyDescent="0.3">
      <c r="A71" s="785" t="s">
        <v>4869</v>
      </c>
      <c r="B71" s="769"/>
      <c r="C71" s="770"/>
      <c r="D71" s="741"/>
      <c r="E71" s="773">
        <v>1</v>
      </c>
      <c r="F71" s="774">
        <v>3</v>
      </c>
      <c r="G71" s="730">
        <v>6</v>
      </c>
      <c r="H71" s="776"/>
      <c r="I71" s="772"/>
      <c r="J71" s="729"/>
      <c r="K71" s="775">
        <v>2.76</v>
      </c>
      <c r="L71" s="776">
        <v>4</v>
      </c>
      <c r="M71" s="776">
        <v>39</v>
      </c>
      <c r="N71" s="777">
        <v>13</v>
      </c>
      <c r="O71" s="776" t="s">
        <v>4745</v>
      </c>
      <c r="P71" s="778" t="s">
        <v>4868</v>
      </c>
      <c r="Q71" s="779">
        <f t="shared" si="5"/>
        <v>0</v>
      </c>
      <c r="R71" s="779">
        <f t="shared" si="5"/>
        <v>0</v>
      </c>
      <c r="S71" s="769" t="str">
        <f t="shared" si="6"/>
        <v/>
      </c>
      <c r="T71" s="769" t="str">
        <f t="shared" si="7"/>
        <v/>
      </c>
      <c r="U71" s="769" t="str">
        <f t="shared" si="8"/>
        <v/>
      </c>
      <c r="V71" s="780" t="str">
        <f t="shared" si="9"/>
        <v/>
      </c>
      <c r="W71" s="731"/>
    </row>
    <row r="72" spans="1:23" ht="14.4" customHeight="1" x14ac:dyDescent="0.3">
      <c r="A72" s="784" t="s">
        <v>4870</v>
      </c>
      <c r="B72" s="716">
        <v>1</v>
      </c>
      <c r="C72" s="717">
        <v>6.54</v>
      </c>
      <c r="D72" s="718">
        <v>18</v>
      </c>
      <c r="E72" s="735"/>
      <c r="F72" s="719"/>
      <c r="G72" s="720"/>
      <c r="H72" s="721"/>
      <c r="I72" s="719"/>
      <c r="J72" s="720"/>
      <c r="K72" s="722">
        <v>1.97</v>
      </c>
      <c r="L72" s="721">
        <v>3</v>
      </c>
      <c r="M72" s="721">
        <v>27</v>
      </c>
      <c r="N72" s="723">
        <v>9</v>
      </c>
      <c r="O72" s="721" t="s">
        <v>4745</v>
      </c>
      <c r="P72" s="736" t="s">
        <v>4871</v>
      </c>
      <c r="Q72" s="724">
        <f t="shared" si="5"/>
        <v>-1</v>
      </c>
      <c r="R72" s="724">
        <f t="shared" si="5"/>
        <v>-6.54</v>
      </c>
      <c r="S72" s="737" t="str">
        <f t="shared" si="6"/>
        <v/>
      </c>
      <c r="T72" s="737" t="str">
        <f t="shared" si="7"/>
        <v/>
      </c>
      <c r="U72" s="737" t="str">
        <f t="shared" si="8"/>
        <v/>
      </c>
      <c r="V72" s="738" t="str">
        <f t="shared" si="9"/>
        <v/>
      </c>
      <c r="W72" s="725"/>
    </row>
    <row r="73" spans="1:23" ht="14.4" customHeight="1" x14ac:dyDescent="0.3">
      <c r="A73" s="784" t="s">
        <v>4872</v>
      </c>
      <c r="B73" s="737">
        <v>1</v>
      </c>
      <c r="C73" s="739">
        <v>2.37</v>
      </c>
      <c r="D73" s="740">
        <v>28</v>
      </c>
      <c r="E73" s="735"/>
      <c r="F73" s="719"/>
      <c r="G73" s="720"/>
      <c r="H73" s="726">
        <v>1</v>
      </c>
      <c r="I73" s="727">
        <v>2.37</v>
      </c>
      <c r="J73" s="728">
        <v>9</v>
      </c>
      <c r="K73" s="722">
        <v>2.37</v>
      </c>
      <c r="L73" s="721">
        <v>4</v>
      </c>
      <c r="M73" s="721">
        <v>39</v>
      </c>
      <c r="N73" s="723">
        <v>13</v>
      </c>
      <c r="O73" s="721" t="s">
        <v>4745</v>
      </c>
      <c r="P73" s="736" t="s">
        <v>4873</v>
      </c>
      <c r="Q73" s="724">
        <f t="shared" si="5"/>
        <v>0</v>
      </c>
      <c r="R73" s="724">
        <f t="shared" si="5"/>
        <v>0</v>
      </c>
      <c r="S73" s="737">
        <f t="shared" si="6"/>
        <v>13</v>
      </c>
      <c r="T73" s="737">
        <f t="shared" si="7"/>
        <v>9</v>
      </c>
      <c r="U73" s="737">
        <f t="shared" si="8"/>
        <v>-4</v>
      </c>
      <c r="V73" s="738">
        <f t="shared" si="9"/>
        <v>0.69230769230769229</v>
      </c>
      <c r="W73" s="725"/>
    </row>
    <row r="74" spans="1:23" ht="14.4" customHeight="1" x14ac:dyDescent="0.3">
      <c r="A74" s="784" t="s">
        <v>4874</v>
      </c>
      <c r="B74" s="737"/>
      <c r="C74" s="739"/>
      <c r="D74" s="740"/>
      <c r="E74" s="735"/>
      <c r="F74" s="719"/>
      <c r="G74" s="720"/>
      <c r="H74" s="726">
        <v>1</v>
      </c>
      <c r="I74" s="727">
        <v>1.37</v>
      </c>
      <c r="J74" s="728">
        <v>3</v>
      </c>
      <c r="K74" s="722">
        <v>1.37</v>
      </c>
      <c r="L74" s="721">
        <v>2</v>
      </c>
      <c r="M74" s="721">
        <v>21</v>
      </c>
      <c r="N74" s="723">
        <v>7</v>
      </c>
      <c r="O74" s="721" t="s">
        <v>4745</v>
      </c>
      <c r="P74" s="736" t="s">
        <v>4875</v>
      </c>
      <c r="Q74" s="724">
        <f t="shared" si="5"/>
        <v>1</v>
      </c>
      <c r="R74" s="724">
        <f t="shared" si="5"/>
        <v>1.37</v>
      </c>
      <c r="S74" s="737">
        <f t="shared" si="6"/>
        <v>7</v>
      </c>
      <c r="T74" s="737">
        <f t="shared" si="7"/>
        <v>3</v>
      </c>
      <c r="U74" s="737">
        <f t="shared" si="8"/>
        <v>-4</v>
      </c>
      <c r="V74" s="738">
        <f t="shared" si="9"/>
        <v>0.42857142857142855</v>
      </c>
      <c r="W74" s="725"/>
    </row>
    <row r="75" spans="1:23" ht="14.4" customHeight="1" x14ac:dyDescent="0.3">
      <c r="A75" s="784" t="s">
        <v>4876</v>
      </c>
      <c r="B75" s="716">
        <v>1</v>
      </c>
      <c r="C75" s="717">
        <v>1.01</v>
      </c>
      <c r="D75" s="718">
        <v>3</v>
      </c>
      <c r="E75" s="735"/>
      <c r="F75" s="719"/>
      <c r="G75" s="720"/>
      <c r="H75" s="721"/>
      <c r="I75" s="719"/>
      <c r="J75" s="720"/>
      <c r="K75" s="722">
        <v>0.61</v>
      </c>
      <c r="L75" s="721">
        <v>3</v>
      </c>
      <c r="M75" s="721">
        <v>24</v>
      </c>
      <c r="N75" s="723">
        <v>8</v>
      </c>
      <c r="O75" s="721" t="s">
        <v>4745</v>
      </c>
      <c r="P75" s="736" t="s">
        <v>4877</v>
      </c>
      <c r="Q75" s="724">
        <f t="shared" si="5"/>
        <v>-1</v>
      </c>
      <c r="R75" s="724">
        <f t="shared" si="5"/>
        <v>-1.01</v>
      </c>
      <c r="S75" s="737" t="str">
        <f t="shared" si="6"/>
        <v/>
      </c>
      <c r="T75" s="737" t="str">
        <f t="shared" si="7"/>
        <v/>
      </c>
      <c r="U75" s="737" t="str">
        <f t="shared" si="8"/>
        <v/>
      </c>
      <c r="V75" s="738" t="str">
        <f t="shared" si="9"/>
        <v/>
      </c>
      <c r="W75" s="725"/>
    </row>
    <row r="76" spans="1:23" ht="14.4" customHeight="1" x14ac:dyDescent="0.3">
      <c r="A76" s="784" t="s">
        <v>4878</v>
      </c>
      <c r="B76" s="716">
        <v>1</v>
      </c>
      <c r="C76" s="717">
        <v>0.48</v>
      </c>
      <c r="D76" s="718">
        <v>2</v>
      </c>
      <c r="E76" s="735"/>
      <c r="F76" s="719"/>
      <c r="G76" s="720"/>
      <c r="H76" s="721"/>
      <c r="I76" s="719"/>
      <c r="J76" s="720"/>
      <c r="K76" s="722">
        <v>0.87</v>
      </c>
      <c r="L76" s="721">
        <v>4</v>
      </c>
      <c r="M76" s="721">
        <v>33</v>
      </c>
      <c r="N76" s="723">
        <v>11</v>
      </c>
      <c r="O76" s="721" t="s">
        <v>4745</v>
      </c>
      <c r="P76" s="736" t="s">
        <v>4879</v>
      </c>
      <c r="Q76" s="724">
        <f t="shared" si="5"/>
        <v>-1</v>
      </c>
      <c r="R76" s="724">
        <f t="shared" si="5"/>
        <v>-0.48</v>
      </c>
      <c r="S76" s="737" t="str">
        <f t="shared" si="6"/>
        <v/>
      </c>
      <c r="T76" s="737" t="str">
        <f t="shared" si="7"/>
        <v/>
      </c>
      <c r="U76" s="737" t="str">
        <f t="shared" si="8"/>
        <v/>
      </c>
      <c r="V76" s="738" t="str">
        <f t="shared" si="9"/>
        <v/>
      </c>
      <c r="W76" s="725"/>
    </row>
    <row r="77" spans="1:23" ht="14.4" customHeight="1" x14ac:dyDescent="0.3">
      <c r="A77" s="784" t="s">
        <v>4880</v>
      </c>
      <c r="B77" s="737"/>
      <c r="C77" s="739"/>
      <c r="D77" s="740"/>
      <c r="E77" s="726">
        <v>1</v>
      </c>
      <c r="F77" s="727">
        <v>1.42</v>
      </c>
      <c r="G77" s="728">
        <v>4</v>
      </c>
      <c r="H77" s="721"/>
      <c r="I77" s="719"/>
      <c r="J77" s="720"/>
      <c r="K77" s="722">
        <v>2.37</v>
      </c>
      <c r="L77" s="721">
        <v>7</v>
      </c>
      <c r="M77" s="721">
        <v>60</v>
      </c>
      <c r="N77" s="723">
        <v>20</v>
      </c>
      <c r="O77" s="721" t="s">
        <v>4745</v>
      </c>
      <c r="P77" s="736" t="s">
        <v>4881</v>
      </c>
      <c r="Q77" s="724">
        <f t="shared" si="5"/>
        <v>0</v>
      </c>
      <c r="R77" s="724">
        <f t="shared" si="5"/>
        <v>0</v>
      </c>
      <c r="S77" s="737" t="str">
        <f t="shared" si="6"/>
        <v/>
      </c>
      <c r="T77" s="737" t="str">
        <f t="shared" si="7"/>
        <v/>
      </c>
      <c r="U77" s="737" t="str">
        <f t="shared" si="8"/>
        <v/>
      </c>
      <c r="V77" s="738" t="str">
        <f t="shared" si="9"/>
        <v/>
      </c>
      <c r="W77" s="725"/>
    </row>
    <row r="78" spans="1:23" ht="14.4" customHeight="1" x14ac:dyDescent="0.3">
      <c r="A78" s="784" t="s">
        <v>4882</v>
      </c>
      <c r="B78" s="737"/>
      <c r="C78" s="739"/>
      <c r="D78" s="740"/>
      <c r="E78" s="726">
        <v>1</v>
      </c>
      <c r="F78" s="727">
        <v>1.63</v>
      </c>
      <c r="G78" s="728">
        <v>4</v>
      </c>
      <c r="H78" s="721"/>
      <c r="I78" s="719"/>
      <c r="J78" s="720"/>
      <c r="K78" s="722">
        <v>1.52</v>
      </c>
      <c r="L78" s="721">
        <v>2</v>
      </c>
      <c r="M78" s="721">
        <v>21</v>
      </c>
      <c r="N78" s="723">
        <v>7</v>
      </c>
      <c r="O78" s="721" t="s">
        <v>4745</v>
      </c>
      <c r="P78" s="736" t="s">
        <v>4883</v>
      </c>
      <c r="Q78" s="724">
        <f t="shared" si="5"/>
        <v>0</v>
      </c>
      <c r="R78" s="724">
        <f t="shared" si="5"/>
        <v>0</v>
      </c>
      <c r="S78" s="737" t="str">
        <f t="shared" si="6"/>
        <v/>
      </c>
      <c r="T78" s="737" t="str">
        <f t="shared" si="7"/>
        <v/>
      </c>
      <c r="U78" s="737" t="str">
        <f t="shared" si="8"/>
        <v/>
      </c>
      <c r="V78" s="738" t="str">
        <f t="shared" si="9"/>
        <v/>
      </c>
      <c r="W78" s="725"/>
    </row>
    <row r="79" spans="1:23" ht="14.4" customHeight="1" x14ac:dyDescent="0.3">
      <c r="A79" s="785" t="s">
        <v>4884</v>
      </c>
      <c r="B79" s="769"/>
      <c r="C79" s="770"/>
      <c r="D79" s="741"/>
      <c r="E79" s="773">
        <v>1</v>
      </c>
      <c r="F79" s="774">
        <v>2.12</v>
      </c>
      <c r="G79" s="730">
        <v>9</v>
      </c>
      <c r="H79" s="776"/>
      <c r="I79" s="772"/>
      <c r="J79" s="729"/>
      <c r="K79" s="775">
        <v>2.12</v>
      </c>
      <c r="L79" s="776">
        <v>2</v>
      </c>
      <c r="M79" s="776">
        <v>18</v>
      </c>
      <c r="N79" s="777">
        <v>6</v>
      </c>
      <c r="O79" s="776" t="s">
        <v>4745</v>
      </c>
      <c r="P79" s="778" t="s">
        <v>4883</v>
      </c>
      <c r="Q79" s="779">
        <f t="shared" si="5"/>
        <v>0</v>
      </c>
      <c r="R79" s="779">
        <f t="shared" si="5"/>
        <v>0</v>
      </c>
      <c r="S79" s="769" t="str">
        <f t="shared" si="6"/>
        <v/>
      </c>
      <c r="T79" s="769" t="str">
        <f t="shared" si="7"/>
        <v/>
      </c>
      <c r="U79" s="769" t="str">
        <f t="shared" si="8"/>
        <v/>
      </c>
      <c r="V79" s="780" t="str">
        <f t="shared" si="9"/>
        <v/>
      </c>
      <c r="W79" s="731"/>
    </row>
    <row r="80" spans="1:23" ht="14.4" customHeight="1" x14ac:dyDescent="0.3">
      <c r="A80" s="784" t="s">
        <v>4885</v>
      </c>
      <c r="B80" s="737"/>
      <c r="C80" s="739"/>
      <c r="D80" s="740"/>
      <c r="E80" s="735"/>
      <c r="F80" s="719"/>
      <c r="G80" s="720"/>
      <c r="H80" s="726">
        <v>1</v>
      </c>
      <c r="I80" s="727">
        <v>1.52</v>
      </c>
      <c r="J80" s="728">
        <v>2</v>
      </c>
      <c r="K80" s="722">
        <v>3.72</v>
      </c>
      <c r="L80" s="721">
        <v>6</v>
      </c>
      <c r="M80" s="721">
        <v>54</v>
      </c>
      <c r="N80" s="723">
        <v>18</v>
      </c>
      <c r="O80" s="721" t="s">
        <v>4745</v>
      </c>
      <c r="P80" s="736" t="s">
        <v>4886</v>
      </c>
      <c r="Q80" s="724">
        <f t="shared" si="5"/>
        <v>1</v>
      </c>
      <c r="R80" s="724">
        <f t="shared" si="5"/>
        <v>1.52</v>
      </c>
      <c r="S80" s="737">
        <f t="shared" si="6"/>
        <v>18</v>
      </c>
      <c r="T80" s="737">
        <f t="shared" si="7"/>
        <v>2</v>
      </c>
      <c r="U80" s="737">
        <f t="shared" si="8"/>
        <v>-16</v>
      </c>
      <c r="V80" s="738">
        <f t="shared" si="9"/>
        <v>0.1111111111111111</v>
      </c>
      <c r="W80" s="725"/>
    </row>
    <row r="81" spans="1:23" ht="14.4" customHeight="1" x14ac:dyDescent="0.3">
      <c r="A81" s="784" t="s">
        <v>4887</v>
      </c>
      <c r="B81" s="716">
        <v>1</v>
      </c>
      <c r="C81" s="717">
        <v>0.62</v>
      </c>
      <c r="D81" s="718">
        <v>2</v>
      </c>
      <c r="E81" s="735"/>
      <c r="F81" s="719"/>
      <c r="G81" s="720"/>
      <c r="H81" s="721"/>
      <c r="I81" s="719"/>
      <c r="J81" s="720"/>
      <c r="K81" s="722">
        <v>0.91</v>
      </c>
      <c r="L81" s="721">
        <v>3</v>
      </c>
      <c r="M81" s="721">
        <v>30</v>
      </c>
      <c r="N81" s="723">
        <v>10</v>
      </c>
      <c r="O81" s="721" t="s">
        <v>4745</v>
      </c>
      <c r="P81" s="736" t="s">
        <v>4888</v>
      </c>
      <c r="Q81" s="724">
        <f t="shared" si="5"/>
        <v>-1</v>
      </c>
      <c r="R81" s="724">
        <f t="shared" si="5"/>
        <v>-0.62</v>
      </c>
      <c r="S81" s="737" t="str">
        <f t="shared" si="6"/>
        <v/>
      </c>
      <c r="T81" s="737" t="str">
        <f t="shared" si="7"/>
        <v/>
      </c>
      <c r="U81" s="737" t="str">
        <f t="shared" si="8"/>
        <v/>
      </c>
      <c r="V81" s="738" t="str">
        <f t="shared" si="9"/>
        <v/>
      </c>
      <c r="W81" s="725"/>
    </row>
    <row r="82" spans="1:23" ht="14.4" customHeight="1" x14ac:dyDescent="0.3">
      <c r="A82" s="784" t="s">
        <v>4889</v>
      </c>
      <c r="B82" s="716">
        <v>1</v>
      </c>
      <c r="C82" s="717">
        <v>0.6</v>
      </c>
      <c r="D82" s="718">
        <v>2</v>
      </c>
      <c r="E82" s="735"/>
      <c r="F82" s="719"/>
      <c r="G82" s="720"/>
      <c r="H82" s="721"/>
      <c r="I82" s="719"/>
      <c r="J82" s="720"/>
      <c r="K82" s="722">
        <v>0.87</v>
      </c>
      <c r="L82" s="721">
        <v>3</v>
      </c>
      <c r="M82" s="721">
        <v>30</v>
      </c>
      <c r="N82" s="723">
        <v>10</v>
      </c>
      <c r="O82" s="721" t="s">
        <v>4745</v>
      </c>
      <c r="P82" s="736" t="s">
        <v>4890</v>
      </c>
      <c r="Q82" s="724">
        <f t="shared" si="5"/>
        <v>-1</v>
      </c>
      <c r="R82" s="724">
        <f t="shared" si="5"/>
        <v>-0.6</v>
      </c>
      <c r="S82" s="737" t="str">
        <f t="shared" si="6"/>
        <v/>
      </c>
      <c r="T82" s="737" t="str">
        <f t="shared" si="7"/>
        <v/>
      </c>
      <c r="U82" s="737" t="str">
        <f t="shared" si="8"/>
        <v/>
      </c>
      <c r="V82" s="738" t="str">
        <f t="shared" si="9"/>
        <v/>
      </c>
      <c r="W82" s="725"/>
    </row>
    <row r="83" spans="1:23" ht="14.4" customHeight="1" x14ac:dyDescent="0.3">
      <c r="A83" s="784" t="s">
        <v>4891</v>
      </c>
      <c r="B83" s="737"/>
      <c r="C83" s="739"/>
      <c r="D83" s="740"/>
      <c r="E83" s="735"/>
      <c r="F83" s="719"/>
      <c r="G83" s="720"/>
      <c r="H83" s="726">
        <v>1</v>
      </c>
      <c r="I83" s="727">
        <v>1.91</v>
      </c>
      <c r="J83" s="728">
        <v>6</v>
      </c>
      <c r="K83" s="722">
        <v>1.91</v>
      </c>
      <c r="L83" s="721">
        <v>3</v>
      </c>
      <c r="M83" s="721">
        <v>30</v>
      </c>
      <c r="N83" s="723">
        <v>10</v>
      </c>
      <c r="O83" s="721" t="s">
        <v>4745</v>
      </c>
      <c r="P83" s="736" t="s">
        <v>4892</v>
      </c>
      <c r="Q83" s="724">
        <f t="shared" si="5"/>
        <v>1</v>
      </c>
      <c r="R83" s="724">
        <f t="shared" si="5"/>
        <v>1.91</v>
      </c>
      <c r="S83" s="737">
        <f t="shared" si="6"/>
        <v>10</v>
      </c>
      <c r="T83" s="737">
        <f t="shared" si="7"/>
        <v>6</v>
      </c>
      <c r="U83" s="737">
        <f t="shared" si="8"/>
        <v>-4</v>
      </c>
      <c r="V83" s="738">
        <f t="shared" si="9"/>
        <v>0.6</v>
      </c>
      <c r="W83" s="725"/>
    </row>
    <row r="84" spans="1:23" ht="14.4" customHeight="1" x14ac:dyDescent="0.3">
      <c r="A84" s="784" t="s">
        <v>4893</v>
      </c>
      <c r="B84" s="737"/>
      <c r="C84" s="739"/>
      <c r="D84" s="740"/>
      <c r="E84" s="726">
        <v>1</v>
      </c>
      <c r="F84" s="727">
        <v>8.34</v>
      </c>
      <c r="G84" s="728">
        <v>16</v>
      </c>
      <c r="H84" s="721"/>
      <c r="I84" s="719"/>
      <c r="J84" s="720"/>
      <c r="K84" s="722">
        <v>1.88</v>
      </c>
      <c r="L84" s="721">
        <v>4</v>
      </c>
      <c r="M84" s="721">
        <v>33</v>
      </c>
      <c r="N84" s="723">
        <v>11</v>
      </c>
      <c r="O84" s="721" t="s">
        <v>4745</v>
      </c>
      <c r="P84" s="736" t="s">
        <v>4894</v>
      </c>
      <c r="Q84" s="724">
        <f t="shared" si="5"/>
        <v>0</v>
      </c>
      <c r="R84" s="724">
        <f t="shared" si="5"/>
        <v>0</v>
      </c>
      <c r="S84" s="737" t="str">
        <f t="shared" si="6"/>
        <v/>
      </c>
      <c r="T84" s="737" t="str">
        <f t="shared" si="7"/>
        <v/>
      </c>
      <c r="U84" s="737" t="str">
        <f t="shared" si="8"/>
        <v/>
      </c>
      <c r="V84" s="738" t="str">
        <f t="shared" si="9"/>
        <v/>
      </c>
      <c r="W84" s="725"/>
    </row>
    <row r="85" spans="1:23" ht="14.4" customHeight="1" x14ac:dyDescent="0.3">
      <c r="A85" s="784" t="s">
        <v>4895</v>
      </c>
      <c r="B85" s="737"/>
      <c r="C85" s="739"/>
      <c r="D85" s="740"/>
      <c r="E85" s="726">
        <v>1</v>
      </c>
      <c r="F85" s="727">
        <v>2.71</v>
      </c>
      <c r="G85" s="728">
        <v>33</v>
      </c>
      <c r="H85" s="721"/>
      <c r="I85" s="719"/>
      <c r="J85" s="720"/>
      <c r="K85" s="722">
        <v>0.8</v>
      </c>
      <c r="L85" s="721">
        <v>2</v>
      </c>
      <c r="M85" s="721">
        <v>18</v>
      </c>
      <c r="N85" s="723">
        <v>6</v>
      </c>
      <c r="O85" s="721" t="s">
        <v>4745</v>
      </c>
      <c r="P85" s="736" t="s">
        <v>4896</v>
      </c>
      <c r="Q85" s="724">
        <f t="shared" si="5"/>
        <v>0</v>
      </c>
      <c r="R85" s="724">
        <f t="shared" si="5"/>
        <v>0</v>
      </c>
      <c r="S85" s="737" t="str">
        <f t="shared" si="6"/>
        <v/>
      </c>
      <c r="T85" s="737" t="str">
        <f t="shared" si="7"/>
        <v/>
      </c>
      <c r="U85" s="737" t="str">
        <f t="shared" si="8"/>
        <v/>
      </c>
      <c r="V85" s="738" t="str">
        <f t="shared" si="9"/>
        <v/>
      </c>
      <c r="W85" s="725"/>
    </row>
    <row r="86" spans="1:23" ht="14.4" customHeight="1" x14ac:dyDescent="0.3">
      <c r="A86" s="784" t="s">
        <v>4897</v>
      </c>
      <c r="B86" s="737">
        <v>1</v>
      </c>
      <c r="C86" s="739">
        <v>0.79</v>
      </c>
      <c r="D86" s="740">
        <v>2</v>
      </c>
      <c r="E86" s="735"/>
      <c r="F86" s="719"/>
      <c r="G86" s="720"/>
      <c r="H86" s="726"/>
      <c r="I86" s="727"/>
      <c r="J86" s="728"/>
      <c r="K86" s="722">
        <v>0.79</v>
      </c>
      <c r="L86" s="721">
        <v>2</v>
      </c>
      <c r="M86" s="721">
        <v>15</v>
      </c>
      <c r="N86" s="723">
        <v>5</v>
      </c>
      <c r="O86" s="721" t="s">
        <v>4745</v>
      </c>
      <c r="P86" s="736" t="s">
        <v>4898</v>
      </c>
      <c r="Q86" s="724">
        <f t="shared" si="5"/>
        <v>-1</v>
      </c>
      <c r="R86" s="724">
        <f t="shared" si="5"/>
        <v>-0.79</v>
      </c>
      <c r="S86" s="737" t="str">
        <f t="shared" si="6"/>
        <v/>
      </c>
      <c r="T86" s="737" t="str">
        <f t="shared" si="7"/>
        <v/>
      </c>
      <c r="U86" s="737" t="str">
        <f t="shared" si="8"/>
        <v/>
      </c>
      <c r="V86" s="738" t="str">
        <f t="shared" si="9"/>
        <v/>
      </c>
      <c r="W86" s="725"/>
    </row>
    <row r="87" spans="1:23" ht="14.4" customHeight="1" x14ac:dyDescent="0.3">
      <c r="A87" s="785" t="s">
        <v>4899</v>
      </c>
      <c r="B87" s="769"/>
      <c r="C87" s="770"/>
      <c r="D87" s="741"/>
      <c r="E87" s="771"/>
      <c r="F87" s="772"/>
      <c r="G87" s="729"/>
      <c r="H87" s="773">
        <v>1</v>
      </c>
      <c r="I87" s="774">
        <v>0.94</v>
      </c>
      <c r="J87" s="730">
        <v>2</v>
      </c>
      <c r="K87" s="775">
        <v>1.35</v>
      </c>
      <c r="L87" s="776">
        <v>3</v>
      </c>
      <c r="M87" s="776">
        <v>27</v>
      </c>
      <c r="N87" s="777">
        <v>9</v>
      </c>
      <c r="O87" s="776" t="s">
        <v>4745</v>
      </c>
      <c r="P87" s="778" t="s">
        <v>4898</v>
      </c>
      <c r="Q87" s="779">
        <f t="shared" si="5"/>
        <v>1</v>
      </c>
      <c r="R87" s="779">
        <f t="shared" si="5"/>
        <v>0.94</v>
      </c>
      <c r="S87" s="769">
        <f t="shared" si="6"/>
        <v>9</v>
      </c>
      <c r="T87" s="769">
        <f t="shared" si="7"/>
        <v>2</v>
      </c>
      <c r="U87" s="769">
        <f t="shared" si="8"/>
        <v>-7</v>
      </c>
      <c r="V87" s="780">
        <f t="shared" si="9"/>
        <v>0.22222222222222221</v>
      </c>
      <c r="W87" s="731"/>
    </row>
    <row r="88" spans="1:23" ht="14.4" customHeight="1" x14ac:dyDescent="0.3">
      <c r="A88" s="784" t="s">
        <v>4900</v>
      </c>
      <c r="B88" s="737"/>
      <c r="C88" s="739"/>
      <c r="D88" s="740"/>
      <c r="E88" s="735"/>
      <c r="F88" s="719"/>
      <c r="G88" s="720"/>
      <c r="H88" s="726">
        <v>1</v>
      </c>
      <c r="I88" s="727">
        <v>1.1599999999999999</v>
      </c>
      <c r="J88" s="728">
        <v>6</v>
      </c>
      <c r="K88" s="722">
        <v>1</v>
      </c>
      <c r="L88" s="721">
        <v>3</v>
      </c>
      <c r="M88" s="721">
        <v>30</v>
      </c>
      <c r="N88" s="723">
        <v>10</v>
      </c>
      <c r="O88" s="721" t="s">
        <v>4745</v>
      </c>
      <c r="P88" s="736" t="s">
        <v>4901</v>
      </c>
      <c r="Q88" s="724">
        <f t="shared" si="5"/>
        <v>1</v>
      </c>
      <c r="R88" s="724">
        <f t="shared" si="5"/>
        <v>1.1599999999999999</v>
      </c>
      <c r="S88" s="737">
        <f t="shared" si="6"/>
        <v>10</v>
      </c>
      <c r="T88" s="737">
        <f t="shared" si="7"/>
        <v>6</v>
      </c>
      <c r="U88" s="737">
        <f t="shared" si="8"/>
        <v>-4</v>
      </c>
      <c r="V88" s="738">
        <f t="shared" si="9"/>
        <v>0.6</v>
      </c>
      <c r="W88" s="725"/>
    </row>
    <row r="89" spans="1:23" ht="14.4" customHeight="1" x14ac:dyDescent="0.3">
      <c r="A89" s="784" t="s">
        <v>4902</v>
      </c>
      <c r="B89" s="737"/>
      <c r="C89" s="739"/>
      <c r="D89" s="740"/>
      <c r="E89" s="735"/>
      <c r="F89" s="719"/>
      <c r="G89" s="720"/>
      <c r="H89" s="726">
        <v>1</v>
      </c>
      <c r="I89" s="727">
        <v>0.46</v>
      </c>
      <c r="J89" s="728">
        <v>2</v>
      </c>
      <c r="K89" s="722">
        <v>0.46</v>
      </c>
      <c r="L89" s="721">
        <v>2</v>
      </c>
      <c r="M89" s="721">
        <v>15</v>
      </c>
      <c r="N89" s="723">
        <v>5</v>
      </c>
      <c r="O89" s="721" t="s">
        <v>4745</v>
      </c>
      <c r="P89" s="736" t="s">
        <v>4903</v>
      </c>
      <c r="Q89" s="724">
        <f t="shared" si="5"/>
        <v>1</v>
      </c>
      <c r="R89" s="724">
        <f t="shared" si="5"/>
        <v>0.46</v>
      </c>
      <c r="S89" s="737">
        <f t="shared" si="6"/>
        <v>5</v>
      </c>
      <c r="T89" s="737">
        <f t="shared" si="7"/>
        <v>2</v>
      </c>
      <c r="U89" s="737">
        <f t="shared" si="8"/>
        <v>-3</v>
      </c>
      <c r="V89" s="738">
        <f t="shared" si="9"/>
        <v>0.4</v>
      </c>
      <c r="W89" s="725"/>
    </row>
    <row r="90" spans="1:23" ht="14.4" customHeight="1" x14ac:dyDescent="0.3">
      <c r="A90" s="784" t="s">
        <v>4904</v>
      </c>
      <c r="B90" s="737"/>
      <c r="C90" s="739"/>
      <c r="D90" s="740"/>
      <c r="E90" s="735"/>
      <c r="F90" s="719"/>
      <c r="G90" s="720"/>
      <c r="H90" s="726">
        <v>1</v>
      </c>
      <c r="I90" s="727">
        <v>1.89</v>
      </c>
      <c r="J90" s="728">
        <v>5</v>
      </c>
      <c r="K90" s="722">
        <v>1.86</v>
      </c>
      <c r="L90" s="721">
        <v>3</v>
      </c>
      <c r="M90" s="721">
        <v>30</v>
      </c>
      <c r="N90" s="723">
        <v>10</v>
      </c>
      <c r="O90" s="721" t="s">
        <v>4905</v>
      </c>
      <c r="P90" s="736" t="s">
        <v>4906</v>
      </c>
      <c r="Q90" s="724">
        <f t="shared" si="5"/>
        <v>1</v>
      </c>
      <c r="R90" s="724">
        <f t="shared" si="5"/>
        <v>1.89</v>
      </c>
      <c r="S90" s="737">
        <f t="shared" si="6"/>
        <v>10</v>
      </c>
      <c r="T90" s="737">
        <f t="shared" si="7"/>
        <v>5</v>
      </c>
      <c r="U90" s="737">
        <f t="shared" si="8"/>
        <v>-5</v>
      </c>
      <c r="V90" s="738">
        <f t="shared" si="9"/>
        <v>0.5</v>
      </c>
      <c r="W90" s="725"/>
    </row>
    <row r="91" spans="1:23" ht="14.4" customHeight="1" x14ac:dyDescent="0.3">
      <c r="A91" s="784" t="s">
        <v>4907</v>
      </c>
      <c r="B91" s="737"/>
      <c r="C91" s="739"/>
      <c r="D91" s="740"/>
      <c r="E91" s="735"/>
      <c r="F91" s="719"/>
      <c r="G91" s="720"/>
      <c r="H91" s="726">
        <v>1</v>
      </c>
      <c r="I91" s="727">
        <v>3.04</v>
      </c>
      <c r="J91" s="728">
        <v>7</v>
      </c>
      <c r="K91" s="722">
        <v>2.17</v>
      </c>
      <c r="L91" s="721">
        <v>4</v>
      </c>
      <c r="M91" s="721">
        <v>39</v>
      </c>
      <c r="N91" s="723">
        <v>13</v>
      </c>
      <c r="O91" s="721" t="s">
        <v>4745</v>
      </c>
      <c r="P91" s="736" t="s">
        <v>4908</v>
      </c>
      <c r="Q91" s="724">
        <f t="shared" si="5"/>
        <v>1</v>
      </c>
      <c r="R91" s="724">
        <f t="shared" si="5"/>
        <v>3.04</v>
      </c>
      <c r="S91" s="737">
        <f t="shared" si="6"/>
        <v>13</v>
      </c>
      <c r="T91" s="737">
        <f t="shared" si="7"/>
        <v>7</v>
      </c>
      <c r="U91" s="737">
        <f t="shared" si="8"/>
        <v>-6</v>
      </c>
      <c r="V91" s="738">
        <f t="shared" si="9"/>
        <v>0.53846153846153844</v>
      </c>
      <c r="W91" s="725"/>
    </row>
    <row r="92" spans="1:23" ht="14.4" customHeight="1" x14ac:dyDescent="0.3">
      <c r="A92" s="784" t="s">
        <v>4909</v>
      </c>
      <c r="B92" s="716">
        <v>1</v>
      </c>
      <c r="C92" s="717">
        <v>1.57</v>
      </c>
      <c r="D92" s="718">
        <v>2</v>
      </c>
      <c r="E92" s="735"/>
      <c r="F92" s="719"/>
      <c r="G92" s="720"/>
      <c r="H92" s="721"/>
      <c r="I92" s="719"/>
      <c r="J92" s="720"/>
      <c r="K92" s="722">
        <v>3.04</v>
      </c>
      <c r="L92" s="721">
        <v>4</v>
      </c>
      <c r="M92" s="721">
        <v>36</v>
      </c>
      <c r="N92" s="723">
        <v>12</v>
      </c>
      <c r="O92" s="721" t="s">
        <v>4745</v>
      </c>
      <c r="P92" s="736" t="s">
        <v>4910</v>
      </c>
      <c r="Q92" s="724">
        <f t="shared" si="5"/>
        <v>-1</v>
      </c>
      <c r="R92" s="724">
        <f t="shared" si="5"/>
        <v>-1.57</v>
      </c>
      <c r="S92" s="737" t="str">
        <f t="shared" si="6"/>
        <v/>
      </c>
      <c r="T92" s="737" t="str">
        <f t="shared" si="7"/>
        <v/>
      </c>
      <c r="U92" s="737" t="str">
        <f t="shared" si="8"/>
        <v/>
      </c>
      <c r="V92" s="738" t="str">
        <f t="shared" si="9"/>
        <v/>
      </c>
      <c r="W92" s="725"/>
    </row>
    <row r="93" spans="1:23" ht="14.4" customHeight="1" x14ac:dyDescent="0.3">
      <c r="A93" s="784" t="s">
        <v>4911</v>
      </c>
      <c r="B93" s="737">
        <v>1</v>
      </c>
      <c r="C93" s="739">
        <v>1.18</v>
      </c>
      <c r="D93" s="740">
        <v>2</v>
      </c>
      <c r="E93" s="726"/>
      <c r="F93" s="727"/>
      <c r="G93" s="728"/>
      <c r="H93" s="721"/>
      <c r="I93" s="719"/>
      <c r="J93" s="720"/>
      <c r="K93" s="722">
        <v>3</v>
      </c>
      <c r="L93" s="721">
        <v>6</v>
      </c>
      <c r="M93" s="721">
        <v>54</v>
      </c>
      <c r="N93" s="723">
        <v>18</v>
      </c>
      <c r="O93" s="721" t="s">
        <v>4745</v>
      </c>
      <c r="P93" s="736" t="s">
        <v>4912</v>
      </c>
      <c r="Q93" s="724">
        <f t="shared" si="5"/>
        <v>-1</v>
      </c>
      <c r="R93" s="724">
        <f t="shared" si="5"/>
        <v>-1.18</v>
      </c>
      <c r="S93" s="737" t="str">
        <f t="shared" si="6"/>
        <v/>
      </c>
      <c r="T93" s="737" t="str">
        <f t="shared" si="7"/>
        <v/>
      </c>
      <c r="U93" s="737" t="str">
        <f t="shared" si="8"/>
        <v/>
      </c>
      <c r="V93" s="738" t="str">
        <f t="shared" si="9"/>
        <v/>
      </c>
      <c r="W93" s="725"/>
    </row>
    <row r="94" spans="1:23" ht="14.4" customHeight="1" x14ac:dyDescent="0.3">
      <c r="A94" s="785" t="s">
        <v>4913</v>
      </c>
      <c r="B94" s="769"/>
      <c r="C94" s="770"/>
      <c r="D94" s="741"/>
      <c r="E94" s="773">
        <v>5</v>
      </c>
      <c r="F94" s="774">
        <v>24.22</v>
      </c>
      <c r="G94" s="730">
        <v>5</v>
      </c>
      <c r="H94" s="776"/>
      <c r="I94" s="772"/>
      <c r="J94" s="729"/>
      <c r="K94" s="775">
        <v>5.89</v>
      </c>
      <c r="L94" s="776">
        <v>7</v>
      </c>
      <c r="M94" s="776">
        <v>66</v>
      </c>
      <c r="N94" s="777">
        <v>22</v>
      </c>
      <c r="O94" s="776" t="s">
        <v>4745</v>
      </c>
      <c r="P94" s="778" t="s">
        <v>4914</v>
      </c>
      <c r="Q94" s="779">
        <f t="shared" si="5"/>
        <v>0</v>
      </c>
      <c r="R94" s="779">
        <f t="shared" si="5"/>
        <v>0</v>
      </c>
      <c r="S94" s="769" t="str">
        <f t="shared" si="6"/>
        <v/>
      </c>
      <c r="T94" s="769" t="str">
        <f t="shared" si="7"/>
        <v/>
      </c>
      <c r="U94" s="769" t="str">
        <f t="shared" si="8"/>
        <v/>
      </c>
      <c r="V94" s="780" t="str">
        <f t="shared" si="9"/>
        <v/>
      </c>
      <c r="W94" s="731"/>
    </row>
    <row r="95" spans="1:23" ht="14.4" customHeight="1" x14ac:dyDescent="0.3">
      <c r="A95" s="784" t="s">
        <v>4915</v>
      </c>
      <c r="B95" s="737"/>
      <c r="C95" s="739"/>
      <c r="D95" s="740"/>
      <c r="E95" s="726">
        <v>1</v>
      </c>
      <c r="F95" s="727">
        <v>0.93</v>
      </c>
      <c r="G95" s="728">
        <v>4</v>
      </c>
      <c r="H95" s="721"/>
      <c r="I95" s="719"/>
      <c r="J95" s="720"/>
      <c r="K95" s="722">
        <v>0.93</v>
      </c>
      <c r="L95" s="721">
        <v>3</v>
      </c>
      <c r="M95" s="721">
        <v>27</v>
      </c>
      <c r="N95" s="723">
        <v>9</v>
      </c>
      <c r="O95" s="721" t="s">
        <v>4745</v>
      </c>
      <c r="P95" s="736" t="s">
        <v>4916</v>
      </c>
      <c r="Q95" s="724">
        <f t="shared" si="5"/>
        <v>0</v>
      </c>
      <c r="R95" s="724">
        <f t="shared" si="5"/>
        <v>0</v>
      </c>
      <c r="S95" s="737" t="str">
        <f t="shared" si="6"/>
        <v/>
      </c>
      <c r="T95" s="737" t="str">
        <f t="shared" si="7"/>
        <v/>
      </c>
      <c r="U95" s="737" t="str">
        <f t="shared" si="8"/>
        <v/>
      </c>
      <c r="V95" s="738" t="str">
        <f t="shared" si="9"/>
        <v/>
      </c>
      <c r="W95" s="725"/>
    </row>
    <row r="96" spans="1:23" ht="14.4" customHeight="1" x14ac:dyDescent="0.3">
      <c r="A96" s="785" t="s">
        <v>4917</v>
      </c>
      <c r="B96" s="769"/>
      <c r="C96" s="770"/>
      <c r="D96" s="741"/>
      <c r="E96" s="773">
        <v>1</v>
      </c>
      <c r="F96" s="774">
        <v>0.85</v>
      </c>
      <c r="G96" s="730">
        <v>3</v>
      </c>
      <c r="H96" s="776">
        <v>1</v>
      </c>
      <c r="I96" s="772">
        <v>1.37</v>
      </c>
      <c r="J96" s="729">
        <v>6</v>
      </c>
      <c r="K96" s="775">
        <v>1.1100000000000001</v>
      </c>
      <c r="L96" s="776">
        <v>4</v>
      </c>
      <c r="M96" s="776">
        <v>33</v>
      </c>
      <c r="N96" s="777">
        <v>11</v>
      </c>
      <c r="O96" s="776" t="s">
        <v>4745</v>
      </c>
      <c r="P96" s="778" t="s">
        <v>4918</v>
      </c>
      <c r="Q96" s="779">
        <f t="shared" si="5"/>
        <v>1</v>
      </c>
      <c r="R96" s="779">
        <f t="shared" si="5"/>
        <v>1.37</v>
      </c>
      <c r="S96" s="769">
        <f t="shared" si="6"/>
        <v>11</v>
      </c>
      <c r="T96" s="769">
        <f t="shared" si="7"/>
        <v>6</v>
      </c>
      <c r="U96" s="769">
        <f t="shared" si="8"/>
        <v>-5</v>
      </c>
      <c r="V96" s="780">
        <f t="shared" si="9"/>
        <v>0.54545454545454541</v>
      </c>
      <c r="W96" s="731"/>
    </row>
    <row r="97" spans="1:23" ht="14.4" customHeight="1" x14ac:dyDescent="0.3">
      <c r="A97" s="785" t="s">
        <v>4919</v>
      </c>
      <c r="B97" s="769"/>
      <c r="C97" s="770"/>
      <c r="D97" s="741"/>
      <c r="E97" s="773">
        <v>1</v>
      </c>
      <c r="F97" s="774">
        <v>2.1800000000000002</v>
      </c>
      <c r="G97" s="730">
        <v>6</v>
      </c>
      <c r="H97" s="776">
        <v>1</v>
      </c>
      <c r="I97" s="772">
        <v>0.64</v>
      </c>
      <c r="J97" s="729">
        <v>1</v>
      </c>
      <c r="K97" s="775">
        <v>2.02</v>
      </c>
      <c r="L97" s="776">
        <v>4</v>
      </c>
      <c r="M97" s="776">
        <v>39</v>
      </c>
      <c r="N97" s="777">
        <v>13</v>
      </c>
      <c r="O97" s="776" t="s">
        <v>4745</v>
      </c>
      <c r="P97" s="778" t="s">
        <v>4920</v>
      </c>
      <c r="Q97" s="779">
        <f t="shared" si="5"/>
        <v>1</v>
      </c>
      <c r="R97" s="779">
        <f t="shared" si="5"/>
        <v>0.64</v>
      </c>
      <c r="S97" s="769">
        <f t="shared" si="6"/>
        <v>13</v>
      </c>
      <c r="T97" s="769">
        <f t="shared" si="7"/>
        <v>1</v>
      </c>
      <c r="U97" s="769">
        <f t="shared" si="8"/>
        <v>-12</v>
      </c>
      <c r="V97" s="780">
        <f t="shared" si="9"/>
        <v>7.6923076923076927E-2</v>
      </c>
      <c r="W97" s="731"/>
    </row>
    <row r="98" spans="1:23" ht="14.4" customHeight="1" x14ac:dyDescent="0.3">
      <c r="A98" s="784" t="s">
        <v>4921</v>
      </c>
      <c r="B98" s="716">
        <v>1</v>
      </c>
      <c r="C98" s="717">
        <v>0.39</v>
      </c>
      <c r="D98" s="718">
        <v>1</v>
      </c>
      <c r="E98" s="735"/>
      <c r="F98" s="719"/>
      <c r="G98" s="720"/>
      <c r="H98" s="721"/>
      <c r="I98" s="719"/>
      <c r="J98" s="720"/>
      <c r="K98" s="722">
        <v>0.59</v>
      </c>
      <c r="L98" s="721">
        <v>2</v>
      </c>
      <c r="M98" s="721">
        <v>21</v>
      </c>
      <c r="N98" s="723">
        <v>7</v>
      </c>
      <c r="O98" s="721" t="s">
        <v>4745</v>
      </c>
      <c r="P98" s="736" t="s">
        <v>4922</v>
      </c>
      <c r="Q98" s="724">
        <f t="shared" si="5"/>
        <v>-1</v>
      </c>
      <c r="R98" s="724">
        <f t="shared" si="5"/>
        <v>-0.39</v>
      </c>
      <c r="S98" s="737" t="str">
        <f t="shared" si="6"/>
        <v/>
      </c>
      <c r="T98" s="737" t="str">
        <f t="shared" si="7"/>
        <v/>
      </c>
      <c r="U98" s="737" t="str">
        <f t="shared" si="8"/>
        <v/>
      </c>
      <c r="V98" s="738" t="str">
        <f t="shared" si="9"/>
        <v/>
      </c>
      <c r="W98" s="725"/>
    </row>
    <row r="99" spans="1:23" ht="14.4" customHeight="1" x14ac:dyDescent="0.3">
      <c r="A99" s="784" t="s">
        <v>4923</v>
      </c>
      <c r="B99" s="737"/>
      <c r="C99" s="739"/>
      <c r="D99" s="740"/>
      <c r="E99" s="726">
        <v>1</v>
      </c>
      <c r="F99" s="727">
        <v>0.64</v>
      </c>
      <c r="G99" s="728">
        <v>3</v>
      </c>
      <c r="H99" s="721"/>
      <c r="I99" s="719"/>
      <c r="J99" s="720"/>
      <c r="K99" s="722">
        <v>0.64</v>
      </c>
      <c r="L99" s="721">
        <v>1</v>
      </c>
      <c r="M99" s="721">
        <v>12</v>
      </c>
      <c r="N99" s="723">
        <v>4</v>
      </c>
      <c r="O99" s="721" t="s">
        <v>4745</v>
      </c>
      <c r="P99" s="736" t="s">
        <v>4924</v>
      </c>
      <c r="Q99" s="724">
        <f t="shared" si="5"/>
        <v>0</v>
      </c>
      <c r="R99" s="724">
        <f t="shared" si="5"/>
        <v>0</v>
      </c>
      <c r="S99" s="737" t="str">
        <f t="shared" si="6"/>
        <v/>
      </c>
      <c r="T99" s="737" t="str">
        <f t="shared" si="7"/>
        <v/>
      </c>
      <c r="U99" s="737" t="str">
        <f t="shared" si="8"/>
        <v/>
      </c>
      <c r="V99" s="738" t="str">
        <f t="shared" si="9"/>
        <v/>
      </c>
      <c r="W99" s="725"/>
    </row>
    <row r="100" spans="1:23" ht="14.4" customHeight="1" x14ac:dyDescent="0.3">
      <c r="A100" s="784" t="s">
        <v>4925</v>
      </c>
      <c r="B100" s="737"/>
      <c r="C100" s="739"/>
      <c r="D100" s="740"/>
      <c r="E100" s="726">
        <v>1</v>
      </c>
      <c r="F100" s="727">
        <v>7.08</v>
      </c>
      <c r="G100" s="728">
        <v>1</v>
      </c>
      <c r="H100" s="721"/>
      <c r="I100" s="719"/>
      <c r="J100" s="720"/>
      <c r="K100" s="722">
        <v>1.28</v>
      </c>
      <c r="L100" s="721">
        <v>3</v>
      </c>
      <c r="M100" s="721">
        <v>24</v>
      </c>
      <c r="N100" s="723">
        <v>8</v>
      </c>
      <c r="O100" s="721" t="s">
        <v>4745</v>
      </c>
      <c r="P100" s="736" t="s">
        <v>4926</v>
      </c>
      <c r="Q100" s="724">
        <f t="shared" si="5"/>
        <v>0</v>
      </c>
      <c r="R100" s="724">
        <f t="shared" si="5"/>
        <v>0</v>
      </c>
      <c r="S100" s="737" t="str">
        <f t="shared" si="6"/>
        <v/>
      </c>
      <c r="T100" s="737" t="str">
        <f t="shared" si="7"/>
        <v/>
      </c>
      <c r="U100" s="737" t="str">
        <f t="shared" si="8"/>
        <v/>
      </c>
      <c r="V100" s="738" t="str">
        <f t="shared" si="9"/>
        <v/>
      </c>
      <c r="W100" s="725"/>
    </row>
    <row r="101" spans="1:23" ht="14.4" customHeight="1" x14ac:dyDescent="0.3">
      <c r="A101" s="785" t="s">
        <v>4927</v>
      </c>
      <c r="B101" s="769"/>
      <c r="C101" s="770"/>
      <c r="D101" s="741"/>
      <c r="E101" s="773">
        <v>1</v>
      </c>
      <c r="F101" s="774">
        <v>4.6100000000000003</v>
      </c>
      <c r="G101" s="730">
        <v>10</v>
      </c>
      <c r="H101" s="776"/>
      <c r="I101" s="772"/>
      <c r="J101" s="729"/>
      <c r="K101" s="775">
        <v>2.36</v>
      </c>
      <c r="L101" s="776">
        <v>4</v>
      </c>
      <c r="M101" s="776">
        <v>39</v>
      </c>
      <c r="N101" s="777">
        <v>13</v>
      </c>
      <c r="O101" s="776" t="s">
        <v>4745</v>
      </c>
      <c r="P101" s="778" t="s">
        <v>4928</v>
      </c>
      <c r="Q101" s="779">
        <f t="shared" si="5"/>
        <v>0</v>
      </c>
      <c r="R101" s="779">
        <f t="shared" si="5"/>
        <v>0</v>
      </c>
      <c r="S101" s="769" t="str">
        <f t="shared" si="6"/>
        <v/>
      </c>
      <c r="T101" s="769" t="str">
        <f t="shared" si="7"/>
        <v/>
      </c>
      <c r="U101" s="769" t="str">
        <f t="shared" si="8"/>
        <v/>
      </c>
      <c r="V101" s="780" t="str">
        <f t="shared" si="9"/>
        <v/>
      </c>
      <c r="W101" s="731"/>
    </row>
    <row r="102" spans="1:23" ht="14.4" customHeight="1" x14ac:dyDescent="0.3">
      <c r="A102" s="785" t="s">
        <v>4929</v>
      </c>
      <c r="B102" s="769"/>
      <c r="C102" s="770"/>
      <c r="D102" s="741"/>
      <c r="E102" s="773">
        <v>1</v>
      </c>
      <c r="F102" s="774">
        <v>12.71</v>
      </c>
      <c r="G102" s="730">
        <v>1</v>
      </c>
      <c r="H102" s="776"/>
      <c r="I102" s="772"/>
      <c r="J102" s="729"/>
      <c r="K102" s="775">
        <v>4.8499999999999996</v>
      </c>
      <c r="L102" s="776">
        <v>5</v>
      </c>
      <c r="M102" s="776">
        <v>48</v>
      </c>
      <c r="N102" s="777">
        <v>16</v>
      </c>
      <c r="O102" s="776" t="s">
        <v>4745</v>
      </c>
      <c r="P102" s="778" t="s">
        <v>4930</v>
      </c>
      <c r="Q102" s="779">
        <f t="shared" si="5"/>
        <v>0</v>
      </c>
      <c r="R102" s="779">
        <f t="shared" si="5"/>
        <v>0</v>
      </c>
      <c r="S102" s="769" t="str">
        <f t="shared" si="6"/>
        <v/>
      </c>
      <c r="T102" s="769" t="str">
        <f t="shared" si="7"/>
        <v/>
      </c>
      <c r="U102" s="769" t="str">
        <f t="shared" si="8"/>
        <v/>
      </c>
      <c r="V102" s="780" t="str">
        <f t="shared" si="9"/>
        <v/>
      </c>
      <c r="W102" s="731"/>
    </row>
    <row r="103" spans="1:23" ht="14.4" customHeight="1" x14ac:dyDescent="0.3">
      <c r="A103" s="784" t="s">
        <v>4931</v>
      </c>
      <c r="B103" s="737"/>
      <c r="C103" s="739"/>
      <c r="D103" s="740"/>
      <c r="E103" s="735">
        <v>1</v>
      </c>
      <c r="F103" s="719">
        <v>0.7</v>
      </c>
      <c r="G103" s="720">
        <v>4</v>
      </c>
      <c r="H103" s="726">
        <v>1</v>
      </c>
      <c r="I103" s="727">
        <v>0.7</v>
      </c>
      <c r="J103" s="728">
        <v>3</v>
      </c>
      <c r="K103" s="722">
        <v>0.7</v>
      </c>
      <c r="L103" s="721">
        <v>2</v>
      </c>
      <c r="M103" s="721">
        <v>15</v>
      </c>
      <c r="N103" s="723">
        <v>5</v>
      </c>
      <c r="O103" s="721" t="s">
        <v>4745</v>
      </c>
      <c r="P103" s="736" t="s">
        <v>4932</v>
      </c>
      <c r="Q103" s="724">
        <f t="shared" si="5"/>
        <v>1</v>
      </c>
      <c r="R103" s="724">
        <f t="shared" si="5"/>
        <v>0.7</v>
      </c>
      <c r="S103" s="737">
        <f t="shared" si="6"/>
        <v>5</v>
      </c>
      <c r="T103" s="737">
        <f t="shared" si="7"/>
        <v>3</v>
      </c>
      <c r="U103" s="737">
        <f t="shared" si="8"/>
        <v>-2</v>
      </c>
      <c r="V103" s="738">
        <f t="shared" si="9"/>
        <v>0.6</v>
      </c>
      <c r="W103" s="725"/>
    </row>
    <row r="104" spans="1:23" ht="14.4" customHeight="1" x14ac:dyDescent="0.3">
      <c r="A104" s="785" t="s">
        <v>4933</v>
      </c>
      <c r="B104" s="769"/>
      <c r="C104" s="770"/>
      <c r="D104" s="741"/>
      <c r="E104" s="771"/>
      <c r="F104" s="772"/>
      <c r="G104" s="729"/>
      <c r="H104" s="773">
        <v>1</v>
      </c>
      <c r="I104" s="774">
        <v>1.88</v>
      </c>
      <c r="J104" s="730">
        <v>1</v>
      </c>
      <c r="K104" s="775">
        <v>3.18</v>
      </c>
      <c r="L104" s="776">
        <v>4</v>
      </c>
      <c r="M104" s="776">
        <v>33</v>
      </c>
      <c r="N104" s="777">
        <v>11</v>
      </c>
      <c r="O104" s="776" t="s">
        <v>4745</v>
      </c>
      <c r="P104" s="778" t="s">
        <v>4932</v>
      </c>
      <c r="Q104" s="779">
        <f t="shared" si="5"/>
        <v>1</v>
      </c>
      <c r="R104" s="779">
        <f t="shared" si="5"/>
        <v>1.88</v>
      </c>
      <c r="S104" s="769">
        <f t="shared" si="6"/>
        <v>11</v>
      </c>
      <c r="T104" s="769">
        <f t="shared" si="7"/>
        <v>1</v>
      </c>
      <c r="U104" s="769">
        <f t="shared" si="8"/>
        <v>-10</v>
      </c>
      <c r="V104" s="780">
        <f t="shared" si="9"/>
        <v>9.0909090909090912E-2</v>
      </c>
      <c r="W104" s="731"/>
    </row>
    <row r="105" spans="1:23" ht="14.4" customHeight="1" x14ac:dyDescent="0.3">
      <c r="A105" s="784" t="s">
        <v>4934</v>
      </c>
      <c r="B105" s="716">
        <v>1</v>
      </c>
      <c r="C105" s="717">
        <v>0.42</v>
      </c>
      <c r="D105" s="718">
        <v>3</v>
      </c>
      <c r="E105" s="735"/>
      <c r="F105" s="719"/>
      <c r="G105" s="720"/>
      <c r="H105" s="721"/>
      <c r="I105" s="719"/>
      <c r="J105" s="720"/>
      <c r="K105" s="722">
        <v>0.42</v>
      </c>
      <c r="L105" s="721">
        <v>2</v>
      </c>
      <c r="M105" s="721">
        <v>15</v>
      </c>
      <c r="N105" s="723">
        <v>5</v>
      </c>
      <c r="O105" s="721" t="s">
        <v>4745</v>
      </c>
      <c r="P105" s="736" t="s">
        <v>4935</v>
      </c>
      <c r="Q105" s="724">
        <f t="shared" si="5"/>
        <v>-1</v>
      </c>
      <c r="R105" s="724">
        <f t="shared" si="5"/>
        <v>-0.42</v>
      </c>
      <c r="S105" s="737" t="str">
        <f t="shared" si="6"/>
        <v/>
      </c>
      <c r="T105" s="737" t="str">
        <f t="shared" si="7"/>
        <v/>
      </c>
      <c r="U105" s="737" t="str">
        <f t="shared" si="8"/>
        <v/>
      </c>
      <c r="V105" s="738" t="str">
        <f t="shared" si="9"/>
        <v/>
      </c>
      <c r="W105" s="725"/>
    </row>
    <row r="106" spans="1:23" ht="14.4" customHeight="1" x14ac:dyDescent="0.3">
      <c r="A106" s="784" t="s">
        <v>4936</v>
      </c>
      <c r="B106" s="737"/>
      <c r="C106" s="739"/>
      <c r="D106" s="740"/>
      <c r="E106" s="726">
        <v>1</v>
      </c>
      <c r="F106" s="727">
        <v>1.67</v>
      </c>
      <c r="G106" s="728">
        <v>3</v>
      </c>
      <c r="H106" s="721"/>
      <c r="I106" s="719"/>
      <c r="J106" s="720"/>
      <c r="K106" s="722">
        <v>2.17</v>
      </c>
      <c r="L106" s="721">
        <v>4</v>
      </c>
      <c r="M106" s="721">
        <v>39</v>
      </c>
      <c r="N106" s="723">
        <v>13</v>
      </c>
      <c r="O106" s="721" t="s">
        <v>4745</v>
      </c>
      <c r="P106" s="736" t="s">
        <v>4937</v>
      </c>
      <c r="Q106" s="724">
        <f t="shared" si="5"/>
        <v>0</v>
      </c>
      <c r="R106" s="724">
        <f t="shared" si="5"/>
        <v>0</v>
      </c>
      <c r="S106" s="737" t="str">
        <f t="shared" si="6"/>
        <v/>
      </c>
      <c r="T106" s="737" t="str">
        <f t="shared" si="7"/>
        <v/>
      </c>
      <c r="U106" s="737" t="str">
        <f t="shared" si="8"/>
        <v/>
      </c>
      <c r="V106" s="738" t="str">
        <f t="shared" si="9"/>
        <v/>
      </c>
      <c r="W106" s="725"/>
    </row>
    <row r="107" spans="1:23" ht="14.4" customHeight="1" x14ac:dyDescent="0.3">
      <c r="A107" s="784" t="s">
        <v>4938</v>
      </c>
      <c r="B107" s="716">
        <v>2</v>
      </c>
      <c r="C107" s="717">
        <v>0.65</v>
      </c>
      <c r="D107" s="718">
        <v>1</v>
      </c>
      <c r="E107" s="735"/>
      <c r="F107" s="719"/>
      <c r="G107" s="720"/>
      <c r="H107" s="721"/>
      <c r="I107" s="719"/>
      <c r="J107" s="720"/>
      <c r="K107" s="722">
        <v>0.85</v>
      </c>
      <c r="L107" s="721">
        <v>3</v>
      </c>
      <c r="M107" s="721">
        <v>24</v>
      </c>
      <c r="N107" s="723">
        <v>8</v>
      </c>
      <c r="O107" s="721" t="s">
        <v>4745</v>
      </c>
      <c r="P107" s="736" t="s">
        <v>4939</v>
      </c>
      <c r="Q107" s="724">
        <f t="shared" si="5"/>
        <v>-2</v>
      </c>
      <c r="R107" s="724">
        <f t="shared" si="5"/>
        <v>-0.65</v>
      </c>
      <c r="S107" s="737" t="str">
        <f t="shared" si="6"/>
        <v/>
      </c>
      <c r="T107" s="737" t="str">
        <f t="shared" si="7"/>
        <v/>
      </c>
      <c r="U107" s="737" t="str">
        <f t="shared" si="8"/>
        <v/>
      </c>
      <c r="V107" s="738" t="str">
        <f t="shared" si="9"/>
        <v/>
      </c>
      <c r="W107" s="725"/>
    </row>
    <row r="108" spans="1:23" ht="14.4" customHeight="1" x14ac:dyDescent="0.3">
      <c r="A108" s="784" t="s">
        <v>4940</v>
      </c>
      <c r="B108" s="716">
        <v>1</v>
      </c>
      <c r="C108" s="717">
        <v>23.61</v>
      </c>
      <c r="D108" s="718">
        <v>18</v>
      </c>
      <c r="E108" s="735"/>
      <c r="F108" s="719"/>
      <c r="G108" s="720"/>
      <c r="H108" s="721"/>
      <c r="I108" s="719"/>
      <c r="J108" s="720"/>
      <c r="K108" s="722">
        <v>23.68</v>
      </c>
      <c r="L108" s="721">
        <v>11</v>
      </c>
      <c r="M108" s="721">
        <v>87</v>
      </c>
      <c r="N108" s="723">
        <v>29</v>
      </c>
      <c r="O108" s="721" t="s">
        <v>4745</v>
      </c>
      <c r="P108" s="736" t="s">
        <v>4941</v>
      </c>
      <c r="Q108" s="724">
        <f t="shared" si="5"/>
        <v>-1</v>
      </c>
      <c r="R108" s="724">
        <f t="shared" si="5"/>
        <v>-23.61</v>
      </c>
      <c r="S108" s="737" t="str">
        <f t="shared" si="6"/>
        <v/>
      </c>
      <c r="T108" s="737" t="str">
        <f t="shared" si="7"/>
        <v/>
      </c>
      <c r="U108" s="737" t="str">
        <f t="shared" si="8"/>
        <v/>
      </c>
      <c r="V108" s="738" t="str">
        <f t="shared" si="9"/>
        <v/>
      </c>
      <c r="W108" s="725"/>
    </row>
    <row r="109" spans="1:23" ht="14.4" customHeight="1" x14ac:dyDescent="0.3">
      <c r="A109" s="784" t="s">
        <v>4942</v>
      </c>
      <c r="B109" s="737"/>
      <c r="C109" s="739"/>
      <c r="D109" s="740"/>
      <c r="E109" s="726">
        <v>1</v>
      </c>
      <c r="F109" s="727">
        <v>16.940000000000001</v>
      </c>
      <c r="G109" s="728">
        <v>30</v>
      </c>
      <c r="H109" s="721"/>
      <c r="I109" s="719"/>
      <c r="J109" s="720"/>
      <c r="K109" s="722">
        <v>16.940000000000001</v>
      </c>
      <c r="L109" s="721">
        <v>5</v>
      </c>
      <c r="M109" s="721">
        <v>72</v>
      </c>
      <c r="N109" s="723">
        <v>24</v>
      </c>
      <c r="O109" s="721" t="s">
        <v>4745</v>
      </c>
      <c r="P109" s="736" t="s">
        <v>4943</v>
      </c>
      <c r="Q109" s="724">
        <f t="shared" si="5"/>
        <v>0</v>
      </c>
      <c r="R109" s="724">
        <f t="shared" si="5"/>
        <v>0</v>
      </c>
      <c r="S109" s="737" t="str">
        <f t="shared" si="6"/>
        <v/>
      </c>
      <c r="T109" s="737" t="str">
        <f t="shared" si="7"/>
        <v/>
      </c>
      <c r="U109" s="737" t="str">
        <f t="shared" si="8"/>
        <v/>
      </c>
      <c r="V109" s="738" t="str">
        <f t="shared" si="9"/>
        <v/>
      </c>
      <c r="W109" s="725"/>
    </row>
    <row r="110" spans="1:23" ht="14.4" customHeight="1" x14ac:dyDescent="0.3">
      <c r="A110" s="784" t="s">
        <v>4944</v>
      </c>
      <c r="B110" s="737"/>
      <c r="C110" s="739"/>
      <c r="D110" s="740"/>
      <c r="E110" s="735">
        <v>1</v>
      </c>
      <c r="F110" s="719">
        <v>0.89</v>
      </c>
      <c r="G110" s="720">
        <v>4</v>
      </c>
      <c r="H110" s="726"/>
      <c r="I110" s="727"/>
      <c r="J110" s="728"/>
      <c r="K110" s="722">
        <v>0.89</v>
      </c>
      <c r="L110" s="721">
        <v>3</v>
      </c>
      <c r="M110" s="721">
        <v>24</v>
      </c>
      <c r="N110" s="723">
        <v>8</v>
      </c>
      <c r="O110" s="721" t="s">
        <v>4745</v>
      </c>
      <c r="P110" s="736" t="s">
        <v>4945</v>
      </c>
      <c r="Q110" s="724">
        <f t="shared" si="5"/>
        <v>0</v>
      </c>
      <c r="R110" s="724">
        <f t="shared" si="5"/>
        <v>0</v>
      </c>
      <c r="S110" s="737" t="str">
        <f t="shared" si="6"/>
        <v/>
      </c>
      <c r="T110" s="737" t="str">
        <f t="shared" si="7"/>
        <v/>
      </c>
      <c r="U110" s="737" t="str">
        <f t="shared" si="8"/>
        <v/>
      </c>
      <c r="V110" s="738" t="str">
        <f t="shared" si="9"/>
        <v/>
      </c>
      <c r="W110" s="725"/>
    </row>
    <row r="111" spans="1:23" ht="14.4" customHeight="1" x14ac:dyDescent="0.3">
      <c r="A111" s="785" t="s">
        <v>4946</v>
      </c>
      <c r="B111" s="769">
        <v>1</v>
      </c>
      <c r="C111" s="770">
        <v>2.59</v>
      </c>
      <c r="D111" s="741">
        <v>6</v>
      </c>
      <c r="E111" s="771"/>
      <c r="F111" s="772"/>
      <c r="G111" s="729"/>
      <c r="H111" s="773">
        <v>1</v>
      </c>
      <c r="I111" s="774">
        <v>5.27</v>
      </c>
      <c r="J111" s="730">
        <v>6</v>
      </c>
      <c r="K111" s="775">
        <v>1.62</v>
      </c>
      <c r="L111" s="776">
        <v>4</v>
      </c>
      <c r="M111" s="776">
        <v>36</v>
      </c>
      <c r="N111" s="777">
        <v>12</v>
      </c>
      <c r="O111" s="776" t="s">
        <v>4745</v>
      </c>
      <c r="P111" s="778" t="s">
        <v>4945</v>
      </c>
      <c r="Q111" s="779">
        <f t="shared" si="5"/>
        <v>0</v>
      </c>
      <c r="R111" s="779">
        <f t="shared" si="5"/>
        <v>2.6799999999999997</v>
      </c>
      <c r="S111" s="769">
        <f t="shared" si="6"/>
        <v>12</v>
      </c>
      <c r="T111" s="769">
        <f t="shared" si="7"/>
        <v>6</v>
      </c>
      <c r="U111" s="769">
        <f t="shared" si="8"/>
        <v>-6</v>
      </c>
      <c r="V111" s="780">
        <f t="shared" si="9"/>
        <v>0.5</v>
      </c>
      <c r="W111" s="731"/>
    </row>
    <row r="112" spans="1:23" ht="14.4" customHeight="1" x14ac:dyDescent="0.3">
      <c r="A112" s="784" t="s">
        <v>4947</v>
      </c>
      <c r="B112" s="737">
        <v>1</v>
      </c>
      <c r="C112" s="739">
        <v>4.07</v>
      </c>
      <c r="D112" s="740">
        <v>4</v>
      </c>
      <c r="E112" s="735"/>
      <c r="F112" s="719"/>
      <c r="G112" s="720"/>
      <c r="H112" s="726">
        <v>2</v>
      </c>
      <c r="I112" s="727">
        <v>9.44</v>
      </c>
      <c r="J112" s="732">
        <v>2.5</v>
      </c>
      <c r="K112" s="722">
        <v>3.18</v>
      </c>
      <c r="L112" s="721">
        <v>1</v>
      </c>
      <c r="M112" s="721">
        <v>5</v>
      </c>
      <c r="N112" s="723">
        <v>2</v>
      </c>
      <c r="O112" s="721" t="s">
        <v>4745</v>
      </c>
      <c r="P112" s="736" t="s">
        <v>4948</v>
      </c>
      <c r="Q112" s="724">
        <f t="shared" si="5"/>
        <v>1</v>
      </c>
      <c r="R112" s="724">
        <f t="shared" si="5"/>
        <v>5.3699999999999992</v>
      </c>
      <c r="S112" s="737">
        <f t="shared" si="6"/>
        <v>4</v>
      </c>
      <c r="T112" s="737">
        <f t="shared" si="7"/>
        <v>5</v>
      </c>
      <c r="U112" s="737">
        <f t="shared" si="8"/>
        <v>1</v>
      </c>
      <c r="V112" s="738">
        <f t="shared" si="9"/>
        <v>1.25</v>
      </c>
      <c r="W112" s="725">
        <v>1</v>
      </c>
    </row>
    <row r="113" spans="1:23" ht="14.4" customHeight="1" x14ac:dyDescent="0.3">
      <c r="A113" s="784" t="s">
        <v>4949</v>
      </c>
      <c r="B113" s="716">
        <v>4</v>
      </c>
      <c r="C113" s="717">
        <v>14.49</v>
      </c>
      <c r="D113" s="718">
        <v>11.3</v>
      </c>
      <c r="E113" s="735"/>
      <c r="F113" s="719"/>
      <c r="G113" s="720"/>
      <c r="H113" s="721">
        <v>1</v>
      </c>
      <c r="I113" s="719">
        <v>1.87</v>
      </c>
      <c r="J113" s="720">
        <v>2</v>
      </c>
      <c r="K113" s="722">
        <v>4.42</v>
      </c>
      <c r="L113" s="721">
        <v>6</v>
      </c>
      <c r="M113" s="721">
        <v>57</v>
      </c>
      <c r="N113" s="723">
        <v>19</v>
      </c>
      <c r="O113" s="721" t="s">
        <v>4745</v>
      </c>
      <c r="P113" s="736" t="s">
        <v>4950</v>
      </c>
      <c r="Q113" s="724">
        <f t="shared" si="5"/>
        <v>-3</v>
      </c>
      <c r="R113" s="724">
        <f t="shared" si="5"/>
        <v>-12.620000000000001</v>
      </c>
      <c r="S113" s="737">
        <f t="shared" si="6"/>
        <v>19</v>
      </c>
      <c r="T113" s="737">
        <f t="shared" si="7"/>
        <v>2</v>
      </c>
      <c r="U113" s="737">
        <f t="shared" si="8"/>
        <v>-17</v>
      </c>
      <c r="V113" s="738">
        <f t="shared" si="9"/>
        <v>0.10526315789473684</v>
      </c>
      <c r="W113" s="725"/>
    </row>
    <row r="114" spans="1:23" ht="14.4" customHeight="1" thickBot="1" x14ac:dyDescent="0.35">
      <c r="A114" s="786" t="s">
        <v>4951</v>
      </c>
      <c r="B114" s="787"/>
      <c r="C114" s="788"/>
      <c r="D114" s="789"/>
      <c r="E114" s="790">
        <v>1</v>
      </c>
      <c r="F114" s="791">
        <v>0.37</v>
      </c>
      <c r="G114" s="792">
        <v>5</v>
      </c>
      <c r="H114" s="793"/>
      <c r="I114" s="794"/>
      <c r="J114" s="795"/>
      <c r="K114" s="796">
        <v>0.11</v>
      </c>
      <c r="L114" s="793">
        <v>2</v>
      </c>
      <c r="M114" s="793">
        <v>15</v>
      </c>
      <c r="N114" s="797">
        <v>5</v>
      </c>
      <c r="O114" s="793" t="s">
        <v>4745</v>
      </c>
      <c r="P114" s="798" t="s">
        <v>4952</v>
      </c>
      <c r="Q114" s="799">
        <f t="shared" si="5"/>
        <v>0</v>
      </c>
      <c r="R114" s="799">
        <f t="shared" si="5"/>
        <v>0</v>
      </c>
      <c r="S114" s="787" t="str">
        <f t="shared" si="6"/>
        <v/>
      </c>
      <c r="T114" s="787" t="str">
        <f t="shared" si="7"/>
        <v/>
      </c>
      <c r="U114" s="787" t="str">
        <f t="shared" si="8"/>
        <v/>
      </c>
      <c r="V114" s="800" t="str">
        <f t="shared" si="9"/>
        <v/>
      </c>
      <c r="W114" s="8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15:Q1048576">
    <cfRule type="cellIs" dxfId="12" priority="9" stopIfTrue="1" operator="lessThan">
      <formula>0</formula>
    </cfRule>
  </conditionalFormatting>
  <conditionalFormatting sqref="U115:U1048576">
    <cfRule type="cellIs" dxfId="11" priority="8" stopIfTrue="1" operator="greaterThan">
      <formula>0</formula>
    </cfRule>
  </conditionalFormatting>
  <conditionalFormatting sqref="V115:V1048576">
    <cfRule type="cellIs" dxfId="10" priority="7" stopIfTrue="1" operator="greaterThan">
      <formula>1</formula>
    </cfRule>
  </conditionalFormatting>
  <conditionalFormatting sqref="V115:V1048576">
    <cfRule type="cellIs" dxfId="9" priority="4" stopIfTrue="1" operator="greaterThan">
      <formula>1</formula>
    </cfRule>
  </conditionalFormatting>
  <conditionalFormatting sqref="U115:U1048576">
    <cfRule type="cellIs" dxfId="8" priority="5" stopIfTrue="1" operator="greaterThan">
      <formula>0</formula>
    </cfRule>
  </conditionalFormatting>
  <conditionalFormatting sqref="Q115:Q1048576">
    <cfRule type="cellIs" dxfId="7" priority="6" stopIfTrue="1" operator="lessThan">
      <formula>0</formula>
    </cfRule>
  </conditionalFormatting>
  <conditionalFormatting sqref="V5:V114">
    <cfRule type="cellIs" dxfId="6" priority="1" stopIfTrue="1" operator="greaterThan">
      <formula>1</formula>
    </cfRule>
  </conditionalFormatting>
  <conditionalFormatting sqref="U5:U114">
    <cfRule type="cellIs" dxfId="5" priority="2" stopIfTrue="1" operator="greaterThan">
      <formula>0</formula>
    </cfRule>
  </conditionalFormatting>
  <conditionalFormatting sqref="Q5:Q11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8" customWidth="1"/>
    <col min="2" max="2" width="7.77734375" style="203" customWidth="1"/>
    <col min="3" max="3" width="7.21875" style="238" hidden="1" customWidth="1"/>
    <col min="4" max="4" width="7.77734375" style="203" customWidth="1"/>
    <col min="5" max="5" width="7.21875" style="238" hidden="1" customWidth="1"/>
    <col min="6" max="6" width="7.77734375" style="203" customWidth="1"/>
    <col min="7" max="7" width="7.77734375" style="321" customWidth="1"/>
    <col min="8" max="8" width="7.77734375" style="203" customWidth="1"/>
    <col min="9" max="9" width="7.21875" style="238" hidden="1" customWidth="1"/>
    <col min="10" max="10" width="7.77734375" style="203" customWidth="1"/>
    <col min="11" max="11" width="7.21875" style="238" hidden="1" customWidth="1"/>
    <col min="12" max="12" width="7.77734375" style="203" customWidth="1"/>
    <col min="13" max="13" width="7.77734375" style="321" customWidth="1"/>
    <col min="14" max="16384" width="8.88671875" style="238"/>
  </cols>
  <sheetData>
    <row r="1" spans="1:13" ht="18.600000000000001" customHeight="1" thickBot="1" x14ac:dyDescent="0.4">
      <c r="A1" s="463" t="s">
        <v>141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4.4" customHeight="1" thickBot="1" x14ac:dyDescent="0.35">
      <c r="A2" s="360" t="s">
        <v>280</v>
      </c>
      <c r="B2" s="333"/>
      <c r="C2" s="208"/>
      <c r="D2" s="333"/>
      <c r="E2" s="208"/>
      <c r="F2" s="333"/>
      <c r="G2" s="334"/>
      <c r="H2" s="333"/>
      <c r="I2" s="208"/>
      <c r="J2" s="333"/>
      <c r="K2" s="208"/>
      <c r="L2" s="333"/>
      <c r="M2" s="334"/>
    </row>
    <row r="3" spans="1:13" ht="14.4" customHeight="1" thickBot="1" x14ac:dyDescent="0.35">
      <c r="A3" s="327" t="s">
        <v>142</v>
      </c>
      <c r="B3" s="328">
        <f>SUBTOTAL(9,B6:B1048576)</f>
        <v>9023119</v>
      </c>
      <c r="C3" s="329">
        <f t="shared" ref="C3:L3" si="0">SUBTOTAL(9,C6:C1048576)</f>
        <v>10</v>
      </c>
      <c r="D3" s="329">
        <f t="shared" si="0"/>
        <v>8842395</v>
      </c>
      <c r="E3" s="329">
        <f t="shared" si="0"/>
        <v>7.9637244366214723</v>
      </c>
      <c r="F3" s="329">
        <f t="shared" si="0"/>
        <v>10578112</v>
      </c>
      <c r="G3" s="332">
        <f>IF(B3&lt;&gt;0,F3/B3,"")</f>
        <v>1.1723343114503977</v>
      </c>
      <c r="H3" s="328">
        <f t="shared" si="0"/>
        <v>2462127.5100000002</v>
      </c>
      <c r="I3" s="329">
        <f t="shared" si="0"/>
        <v>3</v>
      </c>
      <c r="J3" s="329">
        <f t="shared" si="0"/>
        <v>2111411.6799999983</v>
      </c>
      <c r="K3" s="329">
        <f t="shared" si="0"/>
        <v>0.99517080959359305</v>
      </c>
      <c r="L3" s="329">
        <f t="shared" si="0"/>
        <v>1753495.1599999997</v>
      </c>
      <c r="M3" s="330">
        <f>IF(H3&lt;&gt;0,L3/H3,"")</f>
        <v>0.71218698173759465</v>
      </c>
    </row>
    <row r="4" spans="1:13" ht="14.4" customHeight="1" x14ac:dyDescent="0.3">
      <c r="A4" s="559" t="s">
        <v>105</v>
      </c>
      <c r="B4" s="513" t="s">
        <v>110</v>
      </c>
      <c r="C4" s="514"/>
      <c r="D4" s="514"/>
      <c r="E4" s="514"/>
      <c r="F4" s="514"/>
      <c r="G4" s="515"/>
      <c r="H4" s="513" t="s">
        <v>111</v>
      </c>
      <c r="I4" s="514"/>
      <c r="J4" s="514"/>
      <c r="K4" s="514"/>
      <c r="L4" s="514"/>
      <c r="M4" s="515"/>
    </row>
    <row r="5" spans="1:13" s="319" customFormat="1" ht="14.4" customHeight="1" thickBot="1" x14ac:dyDescent="0.35">
      <c r="A5" s="802"/>
      <c r="B5" s="803">
        <v>2014</v>
      </c>
      <c r="C5" s="804"/>
      <c r="D5" s="804">
        <v>2015</v>
      </c>
      <c r="E5" s="804"/>
      <c r="F5" s="804">
        <v>2016</v>
      </c>
      <c r="G5" s="703" t="s">
        <v>2</v>
      </c>
      <c r="H5" s="803">
        <v>2014</v>
      </c>
      <c r="I5" s="804"/>
      <c r="J5" s="804">
        <v>2015</v>
      </c>
      <c r="K5" s="804"/>
      <c r="L5" s="804">
        <v>2016</v>
      </c>
      <c r="M5" s="703" t="s">
        <v>2</v>
      </c>
    </row>
    <row r="6" spans="1:13" ht="14.4" customHeight="1" x14ac:dyDescent="0.3">
      <c r="A6" s="644" t="s">
        <v>4954</v>
      </c>
      <c r="B6" s="704">
        <v>14452</v>
      </c>
      <c r="C6" s="610">
        <v>1</v>
      </c>
      <c r="D6" s="704">
        <v>1912</v>
      </c>
      <c r="E6" s="610">
        <v>0.13230002767783006</v>
      </c>
      <c r="F6" s="704">
        <v>8456</v>
      </c>
      <c r="G6" s="632">
        <v>0.58510932742872956</v>
      </c>
      <c r="H6" s="704">
        <v>6561.49</v>
      </c>
      <c r="I6" s="610">
        <v>1</v>
      </c>
      <c r="J6" s="704">
        <v>885.4</v>
      </c>
      <c r="K6" s="610">
        <v>0.1349388629716726</v>
      </c>
      <c r="L6" s="704"/>
      <c r="M6" s="656"/>
    </row>
    <row r="7" spans="1:13" ht="14.4" customHeight="1" x14ac:dyDescent="0.3">
      <c r="A7" s="645" t="s">
        <v>4955</v>
      </c>
      <c r="B7" s="805">
        <v>6900</v>
      </c>
      <c r="C7" s="616">
        <v>1</v>
      </c>
      <c r="D7" s="805"/>
      <c r="E7" s="616"/>
      <c r="F7" s="805">
        <v>7036</v>
      </c>
      <c r="G7" s="640">
        <v>1.0197101449275363</v>
      </c>
      <c r="H7" s="805">
        <v>2127.4</v>
      </c>
      <c r="I7" s="616">
        <v>1</v>
      </c>
      <c r="J7" s="805"/>
      <c r="K7" s="616"/>
      <c r="L7" s="805">
        <v>2017</v>
      </c>
      <c r="M7" s="806">
        <v>0.94810566889160475</v>
      </c>
    </row>
    <row r="8" spans="1:13" ht="14.4" customHeight="1" x14ac:dyDescent="0.3">
      <c r="A8" s="645" t="s">
        <v>4956</v>
      </c>
      <c r="B8" s="805">
        <v>373954</v>
      </c>
      <c r="C8" s="616">
        <v>1</v>
      </c>
      <c r="D8" s="805">
        <v>463663</v>
      </c>
      <c r="E8" s="616">
        <v>1.2398931419372436</v>
      </c>
      <c r="F8" s="805">
        <v>576988</v>
      </c>
      <c r="G8" s="640">
        <v>1.5429384362782588</v>
      </c>
      <c r="H8" s="805"/>
      <c r="I8" s="616"/>
      <c r="J8" s="805"/>
      <c r="K8" s="616"/>
      <c r="L8" s="805"/>
      <c r="M8" s="806"/>
    </row>
    <row r="9" spans="1:13" ht="14.4" customHeight="1" x14ac:dyDescent="0.3">
      <c r="A9" s="645" t="s">
        <v>4957</v>
      </c>
      <c r="B9" s="805">
        <v>1900163</v>
      </c>
      <c r="C9" s="616">
        <v>1</v>
      </c>
      <c r="D9" s="805">
        <v>2084645</v>
      </c>
      <c r="E9" s="616">
        <v>1.0970874603915559</v>
      </c>
      <c r="F9" s="805">
        <v>2522282</v>
      </c>
      <c r="G9" s="640">
        <v>1.3274029649035373</v>
      </c>
      <c r="H9" s="805"/>
      <c r="I9" s="616"/>
      <c r="J9" s="805"/>
      <c r="K9" s="616"/>
      <c r="L9" s="805"/>
      <c r="M9" s="806"/>
    </row>
    <row r="10" spans="1:13" ht="14.4" customHeight="1" x14ac:dyDescent="0.3">
      <c r="A10" s="645" t="s">
        <v>4958</v>
      </c>
      <c r="B10" s="805">
        <v>2473459</v>
      </c>
      <c r="C10" s="616">
        <v>1</v>
      </c>
      <c r="D10" s="805">
        <v>2103418</v>
      </c>
      <c r="E10" s="616">
        <v>0.85039533705632475</v>
      </c>
      <c r="F10" s="805">
        <v>2600820</v>
      </c>
      <c r="G10" s="640">
        <v>1.0514910495787477</v>
      </c>
      <c r="H10" s="805">
        <v>2453438.62</v>
      </c>
      <c r="I10" s="616">
        <v>1</v>
      </c>
      <c r="J10" s="805">
        <v>2110526.2799999984</v>
      </c>
      <c r="K10" s="616">
        <v>0.86023194662192048</v>
      </c>
      <c r="L10" s="805">
        <v>1751478.1599999997</v>
      </c>
      <c r="M10" s="806">
        <v>0.71388709125317329</v>
      </c>
    </row>
    <row r="11" spans="1:13" ht="14.4" customHeight="1" x14ac:dyDescent="0.3">
      <c r="A11" s="645" t="s">
        <v>4959</v>
      </c>
      <c r="B11" s="805">
        <v>598175</v>
      </c>
      <c r="C11" s="616">
        <v>1</v>
      </c>
      <c r="D11" s="805">
        <v>765782</v>
      </c>
      <c r="E11" s="616">
        <v>1.2801972666861705</v>
      </c>
      <c r="F11" s="805">
        <v>834831</v>
      </c>
      <c r="G11" s="640">
        <v>1.3956300413758516</v>
      </c>
      <c r="H11" s="805"/>
      <c r="I11" s="616"/>
      <c r="J11" s="805"/>
      <c r="K11" s="616"/>
      <c r="L11" s="805"/>
      <c r="M11" s="806"/>
    </row>
    <row r="12" spans="1:13" ht="14.4" customHeight="1" x14ac:dyDescent="0.3">
      <c r="A12" s="645" t="s">
        <v>4960</v>
      </c>
      <c r="B12" s="805">
        <v>2732068</v>
      </c>
      <c r="C12" s="616">
        <v>1</v>
      </c>
      <c r="D12" s="805">
        <v>2457723</v>
      </c>
      <c r="E12" s="616">
        <v>0.89958339250706787</v>
      </c>
      <c r="F12" s="805">
        <v>2851311</v>
      </c>
      <c r="G12" s="640">
        <v>1.0436456925669493</v>
      </c>
      <c r="H12" s="805"/>
      <c r="I12" s="616"/>
      <c r="J12" s="805"/>
      <c r="K12" s="616"/>
      <c r="L12" s="805"/>
      <c r="M12" s="806"/>
    </row>
    <row r="13" spans="1:13" ht="14.4" customHeight="1" x14ac:dyDescent="0.3">
      <c r="A13" s="645" t="s">
        <v>4961</v>
      </c>
      <c r="B13" s="805">
        <v>740354</v>
      </c>
      <c r="C13" s="616">
        <v>1</v>
      </c>
      <c r="D13" s="805">
        <v>829082</v>
      </c>
      <c r="E13" s="616">
        <v>1.1198453712683392</v>
      </c>
      <c r="F13" s="805">
        <v>875037</v>
      </c>
      <c r="G13" s="640">
        <v>1.1819170288807788</v>
      </c>
      <c r="H13" s="805"/>
      <c r="I13" s="616"/>
      <c r="J13" s="805"/>
      <c r="K13" s="616"/>
      <c r="L13" s="805"/>
      <c r="M13" s="806"/>
    </row>
    <row r="14" spans="1:13" ht="14.4" customHeight="1" x14ac:dyDescent="0.3">
      <c r="A14" s="645" t="s">
        <v>4962</v>
      </c>
      <c r="B14" s="805">
        <v>38580</v>
      </c>
      <c r="C14" s="616">
        <v>1</v>
      </c>
      <c r="D14" s="805">
        <v>21404</v>
      </c>
      <c r="E14" s="616">
        <v>0.55479523068947645</v>
      </c>
      <c r="F14" s="805">
        <v>63821</v>
      </c>
      <c r="G14" s="640">
        <v>1.654250907205806</v>
      </c>
      <c r="H14" s="805"/>
      <c r="I14" s="616"/>
      <c r="J14" s="805"/>
      <c r="K14" s="616"/>
      <c r="L14" s="805"/>
      <c r="M14" s="806"/>
    </row>
    <row r="15" spans="1:13" ht="14.4" customHeight="1" x14ac:dyDescent="0.3">
      <c r="A15" s="645" t="s">
        <v>4963</v>
      </c>
      <c r="B15" s="805">
        <v>145014</v>
      </c>
      <c r="C15" s="616">
        <v>1</v>
      </c>
      <c r="D15" s="805">
        <v>114507</v>
      </c>
      <c r="E15" s="616">
        <v>0.78962720840746414</v>
      </c>
      <c r="F15" s="805">
        <v>224807</v>
      </c>
      <c r="G15" s="640">
        <v>1.5502434247727805</v>
      </c>
      <c r="H15" s="805"/>
      <c r="I15" s="616"/>
      <c r="J15" s="805"/>
      <c r="K15" s="616"/>
      <c r="L15" s="805"/>
      <c r="M15" s="806"/>
    </row>
    <row r="16" spans="1:13" ht="14.4" customHeight="1" thickBot="1" x14ac:dyDescent="0.35">
      <c r="A16" s="706" t="s">
        <v>2852</v>
      </c>
      <c r="B16" s="705"/>
      <c r="C16" s="622"/>
      <c r="D16" s="705">
        <v>259</v>
      </c>
      <c r="E16" s="622"/>
      <c r="F16" s="705">
        <v>12723</v>
      </c>
      <c r="G16" s="633"/>
      <c r="H16" s="705"/>
      <c r="I16" s="622"/>
      <c r="J16" s="705"/>
      <c r="K16" s="622"/>
      <c r="L16" s="705"/>
      <c r="M16" s="65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4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8" customWidth="1"/>
    <col min="8" max="9" width="9.33203125" style="318" hidden="1" customWidth="1"/>
    <col min="10" max="11" width="11.109375" style="318" customWidth="1"/>
    <col min="12" max="13" width="9.33203125" style="318" hidden="1" customWidth="1"/>
    <col min="14" max="15" width="11.109375" style="318" customWidth="1"/>
    <col min="16" max="16" width="11.109375" style="321" customWidth="1"/>
    <col min="17" max="17" width="11.109375" style="318" customWidth="1"/>
    <col min="18" max="16384" width="8.88671875" style="238"/>
  </cols>
  <sheetData>
    <row r="1" spans="1:17" ht="18.600000000000001" customHeight="1" thickBot="1" x14ac:dyDescent="0.4">
      <c r="A1" s="463" t="s">
        <v>5762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ht="14.4" customHeight="1" thickBot="1" x14ac:dyDescent="0.35">
      <c r="A2" s="360" t="s">
        <v>280</v>
      </c>
      <c r="B2" s="208"/>
      <c r="C2" s="208"/>
      <c r="D2" s="208"/>
      <c r="E2" s="208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4"/>
      <c r="Q2" s="337"/>
    </row>
    <row r="3" spans="1:17" ht="14.4" customHeight="1" thickBot="1" x14ac:dyDescent="0.35">
      <c r="E3" s="97" t="s">
        <v>142</v>
      </c>
      <c r="F3" s="195">
        <f t="shared" ref="F3:O3" si="0">SUBTOTAL(9,F6:F1048576)</f>
        <v>60641.89</v>
      </c>
      <c r="G3" s="199">
        <f t="shared" si="0"/>
        <v>11485246.51</v>
      </c>
      <c r="H3" s="200"/>
      <c r="I3" s="200"/>
      <c r="J3" s="195">
        <f t="shared" si="0"/>
        <v>63056.159999999996</v>
      </c>
      <c r="K3" s="199">
        <f t="shared" si="0"/>
        <v>10953806.68</v>
      </c>
      <c r="L3" s="200"/>
      <c r="M3" s="200"/>
      <c r="N3" s="195">
        <f t="shared" si="0"/>
        <v>75498.97</v>
      </c>
      <c r="O3" s="199">
        <f t="shared" si="0"/>
        <v>12331607.16</v>
      </c>
      <c r="P3" s="166">
        <f>IF(G3=0,"",O3/G3)</f>
        <v>1.07369111749261</v>
      </c>
      <c r="Q3" s="197">
        <f>IF(N3=0,"",O3/N3)</f>
        <v>163.33477344128005</v>
      </c>
    </row>
    <row r="4" spans="1:17" ht="14.4" customHeight="1" x14ac:dyDescent="0.3">
      <c r="A4" s="518" t="s">
        <v>61</v>
      </c>
      <c r="B4" s="517" t="s">
        <v>106</v>
      </c>
      <c r="C4" s="518" t="s">
        <v>107</v>
      </c>
      <c r="D4" s="522" t="s">
        <v>77</v>
      </c>
      <c r="E4" s="519" t="s">
        <v>11</v>
      </c>
      <c r="F4" s="520">
        <v>2014</v>
      </c>
      <c r="G4" s="521"/>
      <c r="H4" s="198"/>
      <c r="I4" s="198"/>
      <c r="J4" s="520">
        <v>2015</v>
      </c>
      <c r="K4" s="521"/>
      <c r="L4" s="198"/>
      <c r="M4" s="198"/>
      <c r="N4" s="520">
        <v>2016</v>
      </c>
      <c r="O4" s="521"/>
      <c r="P4" s="523" t="s">
        <v>2</v>
      </c>
      <c r="Q4" s="516" t="s">
        <v>109</v>
      </c>
    </row>
    <row r="5" spans="1:17" ht="14.4" customHeight="1" thickBot="1" x14ac:dyDescent="0.35">
      <c r="A5" s="707"/>
      <c r="B5" s="708"/>
      <c r="C5" s="707"/>
      <c r="D5" s="709"/>
      <c r="E5" s="710"/>
      <c r="F5" s="711" t="s">
        <v>78</v>
      </c>
      <c r="G5" s="712" t="s">
        <v>14</v>
      </c>
      <c r="H5" s="713"/>
      <c r="I5" s="713"/>
      <c r="J5" s="711" t="s">
        <v>78</v>
      </c>
      <c r="K5" s="712" t="s">
        <v>14</v>
      </c>
      <c r="L5" s="713"/>
      <c r="M5" s="713"/>
      <c r="N5" s="711" t="s">
        <v>78</v>
      </c>
      <c r="O5" s="712" t="s">
        <v>14</v>
      </c>
      <c r="P5" s="714"/>
      <c r="Q5" s="715"/>
    </row>
    <row r="6" spans="1:17" ht="14.4" customHeight="1" x14ac:dyDescent="0.3">
      <c r="A6" s="609" t="s">
        <v>4964</v>
      </c>
      <c r="B6" s="610" t="s">
        <v>4734</v>
      </c>
      <c r="C6" s="610" t="s">
        <v>3971</v>
      </c>
      <c r="D6" s="610" t="s">
        <v>4019</v>
      </c>
      <c r="E6" s="610" t="s">
        <v>4020</v>
      </c>
      <c r="F6" s="613">
        <v>0.30000000000000004</v>
      </c>
      <c r="G6" s="613">
        <v>1638.2400000000002</v>
      </c>
      <c r="H6" s="613">
        <v>1</v>
      </c>
      <c r="I6" s="613">
        <v>5460.8</v>
      </c>
      <c r="J6" s="613">
        <v>0.2</v>
      </c>
      <c r="K6" s="613">
        <v>885.4</v>
      </c>
      <c r="L6" s="613">
        <v>0.54045805254419366</v>
      </c>
      <c r="M6" s="613">
        <v>4427</v>
      </c>
      <c r="N6" s="613"/>
      <c r="O6" s="613"/>
      <c r="P6" s="632"/>
      <c r="Q6" s="614"/>
    </row>
    <row r="7" spans="1:17" ht="14.4" customHeight="1" x14ac:dyDescent="0.3">
      <c r="A7" s="615" t="s">
        <v>4964</v>
      </c>
      <c r="B7" s="616" t="s">
        <v>4734</v>
      </c>
      <c r="C7" s="616" t="s">
        <v>4140</v>
      </c>
      <c r="D7" s="616" t="s">
        <v>4221</v>
      </c>
      <c r="E7" s="616" t="s">
        <v>4222</v>
      </c>
      <c r="F7" s="619">
        <v>1</v>
      </c>
      <c r="G7" s="619">
        <v>2625.11</v>
      </c>
      <c r="H7" s="619">
        <v>1</v>
      </c>
      <c r="I7" s="619">
        <v>2625.11</v>
      </c>
      <c r="J7" s="619"/>
      <c r="K7" s="619"/>
      <c r="L7" s="619"/>
      <c r="M7" s="619"/>
      <c r="N7" s="619"/>
      <c r="O7" s="619"/>
      <c r="P7" s="640"/>
      <c r="Q7" s="620"/>
    </row>
    <row r="8" spans="1:17" ht="14.4" customHeight="1" x14ac:dyDescent="0.3">
      <c r="A8" s="615" t="s">
        <v>4964</v>
      </c>
      <c r="B8" s="616" t="s">
        <v>4734</v>
      </c>
      <c r="C8" s="616" t="s">
        <v>4140</v>
      </c>
      <c r="D8" s="616" t="s">
        <v>4268</v>
      </c>
      <c r="E8" s="616" t="s">
        <v>4269</v>
      </c>
      <c r="F8" s="619">
        <v>1</v>
      </c>
      <c r="G8" s="619">
        <v>901.64</v>
      </c>
      <c r="H8" s="619">
        <v>1</v>
      </c>
      <c r="I8" s="619">
        <v>901.64</v>
      </c>
      <c r="J8" s="619"/>
      <c r="K8" s="619"/>
      <c r="L8" s="619"/>
      <c r="M8" s="619"/>
      <c r="N8" s="619"/>
      <c r="O8" s="619"/>
      <c r="P8" s="640"/>
      <c r="Q8" s="620"/>
    </row>
    <row r="9" spans="1:17" ht="14.4" customHeight="1" x14ac:dyDescent="0.3">
      <c r="A9" s="615" t="s">
        <v>4964</v>
      </c>
      <c r="B9" s="616" t="s">
        <v>4734</v>
      </c>
      <c r="C9" s="616" t="s">
        <v>4140</v>
      </c>
      <c r="D9" s="616" t="s">
        <v>4322</v>
      </c>
      <c r="E9" s="616" t="s">
        <v>4323</v>
      </c>
      <c r="F9" s="619">
        <v>1</v>
      </c>
      <c r="G9" s="619">
        <v>1396.5</v>
      </c>
      <c r="H9" s="619">
        <v>1</v>
      </c>
      <c r="I9" s="619">
        <v>1396.5</v>
      </c>
      <c r="J9" s="619"/>
      <c r="K9" s="619"/>
      <c r="L9" s="619"/>
      <c r="M9" s="619"/>
      <c r="N9" s="619"/>
      <c r="O9" s="619"/>
      <c r="P9" s="640"/>
      <c r="Q9" s="620"/>
    </row>
    <row r="10" spans="1:17" ht="14.4" customHeight="1" x14ac:dyDescent="0.3">
      <c r="A10" s="615" t="s">
        <v>4964</v>
      </c>
      <c r="B10" s="616" t="s">
        <v>4734</v>
      </c>
      <c r="C10" s="616" t="s">
        <v>3592</v>
      </c>
      <c r="D10" s="616" t="s">
        <v>4965</v>
      </c>
      <c r="E10" s="616" t="s">
        <v>4966</v>
      </c>
      <c r="F10" s="619">
        <v>2</v>
      </c>
      <c r="G10" s="619">
        <v>2238</v>
      </c>
      <c r="H10" s="619">
        <v>1</v>
      </c>
      <c r="I10" s="619">
        <v>1119</v>
      </c>
      <c r="J10" s="619"/>
      <c r="K10" s="619"/>
      <c r="L10" s="619"/>
      <c r="M10" s="619"/>
      <c r="N10" s="619">
        <v>1</v>
      </c>
      <c r="O10" s="619">
        <v>1136</v>
      </c>
      <c r="P10" s="640">
        <v>0.50759606791778378</v>
      </c>
      <c r="Q10" s="620">
        <v>1136</v>
      </c>
    </row>
    <row r="11" spans="1:17" ht="14.4" customHeight="1" x14ac:dyDescent="0.3">
      <c r="A11" s="615" t="s">
        <v>4964</v>
      </c>
      <c r="B11" s="616" t="s">
        <v>4734</v>
      </c>
      <c r="C11" s="616" t="s">
        <v>3592</v>
      </c>
      <c r="D11" s="616" t="s">
        <v>4735</v>
      </c>
      <c r="E11" s="616" t="s">
        <v>4736</v>
      </c>
      <c r="F11" s="619">
        <v>1</v>
      </c>
      <c r="G11" s="619">
        <v>258</v>
      </c>
      <c r="H11" s="619">
        <v>1</v>
      </c>
      <c r="I11" s="619">
        <v>258</v>
      </c>
      <c r="J11" s="619"/>
      <c r="K11" s="619"/>
      <c r="L11" s="619"/>
      <c r="M11" s="619"/>
      <c r="N11" s="619">
        <v>1</v>
      </c>
      <c r="O11" s="619">
        <v>265</v>
      </c>
      <c r="P11" s="640">
        <v>1.0271317829457365</v>
      </c>
      <c r="Q11" s="620">
        <v>265</v>
      </c>
    </row>
    <row r="12" spans="1:17" ht="14.4" customHeight="1" x14ac:dyDescent="0.3">
      <c r="A12" s="615" t="s">
        <v>4964</v>
      </c>
      <c r="B12" s="616" t="s">
        <v>4734</v>
      </c>
      <c r="C12" s="616" t="s">
        <v>3592</v>
      </c>
      <c r="D12" s="616" t="s">
        <v>4737</v>
      </c>
      <c r="E12" s="616" t="s">
        <v>4738</v>
      </c>
      <c r="F12" s="619">
        <v>1</v>
      </c>
      <c r="G12" s="619">
        <v>329</v>
      </c>
      <c r="H12" s="619">
        <v>1</v>
      </c>
      <c r="I12" s="619">
        <v>329</v>
      </c>
      <c r="J12" s="619"/>
      <c r="K12" s="619"/>
      <c r="L12" s="619"/>
      <c r="M12" s="619"/>
      <c r="N12" s="619"/>
      <c r="O12" s="619"/>
      <c r="P12" s="640"/>
      <c r="Q12" s="620"/>
    </row>
    <row r="13" spans="1:17" ht="14.4" customHeight="1" x14ac:dyDescent="0.3">
      <c r="A13" s="615" t="s">
        <v>4964</v>
      </c>
      <c r="B13" s="616" t="s">
        <v>4734</v>
      </c>
      <c r="C13" s="616" t="s">
        <v>3592</v>
      </c>
      <c r="D13" s="616" t="s">
        <v>4741</v>
      </c>
      <c r="E13" s="616" t="s">
        <v>4742</v>
      </c>
      <c r="F13" s="619">
        <v>2</v>
      </c>
      <c r="G13" s="619">
        <v>11150</v>
      </c>
      <c r="H13" s="619">
        <v>1</v>
      </c>
      <c r="I13" s="619">
        <v>5575</v>
      </c>
      <c r="J13" s="619"/>
      <c r="K13" s="619"/>
      <c r="L13" s="619"/>
      <c r="M13" s="619"/>
      <c r="N13" s="619">
        <v>1</v>
      </c>
      <c r="O13" s="619">
        <v>5597</v>
      </c>
      <c r="P13" s="640">
        <v>0.50197309417040359</v>
      </c>
      <c r="Q13" s="620">
        <v>5597</v>
      </c>
    </row>
    <row r="14" spans="1:17" ht="14.4" customHeight="1" x14ac:dyDescent="0.3">
      <c r="A14" s="615" t="s">
        <v>4964</v>
      </c>
      <c r="B14" s="616" t="s">
        <v>4734</v>
      </c>
      <c r="C14" s="616" t="s">
        <v>3592</v>
      </c>
      <c r="D14" s="616" t="s">
        <v>4967</v>
      </c>
      <c r="E14" s="616" t="s">
        <v>4968</v>
      </c>
      <c r="F14" s="619">
        <v>1</v>
      </c>
      <c r="G14" s="619">
        <v>477</v>
      </c>
      <c r="H14" s="619">
        <v>1</v>
      </c>
      <c r="I14" s="619">
        <v>477</v>
      </c>
      <c r="J14" s="619">
        <v>4</v>
      </c>
      <c r="K14" s="619">
        <v>1912</v>
      </c>
      <c r="L14" s="619">
        <v>4.0083857442348005</v>
      </c>
      <c r="M14" s="619">
        <v>478</v>
      </c>
      <c r="N14" s="619">
        <v>3</v>
      </c>
      <c r="O14" s="619">
        <v>1458</v>
      </c>
      <c r="P14" s="640">
        <v>3.0566037735849059</v>
      </c>
      <c r="Q14" s="620">
        <v>486</v>
      </c>
    </row>
    <row r="15" spans="1:17" ht="14.4" customHeight="1" x14ac:dyDescent="0.3">
      <c r="A15" s="615" t="s">
        <v>4969</v>
      </c>
      <c r="B15" s="616" t="s">
        <v>1173</v>
      </c>
      <c r="C15" s="616" t="s">
        <v>4119</v>
      </c>
      <c r="D15" s="616" t="s">
        <v>4970</v>
      </c>
      <c r="E15" s="616" t="s">
        <v>4971</v>
      </c>
      <c r="F15" s="619"/>
      <c r="G15" s="619"/>
      <c r="H15" s="619"/>
      <c r="I15" s="619"/>
      <c r="J15" s="619"/>
      <c r="K15" s="619"/>
      <c r="L15" s="619"/>
      <c r="M15" s="619"/>
      <c r="N15" s="619">
        <v>50</v>
      </c>
      <c r="O15" s="619">
        <v>1008.5</v>
      </c>
      <c r="P15" s="640"/>
      <c r="Q15" s="620">
        <v>20.170000000000002</v>
      </c>
    </row>
    <row r="16" spans="1:17" ht="14.4" customHeight="1" x14ac:dyDescent="0.3">
      <c r="A16" s="615" t="s">
        <v>4969</v>
      </c>
      <c r="B16" s="616" t="s">
        <v>1173</v>
      </c>
      <c r="C16" s="616" t="s">
        <v>4119</v>
      </c>
      <c r="D16" s="616" t="s">
        <v>4970</v>
      </c>
      <c r="E16" s="616"/>
      <c r="F16" s="619">
        <v>110</v>
      </c>
      <c r="G16" s="619">
        <v>2127.4</v>
      </c>
      <c r="H16" s="619">
        <v>1</v>
      </c>
      <c r="I16" s="619">
        <v>19.34</v>
      </c>
      <c r="J16" s="619"/>
      <c r="K16" s="619"/>
      <c r="L16" s="619"/>
      <c r="M16" s="619"/>
      <c r="N16" s="619">
        <v>50</v>
      </c>
      <c r="O16" s="619">
        <v>1008.5</v>
      </c>
      <c r="P16" s="640">
        <v>0.47405283444580237</v>
      </c>
      <c r="Q16" s="620">
        <v>20.170000000000002</v>
      </c>
    </row>
    <row r="17" spans="1:17" ht="14.4" customHeight="1" x14ac:dyDescent="0.3">
      <c r="A17" s="615" t="s">
        <v>4969</v>
      </c>
      <c r="B17" s="616" t="s">
        <v>1173</v>
      </c>
      <c r="C17" s="616" t="s">
        <v>3592</v>
      </c>
      <c r="D17" s="616" t="s">
        <v>4972</v>
      </c>
      <c r="E17" s="616" t="s">
        <v>4973</v>
      </c>
      <c r="F17" s="619">
        <v>2</v>
      </c>
      <c r="G17" s="619">
        <v>6900</v>
      </c>
      <c r="H17" s="619">
        <v>1</v>
      </c>
      <c r="I17" s="619">
        <v>3450</v>
      </c>
      <c r="J17" s="619"/>
      <c r="K17" s="619"/>
      <c r="L17" s="619"/>
      <c r="M17" s="619"/>
      <c r="N17" s="619">
        <v>2</v>
      </c>
      <c r="O17" s="619">
        <v>7036</v>
      </c>
      <c r="P17" s="640">
        <v>1.0197101449275363</v>
      </c>
      <c r="Q17" s="620">
        <v>3518</v>
      </c>
    </row>
    <row r="18" spans="1:17" ht="14.4" customHeight="1" x14ac:dyDescent="0.3">
      <c r="A18" s="615" t="s">
        <v>4974</v>
      </c>
      <c r="B18" s="616" t="s">
        <v>4975</v>
      </c>
      <c r="C18" s="616" t="s">
        <v>3592</v>
      </c>
      <c r="D18" s="616" t="s">
        <v>4976</v>
      </c>
      <c r="E18" s="616" t="s">
        <v>4977</v>
      </c>
      <c r="F18" s="619">
        <v>81</v>
      </c>
      <c r="G18" s="619">
        <v>28399</v>
      </c>
      <c r="H18" s="619">
        <v>1</v>
      </c>
      <c r="I18" s="619">
        <v>350.60493827160496</v>
      </c>
      <c r="J18" s="619">
        <v>161</v>
      </c>
      <c r="K18" s="619">
        <v>56511</v>
      </c>
      <c r="L18" s="619">
        <v>1.9898940103524771</v>
      </c>
      <c r="M18" s="619">
        <v>351</v>
      </c>
      <c r="N18" s="619">
        <v>197</v>
      </c>
      <c r="O18" s="619">
        <v>69738</v>
      </c>
      <c r="P18" s="640">
        <v>2.4556498468255925</v>
      </c>
      <c r="Q18" s="620">
        <v>354</v>
      </c>
    </row>
    <row r="19" spans="1:17" ht="14.4" customHeight="1" x14ac:dyDescent="0.3">
      <c r="A19" s="615" t="s">
        <v>4974</v>
      </c>
      <c r="B19" s="616" t="s">
        <v>4975</v>
      </c>
      <c r="C19" s="616" t="s">
        <v>3592</v>
      </c>
      <c r="D19" s="616" t="s">
        <v>4978</v>
      </c>
      <c r="E19" s="616" t="s">
        <v>4979</v>
      </c>
      <c r="F19" s="619">
        <v>213</v>
      </c>
      <c r="G19" s="619">
        <v>13845</v>
      </c>
      <c r="H19" s="619">
        <v>1</v>
      </c>
      <c r="I19" s="619">
        <v>65</v>
      </c>
      <c r="J19" s="619">
        <v>194</v>
      </c>
      <c r="K19" s="619">
        <v>12610</v>
      </c>
      <c r="L19" s="619">
        <v>0.91079812206572774</v>
      </c>
      <c r="M19" s="619">
        <v>65</v>
      </c>
      <c r="N19" s="619">
        <v>364</v>
      </c>
      <c r="O19" s="619">
        <v>23660</v>
      </c>
      <c r="P19" s="640">
        <v>1.7089201877934272</v>
      </c>
      <c r="Q19" s="620">
        <v>65</v>
      </c>
    </row>
    <row r="20" spans="1:17" ht="14.4" customHeight="1" x14ac:dyDescent="0.3">
      <c r="A20" s="615" t="s">
        <v>4974</v>
      </c>
      <c r="B20" s="616" t="s">
        <v>4975</v>
      </c>
      <c r="C20" s="616" t="s">
        <v>3592</v>
      </c>
      <c r="D20" s="616" t="s">
        <v>4980</v>
      </c>
      <c r="E20" s="616" t="s">
        <v>4981</v>
      </c>
      <c r="F20" s="619">
        <v>3</v>
      </c>
      <c r="G20" s="619">
        <v>1773</v>
      </c>
      <c r="H20" s="619">
        <v>1</v>
      </c>
      <c r="I20" s="619">
        <v>591</v>
      </c>
      <c r="J20" s="619">
        <v>13</v>
      </c>
      <c r="K20" s="619">
        <v>7683</v>
      </c>
      <c r="L20" s="619">
        <v>4.333333333333333</v>
      </c>
      <c r="M20" s="619">
        <v>591</v>
      </c>
      <c r="N20" s="619">
        <v>2</v>
      </c>
      <c r="O20" s="619">
        <v>1184</v>
      </c>
      <c r="P20" s="640">
        <v>0.66779469825155102</v>
      </c>
      <c r="Q20" s="620">
        <v>592</v>
      </c>
    </row>
    <row r="21" spans="1:17" ht="14.4" customHeight="1" x14ac:dyDescent="0.3">
      <c r="A21" s="615" t="s">
        <v>4974</v>
      </c>
      <c r="B21" s="616" t="s">
        <v>4975</v>
      </c>
      <c r="C21" s="616" t="s">
        <v>3592</v>
      </c>
      <c r="D21" s="616" t="s">
        <v>4982</v>
      </c>
      <c r="E21" s="616" t="s">
        <v>4983</v>
      </c>
      <c r="F21" s="619"/>
      <c r="G21" s="619"/>
      <c r="H21" s="619"/>
      <c r="I21" s="619"/>
      <c r="J21" s="619"/>
      <c r="K21" s="619"/>
      <c r="L21" s="619"/>
      <c r="M21" s="619"/>
      <c r="N21" s="619">
        <v>1</v>
      </c>
      <c r="O21" s="619">
        <v>617</v>
      </c>
      <c r="P21" s="640"/>
      <c r="Q21" s="620">
        <v>617</v>
      </c>
    </row>
    <row r="22" spans="1:17" ht="14.4" customHeight="1" x14ac:dyDescent="0.3">
      <c r="A22" s="615" t="s">
        <v>4974</v>
      </c>
      <c r="B22" s="616" t="s">
        <v>4975</v>
      </c>
      <c r="C22" s="616" t="s">
        <v>3592</v>
      </c>
      <c r="D22" s="616" t="s">
        <v>4984</v>
      </c>
      <c r="E22" s="616" t="s">
        <v>4985</v>
      </c>
      <c r="F22" s="619"/>
      <c r="G22" s="619"/>
      <c r="H22" s="619"/>
      <c r="I22" s="619"/>
      <c r="J22" s="619">
        <v>3</v>
      </c>
      <c r="K22" s="619">
        <v>450</v>
      </c>
      <c r="L22" s="619"/>
      <c r="M22" s="619">
        <v>150</v>
      </c>
      <c r="N22" s="619">
        <v>1</v>
      </c>
      <c r="O22" s="619">
        <v>153</v>
      </c>
      <c r="P22" s="640"/>
      <c r="Q22" s="620">
        <v>153</v>
      </c>
    </row>
    <row r="23" spans="1:17" ht="14.4" customHeight="1" x14ac:dyDescent="0.3">
      <c r="A23" s="615" t="s">
        <v>4974</v>
      </c>
      <c r="B23" s="616" t="s">
        <v>4975</v>
      </c>
      <c r="C23" s="616" t="s">
        <v>3592</v>
      </c>
      <c r="D23" s="616" t="s">
        <v>4986</v>
      </c>
      <c r="E23" s="616" t="s">
        <v>4987</v>
      </c>
      <c r="F23" s="619">
        <v>60</v>
      </c>
      <c r="G23" s="619">
        <v>1429</v>
      </c>
      <c r="H23" s="619">
        <v>1</v>
      </c>
      <c r="I23" s="619">
        <v>23.816666666666666</v>
      </c>
      <c r="J23" s="619">
        <v>51</v>
      </c>
      <c r="K23" s="619">
        <v>1224</v>
      </c>
      <c r="L23" s="619">
        <v>0.85654303708887336</v>
      </c>
      <c r="M23" s="619">
        <v>24</v>
      </c>
      <c r="N23" s="619">
        <v>49</v>
      </c>
      <c r="O23" s="619">
        <v>1176</v>
      </c>
      <c r="P23" s="640">
        <v>0.82295311406578031</v>
      </c>
      <c r="Q23" s="620">
        <v>24</v>
      </c>
    </row>
    <row r="24" spans="1:17" ht="14.4" customHeight="1" x14ac:dyDescent="0.3">
      <c r="A24" s="615" t="s">
        <v>4974</v>
      </c>
      <c r="B24" s="616" t="s">
        <v>4975</v>
      </c>
      <c r="C24" s="616" t="s">
        <v>3592</v>
      </c>
      <c r="D24" s="616" t="s">
        <v>4988</v>
      </c>
      <c r="E24" s="616" t="s">
        <v>4989</v>
      </c>
      <c r="F24" s="619">
        <v>33</v>
      </c>
      <c r="G24" s="619">
        <v>1782</v>
      </c>
      <c r="H24" s="619">
        <v>1</v>
      </c>
      <c r="I24" s="619">
        <v>54</v>
      </c>
      <c r="J24" s="619">
        <v>38</v>
      </c>
      <c r="K24" s="619">
        <v>2052</v>
      </c>
      <c r="L24" s="619">
        <v>1.1515151515151516</v>
      </c>
      <c r="M24" s="619">
        <v>54</v>
      </c>
      <c r="N24" s="619">
        <v>115</v>
      </c>
      <c r="O24" s="619">
        <v>6325</v>
      </c>
      <c r="P24" s="640">
        <v>3.5493827160493829</v>
      </c>
      <c r="Q24" s="620">
        <v>55</v>
      </c>
    </row>
    <row r="25" spans="1:17" ht="14.4" customHeight="1" x14ac:dyDescent="0.3">
      <c r="A25" s="615" t="s">
        <v>4974</v>
      </c>
      <c r="B25" s="616" t="s">
        <v>4975</v>
      </c>
      <c r="C25" s="616" t="s">
        <v>3592</v>
      </c>
      <c r="D25" s="616" t="s">
        <v>4990</v>
      </c>
      <c r="E25" s="616" t="s">
        <v>4991</v>
      </c>
      <c r="F25" s="619">
        <v>2521</v>
      </c>
      <c r="G25" s="619">
        <v>194117</v>
      </c>
      <c r="H25" s="619">
        <v>1</v>
      </c>
      <c r="I25" s="619">
        <v>77</v>
      </c>
      <c r="J25" s="619">
        <v>2572</v>
      </c>
      <c r="K25" s="619">
        <v>198044</v>
      </c>
      <c r="L25" s="619">
        <v>1.020230067433558</v>
      </c>
      <c r="M25" s="619">
        <v>77</v>
      </c>
      <c r="N25" s="619">
        <v>2710</v>
      </c>
      <c r="O25" s="619">
        <v>208670</v>
      </c>
      <c r="P25" s="640">
        <v>1.0749702499008329</v>
      </c>
      <c r="Q25" s="620">
        <v>77</v>
      </c>
    </row>
    <row r="26" spans="1:17" ht="14.4" customHeight="1" x14ac:dyDescent="0.3">
      <c r="A26" s="615" t="s">
        <v>4974</v>
      </c>
      <c r="B26" s="616" t="s">
        <v>4975</v>
      </c>
      <c r="C26" s="616" t="s">
        <v>3592</v>
      </c>
      <c r="D26" s="616" t="s">
        <v>4992</v>
      </c>
      <c r="E26" s="616" t="s">
        <v>4993</v>
      </c>
      <c r="F26" s="619"/>
      <c r="G26" s="619"/>
      <c r="H26" s="619"/>
      <c r="I26" s="619"/>
      <c r="J26" s="619">
        <v>1</v>
      </c>
      <c r="K26" s="619">
        <v>1630</v>
      </c>
      <c r="L26" s="619"/>
      <c r="M26" s="619">
        <v>1630</v>
      </c>
      <c r="N26" s="619"/>
      <c r="O26" s="619"/>
      <c r="P26" s="640"/>
      <c r="Q26" s="620"/>
    </row>
    <row r="27" spans="1:17" ht="14.4" customHeight="1" x14ac:dyDescent="0.3">
      <c r="A27" s="615" t="s">
        <v>4974</v>
      </c>
      <c r="B27" s="616" t="s">
        <v>4975</v>
      </c>
      <c r="C27" s="616" t="s">
        <v>3592</v>
      </c>
      <c r="D27" s="616" t="s">
        <v>4994</v>
      </c>
      <c r="E27" s="616" t="s">
        <v>4995</v>
      </c>
      <c r="F27" s="619">
        <v>105</v>
      </c>
      <c r="G27" s="619">
        <v>2391</v>
      </c>
      <c r="H27" s="619">
        <v>1</v>
      </c>
      <c r="I27" s="619">
        <v>22.771428571428572</v>
      </c>
      <c r="J27" s="619">
        <v>101</v>
      </c>
      <c r="K27" s="619">
        <v>2323</v>
      </c>
      <c r="L27" s="619">
        <v>0.97156001672940195</v>
      </c>
      <c r="M27" s="619">
        <v>23</v>
      </c>
      <c r="N27" s="619">
        <v>124</v>
      </c>
      <c r="O27" s="619">
        <v>2976</v>
      </c>
      <c r="P27" s="640">
        <v>1.2446675031367629</v>
      </c>
      <c r="Q27" s="620">
        <v>24</v>
      </c>
    </row>
    <row r="28" spans="1:17" ht="14.4" customHeight="1" x14ac:dyDescent="0.3">
      <c r="A28" s="615" t="s">
        <v>4974</v>
      </c>
      <c r="B28" s="616" t="s">
        <v>4975</v>
      </c>
      <c r="C28" s="616" t="s">
        <v>3592</v>
      </c>
      <c r="D28" s="616" t="s">
        <v>4996</v>
      </c>
      <c r="E28" s="616" t="s">
        <v>4997</v>
      </c>
      <c r="F28" s="619"/>
      <c r="G28" s="619"/>
      <c r="H28" s="619"/>
      <c r="I28" s="619"/>
      <c r="J28" s="619">
        <v>1</v>
      </c>
      <c r="K28" s="619">
        <v>209</v>
      </c>
      <c r="L28" s="619"/>
      <c r="M28" s="619">
        <v>209</v>
      </c>
      <c r="N28" s="619"/>
      <c r="O28" s="619"/>
      <c r="P28" s="640"/>
      <c r="Q28" s="620"/>
    </row>
    <row r="29" spans="1:17" ht="14.4" customHeight="1" x14ac:dyDescent="0.3">
      <c r="A29" s="615" t="s">
        <v>4974</v>
      </c>
      <c r="B29" s="616" t="s">
        <v>4975</v>
      </c>
      <c r="C29" s="616" t="s">
        <v>3592</v>
      </c>
      <c r="D29" s="616" t="s">
        <v>4998</v>
      </c>
      <c r="E29" s="616" t="s">
        <v>4999</v>
      </c>
      <c r="F29" s="619">
        <v>19</v>
      </c>
      <c r="G29" s="619">
        <v>1254</v>
      </c>
      <c r="H29" s="619">
        <v>1</v>
      </c>
      <c r="I29" s="619">
        <v>66</v>
      </c>
      <c r="J29" s="619">
        <v>20</v>
      </c>
      <c r="K29" s="619">
        <v>1320</v>
      </c>
      <c r="L29" s="619">
        <v>1.0526315789473684</v>
      </c>
      <c r="M29" s="619">
        <v>66</v>
      </c>
      <c r="N29" s="619">
        <v>22</v>
      </c>
      <c r="O29" s="619">
        <v>1452</v>
      </c>
      <c r="P29" s="640">
        <v>1.1578947368421053</v>
      </c>
      <c r="Q29" s="620">
        <v>66</v>
      </c>
    </row>
    <row r="30" spans="1:17" ht="14.4" customHeight="1" x14ac:dyDescent="0.3">
      <c r="A30" s="615" t="s">
        <v>4974</v>
      </c>
      <c r="B30" s="616" t="s">
        <v>4975</v>
      </c>
      <c r="C30" s="616" t="s">
        <v>3592</v>
      </c>
      <c r="D30" s="616" t="s">
        <v>5000</v>
      </c>
      <c r="E30" s="616" t="s">
        <v>5001</v>
      </c>
      <c r="F30" s="619"/>
      <c r="G30" s="619"/>
      <c r="H30" s="619"/>
      <c r="I30" s="619"/>
      <c r="J30" s="619"/>
      <c r="K30" s="619"/>
      <c r="L30" s="619"/>
      <c r="M30" s="619"/>
      <c r="N30" s="619">
        <v>17</v>
      </c>
      <c r="O30" s="619">
        <v>5950</v>
      </c>
      <c r="P30" s="640"/>
      <c r="Q30" s="620">
        <v>350</v>
      </c>
    </row>
    <row r="31" spans="1:17" ht="14.4" customHeight="1" x14ac:dyDescent="0.3">
      <c r="A31" s="615" t="s">
        <v>4974</v>
      </c>
      <c r="B31" s="616" t="s">
        <v>4975</v>
      </c>
      <c r="C31" s="616" t="s">
        <v>3592</v>
      </c>
      <c r="D31" s="616" t="s">
        <v>5002</v>
      </c>
      <c r="E31" s="616" t="s">
        <v>5003</v>
      </c>
      <c r="F31" s="619">
        <v>40</v>
      </c>
      <c r="G31" s="619">
        <v>960</v>
      </c>
      <c r="H31" s="619">
        <v>1</v>
      </c>
      <c r="I31" s="619">
        <v>24</v>
      </c>
      <c r="J31" s="619">
        <v>44</v>
      </c>
      <c r="K31" s="619">
        <v>1056</v>
      </c>
      <c r="L31" s="619">
        <v>1.1000000000000001</v>
      </c>
      <c r="M31" s="619">
        <v>24</v>
      </c>
      <c r="N31" s="619">
        <v>61</v>
      </c>
      <c r="O31" s="619">
        <v>1525</v>
      </c>
      <c r="P31" s="640">
        <v>1.5885416666666667</v>
      </c>
      <c r="Q31" s="620">
        <v>25</v>
      </c>
    </row>
    <row r="32" spans="1:17" ht="14.4" customHeight="1" x14ac:dyDescent="0.3">
      <c r="A32" s="615" t="s">
        <v>4974</v>
      </c>
      <c r="B32" s="616" t="s">
        <v>4975</v>
      </c>
      <c r="C32" s="616" t="s">
        <v>3592</v>
      </c>
      <c r="D32" s="616" t="s">
        <v>5004</v>
      </c>
      <c r="E32" s="616" t="s">
        <v>5005</v>
      </c>
      <c r="F32" s="619">
        <v>204</v>
      </c>
      <c r="G32" s="619">
        <v>36720</v>
      </c>
      <c r="H32" s="619">
        <v>1</v>
      </c>
      <c r="I32" s="619">
        <v>180</v>
      </c>
      <c r="J32" s="619">
        <v>285</v>
      </c>
      <c r="K32" s="619">
        <v>51300</v>
      </c>
      <c r="L32" s="619">
        <v>1.3970588235294117</v>
      </c>
      <c r="M32" s="619">
        <v>180</v>
      </c>
      <c r="N32" s="619">
        <v>324</v>
      </c>
      <c r="O32" s="619">
        <v>58644</v>
      </c>
      <c r="P32" s="640">
        <v>1.5970588235294119</v>
      </c>
      <c r="Q32" s="620">
        <v>181</v>
      </c>
    </row>
    <row r="33" spans="1:17" ht="14.4" customHeight="1" x14ac:dyDescent="0.3">
      <c r="A33" s="615" t="s">
        <v>4974</v>
      </c>
      <c r="B33" s="616" t="s">
        <v>4975</v>
      </c>
      <c r="C33" s="616" t="s">
        <v>3592</v>
      </c>
      <c r="D33" s="616" t="s">
        <v>5006</v>
      </c>
      <c r="E33" s="616" t="s">
        <v>5007</v>
      </c>
      <c r="F33" s="619">
        <v>80</v>
      </c>
      <c r="G33" s="619">
        <v>20240</v>
      </c>
      <c r="H33" s="619">
        <v>1</v>
      </c>
      <c r="I33" s="619">
        <v>253</v>
      </c>
      <c r="J33" s="619">
        <v>132</v>
      </c>
      <c r="K33" s="619">
        <v>33396</v>
      </c>
      <c r="L33" s="619">
        <v>1.65</v>
      </c>
      <c r="M33" s="619">
        <v>253</v>
      </c>
      <c r="N33" s="619">
        <v>164</v>
      </c>
      <c r="O33" s="619">
        <v>41656</v>
      </c>
      <c r="P33" s="640">
        <v>2.0581027667984189</v>
      </c>
      <c r="Q33" s="620">
        <v>254</v>
      </c>
    </row>
    <row r="34" spans="1:17" ht="14.4" customHeight="1" x14ac:dyDescent="0.3">
      <c r="A34" s="615" t="s">
        <v>4974</v>
      </c>
      <c r="B34" s="616" t="s">
        <v>4975</v>
      </c>
      <c r="C34" s="616" t="s">
        <v>3592</v>
      </c>
      <c r="D34" s="616" t="s">
        <v>5008</v>
      </c>
      <c r="E34" s="616" t="s">
        <v>5009</v>
      </c>
      <c r="F34" s="619"/>
      <c r="G34" s="619"/>
      <c r="H34" s="619"/>
      <c r="I34" s="619"/>
      <c r="J34" s="619"/>
      <c r="K34" s="619"/>
      <c r="L34" s="619"/>
      <c r="M34" s="619"/>
      <c r="N34" s="619">
        <v>1</v>
      </c>
      <c r="O34" s="619">
        <v>268</v>
      </c>
      <c r="P34" s="640"/>
      <c r="Q34" s="620">
        <v>268</v>
      </c>
    </row>
    <row r="35" spans="1:17" ht="14.4" customHeight="1" x14ac:dyDescent="0.3">
      <c r="A35" s="615" t="s">
        <v>4974</v>
      </c>
      <c r="B35" s="616" t="s">
        <v>4975</v>
      </c>
      <c r="C35" s="616" t="s">
        <v>3592</v>
      </c>
      <c r="D35" s="616" t="s">
        <v>5010</v>
      </c>
      <c r="E35" s="616" t="s">
        <v>5011</v>
      </c>
      <c r="F35" s="619">
        <v>320</v>
      </c>
      <c r="G35" s="619">
        <v>69120</v>
      </c>
      <c r="H35" s="619">
        <v>1</v>
      </c>
      <c r="I35" s="619">
        <v>216</v>
      </c>
      <c r="J35" s="619">
        <v>423</v>
      </c>
      <c r="K35" s="619">
        <v>91368</v>
      </c>
      <c r="L35" s="619">
        <v>1.3218749999999999</v>
      </c>
      <c r="M35" s="619">
        <v>216</v>
      </c>
      <c r="N35" s="619">
        <v>594</v>
      </c>
      <c r="O35" s="619">
        <v>128898</v>
      </c>
      <c r="P35" s="640">
        <v>1.8648437499999999</v>
      </c>
      <c r="Q35" s="620">
        <v>217</v>
      </c>
    </row>
    <row r="36" spans="1:17" ht="14.4" customHeight="1" x14ac:dyDescent="0.3">
      <c r="A36" s="615" t="s">
        <v>4974</v>
      </c>
      <c r="B36" s="616" t="s">
        <v>4975</v>
      </c>
      <c r="C36" s="616" t="s">
        <v>3592</v>
      </c>
      <c r="D36" s="616" t="s">
        <v>5012</v>
      </c>
      <c r="E36" s="616" t="s">
        <v>5013</v>
      </c>
      <c r="F36" s="619">
        <v>4</v>
      </c>
      <c r="G36" s="619">
        <v>143</v>
      </c>
      <c r="H36" s="619">
        <v>1</v>
      </c>
      <c r="I36" s="619">
        <v>35.75</v>
      </c>
      <c r="J36" s="619">
        <v>6</v>
      </c>
      <c r="K36" s="619">
        <v>216</v>
      </c>
      <c r="L36" s="619">
        <v>1.5104895104895104</v>
      </c>
      <c r="M36" s="619">
        <v>36</v>
      </c>
      <c r="N36" s="619">
        <v>9</v>
      </c>
      <c r="O36" s="619">
        <v>333</v>
      </c>
      <c r="P36" s="640">
        <v>2.3286713286713288</v>
      </c>
      <c r="Q36" s="620">
        <v>37</v>
      </c>
    </row>
    <row r="37" spans="1:17" ht="14.4" customHeight="1" x14ac:dyDescent="0.3">
      <c r="A37" s="615" t="s">
        <v>4974</v>
      </c>
      <c r="B37" s="616" t="s">
        <v>4975</v>
      </c>
      <c r="C37" s="616" t="s">
        <v>3592</v>
      </c>
      <c r="D37" s="616" t="s">
        <v>5014</v>
      </c>
      <c r="E37" s="616" t="s">
        <v>5015</v>
      </c>
      <c r="F37" s="619"/>
      <c r="G37" s="619"/>
      <c r="H37" s="619"/>
      <c r="I37" s="619"/>
      <c r="J37" s="619"/>
      <c r="K37" s="619"/>
      <c r="L37" s="619"/>
      <c r="M37" s="619"/>
      <c r="N37" s="619">
        <v>4</v>
      </c>
      <c r="O37" s="619">
        <v>4044</v>
      </c>
      <c r="P37" s="640"/>
      <c r="Q37" s="620">
        <v>1011</v>
      </c>
    </row>
    <row r="38" spans="1:17" ht="14.4" customHeight="1" x14ac:dyDescent="0.3">
      <c r="A38" s="615" t="s">
        <v>4974</v>
      </c>
      <c r="B38" s="616" t="s">
        <v>4975</v>
      </c>
      <c r="C38" s="616" t="s">
        <v>3592</v>
      </c>
      <c r="D38" s="616" t="s">
        <v>5016</v>
      </c>
      <c r="E38" s="616" t="s">
        <v>5017</v>
      </c>
      <c r="F38" s="619"/>
      <c r="G38" s="619"/>
      <c r="H38" s="619"/>
      <c r="I38" s="619"/>
      <c r="J38" s="619"/>
      <c r="K38" s="619"/>
      <c r="L38" s="619"/>
      <c r="M38" s="619"/>
      <c r="N38" s="619">
        <v>1</v>
      </c>
      <c r="O38" s="619">
        <v>592</v>
      </c>
      <c r="P38" s="640"/>
      <c r="Q38" s="620">
        <v>592</v>
      </c>
    </row>
    <row r="39" spans="1:17" ht="14.4" customHeight="1" x14ac:dyDescent="0.3">
      <c r="A39" s="615" t="s">
        <v>4974</v>
      </c>
      <c r="B39" s="616" t="s">
        <v>4975</v>
      </c>
      <c r="C39" s="616" t="s">
        <v>3592</v>
      </c>
      <c r="D39" s="616" t="s">
        <v>5018</v>
      </c>
      <c r="E39" s="616" t="s">
        <v>5019</v>
      </c>
      <c r="F39" s="619"/>
      <c r="G39" s="619"/>
      <c r="H39" s="619"/>
      <c r="I39" s="619"/>
      <c r="J39" s="619"/>
      <c r="K39" s="619"/>
      <c r="L39" s="619"/>
      <c r="M39" s="619"/>
      <c r="N39" s="619">
        <v>2</v>
      </c>
      <c r="O39" s="619">
        <v>746</v>
      </c>
      <c r="P39" s="640"/>
      <c r="Q39" s="620">
        <v>373</v>
      </c>
    </row>
    <row r="40" spans="1:17" ht="14.4" customHeight="1" x14ac:dyDescent="0.3">
      <c r="A40" s="615" t="s">
        <v>4974</v>
      </c>
      <c r="B40" s="616" t="s">
        <v>4975</v>
      </c>
      <c r="C40" s="616" t="s">
        <v>3592</v>
      </c>
      <c r="D40" s="616" t="s">
        <v>5020</v>
      </c>
      <c r="E40" s="616" t="s">
        <v>5021</v>
      </c>
      <c r="F40" s="619">
        <v>31</v>
      </c>
      <c r="G40" s="619">
        <v>1550</v>
      </c>
      <c r="H40" s="619">
        <v>1</v>
      </c>
      <c r="I40" s="619">
        <v>50</v>
      </c>
      <c r="J40" s="619">
        <v>27</v>
      </c>
      <c r="K40" s="619">
        <v>1350</v>
      </c>
      <c r="L40" s="619">
        <v>0.87096774193548387</v>
      </c>
      <c r="M40" s="619">
        <v>50</v>
      </c>
      <c r="N40" s="619">
        <v>17</v>
      </c>
      <c r="O40" s="619">
        <v>850</v>
      </c>
      <c r="P40" s="640">
        <v>0.54838709677419351</v>
      </c>
      <c r="Q40" s="620">
        <v>50</v>
      </c>
    </row>
    <row r="41" spans="1:17" ht="14.4" customHeight="1" x14ac:dyDescent="0.3">
      <c r="A41" s="615" t="s">
        <v>4974</v>
      </c>
      <c r="B41" s="616" t="s">
        <v>4975</v>
      </c>
      <c r="C41" s="616" t="s">
        <v>3592</v>
      </c>
      <c r="D41" s="616" t="s">
        <v>5022</v>
      </c>
      <c r="E41" s="616" t="s">
        <v>5023</v>
      </c>
      <c r="F41" s="619"/>
      <c r="G41" s="619"/>
      <c r="H41" s="619"/>
      <c r="I41" s="619"/>
      <c r="J41" s="619"/>
      <c r="K41" s="619"/>
      <c r="L41" s="619"/>
      <c r="M41" s="619"/>
      <c r="N41" s="619">
        <v>1</v>
      </c>
      <c r="O41" s="619">
        <v>547</v>
      </c>
      <c r="P41" s="640"/>
      <c r="Q41" s="620">
        <v>547</v>
      </c>
    </row>
    <row r="42" spans="1:17" ht="14.4" customHeight="1" x14ac:dyDescent="0.3">
      <c r="A42" s="615" t="s">
        <v>4974</v>
      </c>
      <c r="B42" s="616" t="s">
        <v>4975</v>
      </c>
      <c r="C42" s="616" t="s">
        <v>3592</v>
      </c>
      <c r="D42" s="616" t="s">
        <v>5024</v>
      </c>
      <c r="E42" s="616" t="s">
        <v>5025</v>
      </c>
      <c r="F42" s="619"/>
      <c r="G42" s="619"/>
      <c r="H42" s="619"/>
      <c r="I42" s="619"/>
      <c r="J42" s="619"/>
      <c r="K42" s="619"/>
      <c r="L42" s="619"/>
      <c r="M42" s="619"/>
      <c r="N42" s="619">
        <v>1</v>
      </c>
      <c r="O42" s="619">
        <v>736</v>
      </c>
      <c r="P42" s="640"/>
      <c r="Q42" s="620">
        <v>736</v>
      </c>
    </row>
    <row r="43" spans="1:17" ht="14.4" customHeight="1" x14ac:dyDescent="0.3">
      <c r="A43" s="615" t="s">
        <v>4974</v>
      </c>
      <c r="B43" s="616" t="s">
        <v>4975</v>
      </c>
      <c r="C43" s="616" t="s">
        <v>3592</v>
      </c>
      <c r="D43" s="616" t="s">
        <v>5026</v>
      </c>
      <c r="E43" s="616" t="s">
        <v>5027</v>
      </c>
      <c r="F43" s="619"/>
      <c r="G43" s="619"/>
      <c r="H43" s="619"/>
      <c r="I43" s="619"/>
      <c r="J43" s="619"/>
      <c r="K43" s="619"/>
      <c r="L43" s="619"/>
      <c r="M43" s="619"/>
      <c r="N43" s="619">
        <v>1</v>
      </c>
      <c r="O43" s="619">
        <v>329</v>
      </c>
      <c r="P43" s="640"/>
      <c r="Q43" s="620">
        <v>329</v>
      </c>
    </row>
    <row r="44" spans="1:17" ht="14.4" customHeight="1" x14ac:dyDescent="0.3">
      <c r="A44" s="615" t="s">
        <v>4974</v>
      </c>
      <c r="B44" s="616" t="s">
        <v>4975</v>
      </c>
      <c r="C44" s="616" t="s">
        <v>3592</v>
      </c>
      <c r="D44" s="616" t="s">
        <v>5028</v>
      </c>
      <c r="E44" s="616" t="s">
        <v>5029</v>
      </c>
      <c r="F44" s="619"/>
      <c r="G44" s="619"/>
      <c r="H44" s="619"/>
      <c r="I44" s="619"/>
      <c r="J44" s="619"/>
      <c r="K44" s="619"/>
      <c r="L44" s="619"/>
      <c r="M44" s="619"/>
      <c r="N44" s="619">
        <v>1</v>
      </c>
      <c r="O44" s="619">
        <v>346</v>
      </c>
      <c r="P44" s="640"/>
      <c r="Q44" s="620">
        <v>346</v>
      </c>
    </row>
    <row r="45" spans="1:17" ht="14.4" customHeight="1" x14ac:dyDescent="0.3">
      <c r="A45" s="615" t="s">
        <v>4974</v>
      </c>
      <c r="B45" s="616" t="s">
        <v>4975</v>
      </c>
      <c r="C45" s="616" t="s">
        <v>3592</v>
      </c>
      <c r="D45" s="616" t="s">
        <v>5030</v>
      </c>
      <c r="E45" s="616" t="s">
        <v>5031</v>
      </c>
      <c r="F45" s="619">
        <v>1</v>
      </c>
      <c r="G45" s="619">
        <v>231</v>
      </c>
      <c r="H45" s="619">
        <v>1</v>
      </c>
      <c r="I45" s="619">
        <v>231</v>
      </c>
      <c r="J45" s="619">
        <v>1</v>
      </c>
      <c r="K45" s="619">
        <v>231</v>
      </c>
      <c r="L45" s="619">
        <v>1</v>
      </c>
      <c r="M45" s="619">
        <v>231</v>
      </c>
      <c r="N45" s="619">
        <v>1</v>
      </c>
      <c r="O45" s="619">
        <v>232</v>
      </c>
      <c r="P45" s="640">
        <v>1.0043290043290043</v>
      </c>
      <c r="Q45" s="620">
        <v>232</v>
      </c>
    </row>
    <row r="46" spans="1:17" ht="14.4" customHeight="1" x14ac:dyDescent="0.3">
      <c r="A46" s="615" t="s">
        <v>4974</v>
      </c>
      <c r="B46" s="616" t="s">
        <v>4975</v>
      </c>
      <c r="C46" s="616" t="s">
        <v>3592</v>
      </c>
      <c r="D46" s="616" t="s">
        <v>5032</v>
      </c>
      <c r="E46" s="616" t="s">
        <v>5033</v>
      </c>
      <c r="F46" s="619"/>
      <c r="G46" s="619"/>
      <c r="H46" s="619"/>
      <c r="I46" s="619"/>
      <c r="J46" s="619">
        <v>3</v>
      </c>
      <c r="K46" s="619">
        <v>690</v>
      </c>
      <c r="L46" s="619"/>
      <c r="M46" s="619">
        <v>230</v>
      </c>
      <c r="N46" s="619">
        <v>1</v>
      </c>
      <c r="O46" s="619">
        <v>233</v>
      </c>
      <c r="P46" s="640"/>
      <c r="Q46" s="620">
        <v>233</v>
      </c>
    </row>
    <row r="47" spans="1:17" ht="14.4" customHeight="1" x14ac:dyDescent="0.3">
      <c r="A47" s="615" t="s">
        <v>4974</v>
      </c>
      <c r="B47" s="616" t="s">
        <v>4975</v>
      </c>
      <c r="C47" s="616" t="s">
        <v>3592</v>
      </c>
      <c r="D47" s="616" t="s">
        <v>5034</v>
      </c>
      <c r="E47" s="616" t="s">
        <v>5035</v>
      </c>
      <c r="F47" s="619"/>
      <c r="G47" s="619"/>
      <c r="H47" s="619"/>
      <c r="I47" s="619"/>
      <c r="J47" s="619"/>
      <c r="K47" s="619"/>
      <c r="L47" s="619"/>
      <c r="M47" s="619"/>
      <c r="N47" s="619">
        <v>1</v>
      </c>
      <c r="O47" s="619">
        <v>224</v>
      </c>
      <c r="P47" s="640"/>
      <c r="Q47" s="620">
        <v>224</v>
      </c>
    </row>
    <row r="48" spans="1:17" ht="14.4" customHeight="1" x14ac:dyDescent="0.3">
      <c r="A48" s="615" t="s">
        <v>4974</v>
      </c>
      <c r="B48" s="616" t="s">
        <v>4975</v>
      </c>
      <c r="C48" s="616" t="s">
        <v>3592</v>
      </c>
      <c r="D48" s="616" t="s">
        <v>5036</v>
      </c>
      <c r="E48" s="616" t="s">
        <v>5037</v>
      </c>
      <c r="F48" s="619"/>
      <c r="G48" s="619"/>
      <c r="H48" s="619"/>
      <c r="I48" s="619"/>
      <c r="J48" s="619"/>
      <c r="K48" s="619"/>
      <c r="L48" s="619"/>
      <c r="M48" s="619"/>
      <c r="N48" s="619">
        <v>61</v>
      </c>
      <c r="O48" s="619">
        <v>14884</v>
      </c>
      <c r="P48" s="640"/>
      <c r="Q48" s="620">
        <v>244</v>
      </c>
    </row>
    <row r="49" spans="1:17" ht="14.4" customHeight="1" x14ac:dyDescent="0.3">
      <c r="A49" s="615" t="s">
        <v>5038</v>
      </c>
      <c r="B49" s="616" t="s">
        <v>5039</v>
      </c>
      <c r="C49" s="616" t="s">
        <v>3592</v>
      </c>
      <c r="D49" s="616" t="s">
        <v>5040</v>
      </c>
      <c r="E49" s="616" t="s">
        <v>5041</v>
      </c>
      <c r="F49" s="619">
        <v>347</v>
      </c>
      <c r="G49" s="619">
        <v>9369</v>
      </c>
      <c r="H49" s="619">
        <v>1</v>
      </c>
      <c r="I49" s="619">
        <v>27</v>
      </c>
      <c r="J49" s="619">
        <v>314</v>
      </c>
      <c r="K49" s="619">
        <v>8478</v>
      </c>
      <c r="L49" s="619">
        <v>0.90489913544668588</v>
      </c>
      <c r="M49" s="619">
        <v>27</v>
      </c>
      <c r="N49" s="619">
        <v>421</v>
      </c>
      <c r="O49" s="619">
        <v>11367</v>
      </c>
      <c r="P49" s="640">
        <v>1.2132564841498559</v>
      </c>
      <c r="Q49" s="620">
        <v>27</v>
      </c>
    </row>
    <row r="50" spans="1:17" ht="14.4" customHeight="1" x14ac:dyDescent="0.3">
      <c r="A50" s="615" t="s">
        <v>5038</v>
      </c>
      <c r="B50" s="616" t="s">
        <v>5039</v>
      </c>
      <c r="C50" s="616" t="s">
        <v>3592</v>
      </c>
      <c r="D50" s="616" t="s">
        <v>5042</v>
      </c>
      <c r="E50" s="616" t="s">
        <v>5043</v>
      </c>
      <c r="F50" s="619">
        <v>391</v>
      </c>
      <c r="G50" s="619">
        <v>21114</v>
      </c>
      <c r="H50" s="619">
        <v>1</v>
      </c>
      <c r="I50" s="619">
        <v>54</v>
      </c>
      <c r="J50" s="619">
        <v>379</v>
      </c>
      <c r="K50" s="619">
        <v>20466</v>
      </c>
      <c r="L50" s="619">
        <v>0.96930946291560105</v>
      </c>
      <c r="M50" s="619">
        <v>54</v>
      </c>
      <c r="N50" s="619">
        <v>460</v>
      </c>
      <c r="O50" s="619">
        <v>24840</v>
      </c>
      <c r="P50" s="640">
        <v>1.1764705882352942</v>
      </c>
      <c r="Q50" s="620">
        <v>54</v>
      </c>
    </row>
    <row r="51" spans="1:17" ht="14.4" customHeight="1" x14ac:dyDescent="0.3">
      <c r="A51" s="615" t="s">
        <v>5038</v>
      </c>
      <c r="B51" s="616" t="s">
        <v>5039</v>
      </c>
      <c r="C51" s="616" t="s">
        <v>3592</v>
      </c>
      <c r="D51" s="616" t="s">
        <v>5044</v>
      </c>
      <c r="E51" s="616" t="s">
        <v>5045</v>
      </c>
      <c r="F51" s="619">
        <v>1314</v>
      </c>
      <c r="G51" s="619">
        <v>31536</v>
      </c>
      <c r="H51" s="619">
        <v>1</v>
      </c>
      <c r="I51" s="619">
        <v>24</v>
      </c>
      <c r="J51" s="619">
        <v>1307</v>
      </c>
      <c r="K51" s="619">
        <v>31368</v>
      </c>
      <c r="L51" s="619">
        <v>0.99467275494672758</v>
      </c>
      <c r="M51" s="619">
        <v>24</v>
      </c>
      <c r="N51" s="619">
        <v>1349</v>
      </c>
      <c r="O51" s="619">
        <v>32376</v>
      </c>
      <c r="P51" s="640">
        <v>1.0266362252663623</v>
      </c>
      <c r="Q51" s="620">
        <v>24</v>
      </c>
    </row>
    <row r="52" spans="1:17" ht="14.4" customHeight="1" x14ac:dyDescent="0.3">
      <c r="A52" s="615" t="s">
        <v>5038</v>
      </c>
      <c r="B52" s="616" t="s">
        <v>5039</v>
      </c>
      <c r="C52" s="616" t="s">
        <v>3592</v>
      </c>
      <c r="D52" s="616" t="s">
        <v>5046</v>
      </c>
      <c r="E52" s="616" t="s">
        <v>5047</v>
      </c>
      <c r="F52" s="619">
        <v>1665</v>
      </c>
      <c r="G52" s="619">
        <v>44955</v>
      </c>
      <c r="H52" s="619">
        <v>1</v>
      </c>
      <c r="I52" s="619">
        <v>27</v>
      </c>
      <c r="J52" s="619">
        <v>1700</v>
      </c>
      <c r="K52" s="619">
        <v>45900</v>
      </c>
      <c r="L52" s="619">
        <v>1.0210210210210211</v>
      </c>
      <c r="M52" s="619">
        <v>27</v>
      </c>
      <c r="N52" s="619">
        <v>1869</v>
      </c>
      <c r="O52" s="619">
        <v>50463</v>
      </c>
      <c r="P52" s="640">
        <v>1.1225225225225226</v>
      </c>
      <c r="Q52" s="620">
        <v>27</v>
      </c>
    </row>
    <row r="53" spans="1:17" ht="14.4" customHeight="1" x14ac:dyDescent="0.3">
      <c r="A53" s="615" t="s">
        <v>5038</v>
      </c>
      <c r="B53" s="616" t="s">
        <v>5039</v>
      </c>
      <c r="C53" s="616" t="s">
        <v>3592</v>
      </c>
      <c r="D53" s="616" t="s">
        <v>5048</v>
      </c>
      <c r="E53" s="616" t="s">
        <v>5049</v>
      </c>
      <c r="F53" s="619">
        <v>124</v>
      </c>
      <c r="G53" s="619">
        <v>6953</v>
      </c>
      <c r="H53" s="619">
        <v>1</v>
      </c>
      <c r="I53" s="619">
        <v>56.072580645161288</v>
      </c>
      <c r="J53" s="619">
        <v>3</v>
      </c>
      <c r="K53" s="619">
        <v>171</v>
      </c>
      <c r="L53" s="619">
        <v>2.4593700560908961E-2</v>
      </c>
      <c r="M53" s="619">
        <v>57</v>
      </c>
      <c r="N53" s="619"/>
      <c r="O53" s="619"/>
      <c r="P53" s="640"/>
      <c r="Q53" s="620"/>
    </row>
    <row r="54" spans="1:17" ht="14.4" customHeight="1" x14ac:dyDescent="0.3">
      <c r="A54" s="615" t="s">
        <v>5038</v>
      </c>
      <c r="B54" s="616" t="s">
        <v>5039</v>
      </c>
      <c r="C54" s="616" t="s">
        <v>3592</v>
      </c>
      <c r="D54" s="616" t="s">
        <v>5050</v>
      </c>
      <c r="E54" s="616" t="s">
        <v>5051</v>
      </c>
      <c r="F54" s="619">
        <v>328</v>
      </c>
      <c r="G54" s="619">
        <v>8856</v>
      </c>
      <c r="H54" s="619">
        <v>1</v>
      </c>
      <c r="I54" s="619">
        <v>27</v>
      </c>
      <c r="J54" s="619">
        <v>305</v>
      </c>
      <c r="K54" s="619">
        <v>8235</v>
      </c>
      <c r="L54" s="619">
        <v>0.92987804878048785</v>
      </c>
      <c r="M54" s="619">
        <v>27</v>
      </c>
      <c r="N54" s="619">
        <v>362</v>
      </c>
      <c r="O54" s="619">
        <v>9774</v>
      </c>
      <c r="P54" s="640">
        <v>1.1036585365853659</v>
      </c>
      <c r="Q54" s="620">
        <v>27</v>
      </c>
    </row>
    <row r="55" spans="1:17" ht="14.4" customHeight="1" x14ac:dyDescent="0.3">
      <c r="A55" s="615" t="s">
        <v>5038</v>
      </c>
      <c r="B55" s="616" t="s">
        <v>5039</v>
      </c>
      <c r="C55" s="616" t="s">
        <v>3592</v>
      </c>
      <c r="D55" s="616" t="s">
        <v>5052</v>
      </c>
      <c r="E55" s="616" t="s">
        <v>5053</v>
      </c>
      <c r="F55" s="619">
        <v>2694</v>
      </c>
      <c r="G55" s="619">
        <v>59268</v>
      </c>
      <c r="H55" s="619">
        <v>1</v>
      </c>
      <c r="I55" s="619">
        <v>22</v>
      </c>
      <c r="J55" s="619">
        <v>3836</v>
      </c>
      <c r="K55" s="619">
        <v>84392</v>
      </c>
      <c r="L55" s="619">
        <v>1.4239049740163325</v>
      </c>
      <c r="M55" s="619">
        <v>22</v>
      </c>
      <c r="N55" s="619">
        <v>5940</v>
      </c>
      <c r="O55" s="619">
        <v>130680</v>
      </c>
      <c r="P55" s="640">
        <v>2.2048997772828507</v>
      </c>
      <c r="Q55" s="620">
        <v>22</v>
      </c>
    </row>
    <row r="56" spans="1:17" ht="14.4" customHeight="1" x14ac:dyDescent="0.3">
      <c r="A56" s="615" t="s">
        <v>5038</v>
      </c>
      <c r="B56" s="616" t="s">
        <v>5039</v>
      </c>
      <c r="C56" s="616" t="s">
        <v>3592</v>
      </c>
      <c r="D56" s="616" t="s">
        <v>5054</v>
      </c>
      <c r="E56" s="616" t="s">
        <v>5055</v>
      </c>
      <c r="F56" s="619">
        <v>9</v>
      </c>
      <c r="G56" s="619">
        <v>612</v>
      </c>
      <c r="H56" s="619">
        <v>1</v>
      </c>
      <c r="I56" s="619">
        <v>68</v>
      </c>
      <c r="J56" s="619">
        <v>5</v>
      </c>
      <c r="K56" s="619">
        <v>340</v>
      </c>
      <c r="L56" s="619">
        <v>0.55555555555555558</v>
      </c>
      <c r="M56" s="619">
        <v>68</v>
      </c>
      <c r="N56" s="619">
        <v>12</v>
      </c>
      <c r="O56" s="619">
        <v>816</v>
      </c>
      <c r="P56" s="640">
        <v>1.3333333333333333</v>
      </c>
      <c r="Q56" s="620">
        <v>68</v>
      </c>
    </row>
    <row r="57" spans="1:17" ht="14.4" customHeight="1" x14ac:dyDescent="0.3">
      <c r="A57" s="615" t="s">
        <v>5038</v>
      </c>
      <c r="B57" s="616" t="s">
        <v>5039</v>
      </c>
      <c r="C57" s="616" t="s">
        <v>3592</v>
      </c>
      <c r="D57" s="616" t="s">
        <v>5056</v>
      </c>
      <c r="E57" s="616" t="s">
        <v>5057</v>
      </c>
      <c r="F57" s="619">
        <v>6</v>
      </c>
      <c r="G57" s="619">
        <v>372</v>
      </c>
      <c r="H57" s="619">
        <v>1</v>
      </c>
      <c r="I57" s="619">
        <v>62</v>
      </c>
      <c r="J57" s="619">
        <v>6</v>
      </c>
      <c r="K57" s="619">
        <v>372</v>
      </c>
      <c r="L57" s="619">
        <v>1</v>
      </c>
      <c r="M57" s="619">
        <v>62</v>
      </c>
      <c r="N57" s="619">
        <v>3</v>
      </c>
      <c r="O57" s="619">
        <v>186</v>
      </c>
      <c r="P57" s="640">
        <v>0.5</v>
      </c>
      <c r="Q57" s="620">
        <v>62</v>
      </c>
    </row>
    <row r="58" spans="1:17" ht="14.4" customHeight="1" x14ac:dyDescent="0.3">
      <c r="A58" s="615" t="s">
        <v>5038</v>
      </c>
      <c r="B58" s="616" t="s">
        <v>5039</v>
      </c>
      <c r="C58" s="616" t="s">
        <v>3592</v>
      </c>
      <c r="D58" s="616" t="s">
        <v>5058</v>
      </c>
      <c r="E58" s="616" t="s">
        <v>5059</v>
      </c>
      <c r="F58" s="619">
        <v>2750</v>
      </c>
      <c r="G58" s="619">
        <v>169772</v>
      </c>
      <c r="H58" s="619">
        <v>1</v>
      </c>
      <c r="I58" s="619">
        <v>61.735272727272729</v>
      </c>
      <c r="J58" s="619">
        <v>3399</v>
      </c>
      <c r="K58" s="619">
        <v>210738</v>
      </c>
      <c r="L58" s="619">
        <v>1.2413000966001462</v>
      </c>
      <c r="M58" s="619">
        <v>62</v>
      </c>
      <c r="N58" s="619">
        <v>4999</v>
      </c>
      <c r="O58" s="619">
        <v>309938</v>
      </c>
      <c r="P58" s="640">
        <v>1.8256131753174847</v>
      </c>
      <c r="Q58" s="620">
        <v>62</v>
      </c>
    </row>
    <row r="59" spans="1:17" ht="14.4" customHeight="1" x14ac:dyDescent="0.3">
      <c r="A59" s="615" t="s">
        <v>5038</v>
      </c>
      <c r="B59" s="616" t="s">
        <v>5039</v>
      </c>
      <c r="C59" s="616" t="s">
        <v>3592</v>
      </c>
      <c r="D59" s="616" t="s">
        <v>5060</v>
      </c>
      <c r="E59" s="616" t="s">
        <v>5061</v>
      </c>
      <c r="F59" s="619">
        <v>16</v>
      </c>
      <c r="G59" s="619">
        <v>1298</v>
      </c>
      <c r="H59" s="619">
        <v>1</v>
      </c>
      <c r="I59" s="619">
        <v>81.125</v>
      </c>
      <c r="J59" s="619">
        <v>3</v>
      </c>
      <c r="K59" s="619">
        <v>246</v>
      </c>
      <c r="L59" s="619">
        <v>0.18952234206471494</v>
      </c>
      <c r="M59" s="619">
        <v>82</v>
      </c>
      <c r="N59" s="619">
        <v>6</v>
      </c>
      <c r="O59" s="619">
        <v>492</v>
      </c>
      <c r="P59" s="640">
        <v>0.37904468412942988</v>
      </c>
      <c r="Q59" s="620">
        <v>82</v>
      </c>
    </row>
    <row r="60" spans="1:17" ht="14.4" customHeight="1" x14ac:dyDescent="0.3">
      <c r="A60" s="615" t="s">
        <v>5038</v>
      </c>
      <c r="B60" s="616" t="s">
        <v>5039</v>
      </c>
      <c r="C60" s="616" t="s">
        <v>3592</v>
      </c>
      <c r="D60" s="616" t="s">
        <v>5062</v>
      </c>
      <c r="E60" s="616" t="s">
        <v>5063</v>
      </c>
      <c r="F60" s="619">
        <v>158</v>
      </c>
      <c r="G60" s="619">
        <v>155946</v>
      </c>
      <c r="H60" s="619">
        <v>1</v>
      </c>
      <c r="I60" s="619">
        <v>987</v>
      </c>
      <c r="J60" s="619">
        <v>143</v>
      </c>
      <c r="K60" s="619">
        <v>141141</v>
      </c>
      <c r="L60" s="619">
        <v>0.90506329113924056</v>
      </c>
      <c r="M60" s="619">
        <v>987</v>
      </c>
      <c r="N60" s="619">
        <v>168</v>
      </c>
      <c r="O60" s="619">
        <v>165984</v>
      </c>
      <c r="P60" s="640">
        <v>1.0643684352275788</v>
      </c>
      <c r="Q60" s="620">
        <v>988</v>
      </c>
    </row>
    <row r="61" spans="1:17" ht="14.4" customHeight="1" x14ac:dyDescent="0.3">
      <c r="A61" s="615" t="s">
        <v>5038</v>
      </c>
      <c r="B61" s="616" t="s">
        <v>5039</v>
      </c>
      <c r="C61" s="616" t="s">
        <v>3592</v>
      </c>
      <c r="D61" s="616" t="s">
        <v>5064</v>
      </c>
      <c r="E61" s="616" t="s">
        <v>5065</v>
      </c>
      <c r="F61" s="619"/>
      <c r="G61" s="619"/>
      <c r="H61" s="619"/>
      <c r="I61" s="619"/>
      <c r="J61" s="619">
        <v>1</v>
      </c>
      <c r="K61" s="619">
        <v>191</v>
      </c>
      <c r="L61" s="619"/>
      <c r="M61" s="619">
        <v>191</v>
      </c>
      <c r="N61" s="619">
        <v>1</v>
      </c>
      <c r="O61" s="619">
        <v>191</v>
      </c>
      <c r="P61" s="640"/>
      <c r="Q61" s="620">
        <v>191</v>
      </c>
    </row>
    <row r="62" spans="1:17" ht="14.4" customHeight="1" x14ac:dyDescent="0.3">
      <c r="A62" s="615" t="s">
        <v>5038</v>
      </c>
      <c r="B62" s="616" t="s">
        <v>5039</v>
      </c>
      <c r="C62" s="616" t="s">
        <v>3592</v>
      </c>
      <c r="D62" s="616" t="s">
        <v>5066</v>
      </c>
      <c r="E62" s="616" t="s">
        <v>5067</v>
      </c>
      <c r="F62" s="619">
        <v>32</v>
      </c>
      <c r="G62" s="619">
        <v>2624</v>
      </c>
      <c r="H62" s="619">
        <v>1</v>
      </c>
      <c r="I62" s="619">
        <v>82</v>
      </c>
      <c r="J62" s="619">
        <v>25</v>
      </c>
      <c r="K62" s="619">
        <v>2050</v>
      </c>
      <c r="L62" s="619">
        <v>0.78125</v>
      </c>
      <c r="M62" s="619">
        <v>82</v>
      </c>
      <c r="N62" s="619">
        <v>17</v>
      </c>
      <c r="O62" s="619">
        <v>1394</v>
      </c>
      <c r="P62" s="640">
        <v>0.53125</v>
      </c>
      <c r="Q62" s="620">
        <v>82</v>
      </c>
    </row>
    <row r="63" spans="1:17" ht="14.4" customHeight="1" x14ac:dyDescent="0.3">
      <c r="A63" s="615" t="s">
        <v>5038</v>
      </c>
      <c r="B63" s="616" t="s">
        <v>5039</v>
      </c>
      <c r="C63" s="616" t="s">
        <v>3592</v>
      </c>
      <c r="D63" s="616" t="s">
        <v>5068</v>
      </c>
      <c r="E63" s="616" t="s">
        <v>5069</v>
      </c>
      <c r="F63" s="619">
        <v>15</v>
      </c>
      <c r="G63" s="619">
        <v>945</v>
      </c>
      <c r="H63" s="619">
        <v>1</v>
      </c>
      <c r="I63" s="619">
        <v>63</v>
      </c>
      <c r="J63" s="619">
        <v>8</v>
      </c>
      <c r="K63" s="619">
        <v>504</v>
      </c>
      <c r="L63" s="619">
        <v>0.53333333333333333</v>
      </c>
      <c r="M63" s="619">
        <v>63</v>
      </c>
      <c r="N63" s="619">
        <v>26</v>
      </c>
      <c r="O63" s="619">
        <v>1638</v>
      </c>
      <c r="P63" s="640">
        <v>1.7333333333333334</v>
      </c>
      <c r="Q63" s="620">
        <v>63</v>
      </c>
    </row>
    <row r="64" spans="1:17" ht="14.4" customHeight="1" x14ac:dyDescent="0.3">
      <c r="A64" s="615" t="s">
        <v>5038</v>
      </c>
      <c r="B64" s="616" t="s">
        <v>5039</v>
      </c>
      <c r="C64" s="616" t="s">
        <v>3592</v>
      </c>
      <c r="D64" s="616" t="s">
        <v>5070</v>
      </c>
      <c r="E64" s="616" t="s">
        <v>5071</v>
      </c>
      <c r="F64" s="619">
        <v>850</v>
      </c>
      <c r="G64" s="619">
        <v>14450</v>
      </c>
      <c r="H64" s="619">
        <v>1</v>
      </c>
      <c r="I64" s="619">
        <v>17</v>
      </c>
      <c r="J64" s="619">
        <v>805</v>
      </c>
      <c r="K64" s="619">
        <v>13685</v>
      </c>
      <c r="L64" s="619">
        <v>0.94705882352941173</v>
      </c>
      <c r="M64" s="619">
        <v>17</v>
      </c>
      <c r="N64" s="619">
        <v>839</v>
      </c>
      <c r="O64" s="619">
        <v>14263</v>
      </c>
      <c r="P64" s="640">
        <v>0.98705882352941177</v>
      </c>
      <c r="Q64" s="620">
        <v>17</v>
      </c>
    </row>
    <row r="65" spans="1:17" ht="14.4" customHeight="1" x14ac:dyDescent="0.3">
      <c r="A65" s="615" t="s">
        <v>5038</v>
      </c>
      <c r="B65" s="616" t="s">
        <v>5039</v>
      </c>
      <c r="C65" s="616" t="s">
        <v>3592</v>
      </c>
      <c r="D65" s="616" t="s">
        <v>5072</v>
      </c>
      <c r="E65" s="616" t="s">
        <v>5073</v>
      </c>
      <c r="F65" s="619"/>
      <c r="G65" s="619"/>
      <c r="H65" s="619"/>
      <c r="I65" s="619"/>
      <c r="J65" s="619">
        <v>2</v>
      </c>
      <c r="K65" s="619">
        <v>128</v>
      </c>
      <c r="L65" s="619"/>
      <c r="M65" s="619">
        <v>64</v>
      </c>
      <c r="N65" s="619">
        <v>3</v>
      </c>
      <c r="O65" s="619">
        <v>192</v>
      </c>
      <c r="P65" s="640"/>
      <c r="Q65" s="620">
        <v>64</v>
      </c>
    </row>
    <row r="66" spans="1:17" ht="14.4" customHeight="1" x14ac:dyDescent="0.3">
      <c r="A66" s="615" t="s">
        <v>5038</v>
      </c>
      <c r="B66" s="616" t="s">
        <v>5039</v>
      </c>
      <c r="C66" s="616" t="s">
        <v>3592</v>
      </c>
      <c r="D66" s="616" t="s">
        <v>5074</v>
      </c>
      <c r="E66" s="616" t="s">
        <v>5075</v>
      </c>
      <c r="F66" s="619">
        <v>9</v>
      </c>
      <c r="G66" s="619">
        <v>423</v>
      </c>
      <c r="H66" s="619">
        <v>1</v>
      </c>
      <c r="I66" s="619">
        <v>47</v>
      </c>
      <c r="J66" s="619">
        <v>3</v>
      </c>
      <c r="K66" s="619">
        <v>141</v>
      </c>
      <c r="L66" s="619">
        <v>0.33333333333333331</v>
      </c>
      <c r="M66" s="619">
        <v>47</v>
      </c>
      <c r="N66" s="619">
        <v>5</v>
      </c>
      <c r="O66" s="619">
        <v>235</v>
      </c>
      <c r="P66" s="640">
        <v>0.55555555555555558</v>
      </c>
      <c r="Q66" s="620">
        <v>47</v>
      </c>
    </row>
    <row r="67" spans="1:17" ht="14.4" customHeight="1" x14ac:dyDescent="0.3">
      <c r="A67" s="615" t="s">
        <v>5038</v>
      </c>
      <c r="B67" s="616" t="s">
        <v>5039</v>
      </c>
      <c r="C67" s="616" t="s">
        <v>3592</v>
      </c>
      <c r="D67" s="616" t="s">
        <v>5076</v>
      </c>
      <c r="E67" s="616" t="s">
        <v>5077</v>
      </c>
      <c r="F67" s="619">
        <v>5</v>
      </c>
      <c r="G67" s="619">
        <v>300</v>
      </c>
      <c r="H67" s="619">
        <v>1</v>
      </c>
      <c r="I67" s="619">
        <v>60</v>
      </c>
      <c r="J67" s="619">
        <v>4</v>
      </c>
      <c r="K67" s="619">
        <v>240</v>
      </c>
      <c r="L67" s="619">
        <v>0.8</v>
      </c>
      <c r="M67" s="619">
        <v>60</v>
      </c>
      <c r="N67" s="619">
        <v>3</v>
      </c>
      <c r="O67" s="619">
        <v>180</v>
      </c>
      <c r="P67" s="640">
        <v>0.6</v>
      </c>
      <c r="Q67" s="620">
        <v>60</v>
      </c>
    </row>
    <row r="68" spans="1:17" ht="14.4" customHeight="1" x14ac:dyDescent="0.3">
      <c r="A68" s="615" t="s">
        <v>5038</v>
      </c>
      <c r="B68" s="616" t="s">
        <v>5039</v>
      </c>
      <c r="C68" s="616" t="s">
        <v>3592</v>
      </c>
      <c r="D68" s="616" t="s">
        <v>5078</v>
      </c>
      <c r="E68" s="616" t="s">
        <v>5079</v>
      </c>
      <c r="F68" s="619">
        <v>2</v>
      </c>
      <c r="G68" s="619">
        <v>193</v>
      </c>
      <c r="H68" s="619">
        <v>1</v>
      </c>
      <c r="I68" s="619">
        <v>96.5</v>
      </c>
      <c r="J68" s="619"/>
      <c r="K68" s="619"/>
      <c r="L68" s="619"/>
      <c r="M68" s="619"/>
      <c r="N68" s="619"/>
      <c r="O68" s="619"/>
      <c r="P68" s="640"/>
      <c r="Q68" s="620"/>
    </row>
    <row r="69" spans="1:17" ht="14.4" customHeight="1" x14ac:dyDescent="0.3">
      <c r="A69" s="615" t="s">
        <v>5038</v>
      </c>
      <c r="B69" s="616" t="s">
        <v>5039</v>
      </c>
      <c r="C69" s="616" t="s">
        <v>3592</v>
      </c>
      <c r="D69" s="616" t="s">
        <v>5080</v>
      </c>
      <c r="E69" s="616" t="s">
        <v>5081</v>
      </c>
      <c r="F69" s="619">
        <v>2</v>
      </c>
      <c r="G69" s="619">
        <v>120</v>
      </c>
      <c r="H69" s="619">
        <v>1</v>
      </c>
      <c r="I69" s="619">
        <v>60</v>
      </c>
      <c r="J69" s="619"/>
      <c r="K69" s="619"/>
      <c r="L69" s="619"/>
      <c r="M69" s="619"/>
      <c r="N69" s="619"/>
      <c r="O69" s="619"/>
      <c r="P69" s="640"/>
      <c r="Q69" s="620"/>
    </row>
    <row r="70" spans="1:17" ht="14.4" customHeight="1" x14ac:dyDescent="0.3">
      <c r="A70" s="615" t="s">
        <v>5038</v>
      </c>
      <c r="B70" s="616" t="s">
        <v>5039</v>
      </c>
      <c r="C70" s="616" t="s">
        <v>3592</v>
      </c>
      <c r="D70" s="616" t="s">
        <v>5082</v>
      </c>
      <c r="E70" s="616" t="s">
        <v>5083</v>
      </c>
      <c r="F70" s="619"/>
      <c r="G70" s="619"/>
      <c r="H70" s="619"/>
      <c r="I70" s="619"/>
      <c r="J70" s="619">
        <v>2</v>
      </c>
      <c r="K70" s="619">
        <v>38</v>
      </c>
      <c r="L70" s="619"/>
      <c r="M70" s="619">
        <v>19</v>
      </c>
      <c r="N70" s="619">
        <v>2</v>
      </c>
      <c r="O70" s="619">
        <v>38</v>
      </c>
      <c r="P70" s="640"/>
      <c r="Q70" s="620">
        <v>19</v>
      </c>
    </row>
    <row r="71" spans="1:17" ht="14.4" customHeight="1" x14ac:dyDescent="0.3">
      <c r="A71" s="615" t="s">
        <v>5038</v>
      </c>
      <c r="B71" s="616" t="s">
        <v>5039</v>
      </c>
      <c r="C71" s="616" t="s">
        <v>3592</v>
      </c>
      <c r="D71" s="616" t="s">
        <v>5084</v>
      </c>
      <c r="E71" s="616" t="s">
        <v>5085</v>
      </c>
      <c r="F71" s="619">
        <v>3</v>
      </c>
      <c r="G71" s="619">
        <v>1386</v>
      </c>
      <c r="H71" s="619">
        <v>1</v>
      </c>
      <c r="I71" s="619">
        <v>462</v>
      </c>
      <c r="J71" s="619">
        <v>2</v>
      </c>
      <c r="K71" s="619">
        <v>924</v>
      </c>
      <c r="L71" s="619">
        <v>0.66666666666666663</v>
      </c>
      <c r="M71" s="619">
        <v>462</v>
      </c>
      <c r="N71" s="619">
        <v>6</v>
      </c>
      <c r="O71" s="619">
        <v>2784</v>
      </c>
      <c r="P71" s="640">
        <v>2.0086580086580086</v>
      </c>
      <c r="Q71" s="620">
        <v>464</v>
      </c>
    </row>
    <row r="72" spans="1:17" ht="14.4" customHeight="1" x14ac:dyDescent="0.3">
      <c r="A72" s="615" t="s">
        <v>5038</v>
      </c>
      <c r="B72" s="616" t="s">
        <v>5039</v>
      </c>
      <c r="C72" s="616" t="s">
        <v>3592</v>
      </c>
      <c r="D72" s="616" t="s">
        <v>5086</v>
      </c>
      <c r="E72" s="616" t="s">
        <v>5087</v>
      </c>
      <c r="F72" s="619"/>
      <c r="G72" s="619"/>
      <c r="H72" s="619"/>
      <c r="I72" s="619"/>
      <c r="J72" s="619">
        <v>1</v>
      </c>
      <c r="K72" s="619">
        <v>312</v>
      </c>
      <c r="L72" s="619"/>
      <c r="M72" s="619">
        <v>312</v>
      </c>
      <c r="N72" s="619">
        <v>2</v>
      </c>
      <c r="O72" s="619">
        <v>626</v>
      </c>
      <c r="P72" s="640"/>
      <c r="Q72" s="620">
        <v>313</v>
      </c>
    </row>
    <row r="73" spans="1:17" ht="14.4" customHeight="1" x14ac:dyDescent="0.3">
      <c r="A73" s="615" t="s">
        <v>5038</v>
      </c>
      <c r="B73" s="616" t="s">
        <v>5039</v>
      </c>
      <c r="C73" s="616" t="s">
        <v>3592</v>
      </c>
      <c r="D73" s="616" t="s">
        <v>5088</v>
      </c>
      <c r="E73" s="616" t="s">
        <v>5089</v>
      </c>
      <c r="F73" s="619">
        <v>65</v>
      </c>
      <c r="G73" s="619">
        <v>55369</v>
      </c>
      <c r="H73" s="619">
        <v>1</v>
      </c>
      <c r="I73" s="619">
        <v>851.83076923076919</v>
      </c>
      <c r="J73" s="619">
        <v>93</v>
      </c>
      <c r="K73" s="619">
        <v>79236</v>
      </c>
      <c r="L73" s="619">
        <v>1.431053477577706</v>
      </c>
      <c r="M73" s="619">
        <v>852</v>
      </c>
      <c r="N73" s="619">
        <v>90</v>
      </c>
      <c r="O73" s="619">
        <v>76770</v>
      </c>
      <c r="P73" s="640">
        <v>1.3865159204609077</v>
      </c>
      <c r="Q73" s="620">
        <v>853</v>
      </c>
    </row>
    <row r="74" spans="1:17" ht="14.4" customHeight="1" x14ac:dyDescent="0.3">
      <c r="A74" s="615" t="s">
        <v>5038</v>
      </c>
      <c r="B74" s="616" t="s">
        <v>5039</v>
      </c>
      <c r="C74" s="616" t="s">
        <v>3592</v>
      </c>
      <c r="D74" s="616" t="s">
        <v>5090</v>
      </c>
      <c r="E74" s="616" t="s">
        <v>5091</v>
      </c>
      <c r="F74" s="619"/>
      <c r="G74" s="619"/>
      <c r="H74" s="619"/>
      <c r="I74" s="619"/>
      <c r="J74" s="619">
        <v>1</v>
      </c>
      <c r="K74" s="619">
        <v>186</v>
      </c>
      <c r="L74" s="619"/>
      <c r="M74" s="619">
        <v>186</v>
      </c>
      <c r="N74" s="619">
        <v>21</v>
      </c>
      <c r="O74" s="619">
        <v>3927</v>
      </c>
      <c r="P74" s="640"/>
      <c r="Q74" s="620">
        <v>187</v>
      </c>
    </row>
    <row r="75" spans="1:17" ht="14.4" customHeight="1" x14ac:dyDescent="0.3">
      <c r="A75" s="615" t="s">
        <v>5038</v>
      </c>
      <c r="B75" s="616" t="s">
        <v>5039</v>
      </c>
      <c r="C75" s="616" t="s">
        <v>3592</v>
      </c>
      <c r="D75" s="616" t="s">
        <v>5092</v>
      </c>
      <c r="E75" s="616" t="s">
        <v>5093</v>
      </c>
      <c r="F75" s="619"/>
      <c r="G75" s="619"/>
      <c r="H75" s="619"/>
      <c r="I75" s="619"/>
      <c r="J75" s="619">
        <v>2</v>
      </c>
      <c r="K75" s="619">
        <v>334</v>
      </c>
      <c r="L75" s="619"/>
      <c r="M75" s="619">
        <v>167</v>
      </c>
      <c r="N75" s="619"/>
      <c r="O75" s="619"/>
      <c r="P75" s="640"/>
      <c r="Q75" s="620"/>
    </row>
    <row r="76" spans="1:17" ht="14.4" customHeight="1" x14ac:dyDescent="0.3">
      <c r="A76" s="615" t="s">
        <v>5038</v>
      </c>
      <c r="B76" s="616" t="s">
        <v>5039</v>
      </c>
      <c r="C76" s="616" t="s">
        <v>3592</v>
      </c>
      <c r="D76" s="616" t="s">
        <v>5094</v>
      </c>
      <c r="E76" s="616" t="s">
        <v>5095</v>
      </c>
      <c r="F76" s="619">
        <v>1</v>
      </c>
      <c r="G76" s="619">
        <v>165</v>
      </c>
      <c r="H76" s="619">
        <v>1</v>
      </c>
      <c r="I76" s="619">
        <v>165</v>
      </c>
      <c r="J76" s="619">
        <v>1</v>
      </c>
      <c r="K76" s="619">
        <v>166</v>
      </c>
      <c r="L76" s="619">
        <v>1.0060606060606061</v>
      </c>
      <c r="M76" s="619">
        <v>166</v>
      </c>
      <c r="N76" s="619"/>
      <c r="O76" s="619"/>
      <c r="P76" s="640"/>
      <c r="Q76" s="620"/>
    </row>
    <row r="77" spans="1:17" ht="14.4" customHeight="1" x14ac:dyDescent="0.3">
      <c r="A77" s="615" t="s">
        <v>5038</v>
      </c>
      <c r="B77" s="616" t="s">
        <v>5039</v>
      </c>
      <c r="C77" s="616" t="s">
        <v>3592</v>
      </c>
      <c r="D77" s="616" t="s">
        <v>5096</v>
      </c>
      <c r="E77" s="616" t="s">
        <v>5097</v>
      </c>
      <c r="F77" s="619">
        <v>1</v>
      </c>
      <c r="G77" s="619">
        <v>237</v>
      </c>
      <c r="H77" s="619">
        <v>1</v>
      </c>
      <c r="I77" s="619">
        <v>237</v>
      </c>
      <c r="J77" s="619"/>
      <c r="K77" s="619"/>
      <c r="L77" s="619"/>
      <c r="M77" s="619"/>
      <c r="N77" s="619"/>
      <c r="O77" s="619"/>
      <c r="P77" s="640"/>
      <c r="Q77" s="620"/>
    </row>
    <row r="78" spans="1:17" ht="14.4" customHeight="1" x14ac:dyDescent="0.3">
      <c r="A78" s="615" t="s">
        <v>5038</v>
      </c>
      <c r="B78" s="616" t="s">
        <v>5039</v>
      </c>
      <c r="C78" s="616" t="s">
        <v>3592</v>
      </c>
      <c r="D78" s="616" t="s">
        <v>5098</v>
      </c>
      <c r="E78" s="616" t="s">
        <v>5099</v>
      </c>
      <c r="F78" s="619">
        <v>1</v>
      </c>
      <c r="G78" s="619">
        <v>308</v>
      </c>
      <c r="H78" s="619">
        <v>1</v>
      </c>
      <c r="I78" s="619">
        <v>308</v>
      </c>
      <c r="J78" s="619">
        <v>1</v>
      </c>
      <c r="K78" s="619">
        <v>309</v>
      </c>
      <c r="L78" s="619">
        <v>1.0032467532467533</v>
      </c>
      <c r="M78" s="619">
        <v>309</v>
      </c>
      <c r="N78" s="619">
        <v>1</v>
      </c>
      <c r="O78" s="619">
        <v>310</v>
      </c>
      <c r="P78" s="640">
        <v>1.0064935064935066</v>
      </c>
      <c r="Q78" s="620">
        <v>310</v>
      </c>
    </row>
    <row r="79" spans="1:17" ht="14.4" customHeight="1" x14ac:dyDescent="0.3">
      <c r="A79" s="615" t="s">
        <v>5038</v>
      </c>
      <c r="B79" s="616" t="s">
        <v>5039</v>
      </c>
      <c r="C79" s="616" t="s">
        <v>3592</v>
      </c>
      <c r="D79" s="616" t="s">
        <v>5100</v>
      </c>
      <c r="E79" s="616" t="s">
        <v>5101</v>
      </c>
      <c r="F79" s="619"/>
      <c r="G79" s="619"/>
      <c r="H79" s="619"/>
      <c r="I79" s="619"/>
      <c r="J79" s="619">
        <v>1</v>
      </c>
      <c r="K79" s="619">
        <v>351</v>
      </c>
      <c r="L79" s="619"/>
      <c r="M79" s="619">
        <v>351</v>
      </c>
      <c r="N79" s="619">
        <v>1</v>
      </c>
      <c r="O79" s="619">
        <v>352</v>
      </c>
      <c r="P79" s="640"/>
      <c r="Q79" s="620">
        <v>352</v>
      </c>
    </row>
    <row r="80" spans="1:17" ht="14.4" customHeight="1" x14ac:dyDescent="0.3">
      <c r="A80" s="615" t="s">
        <v>5038</v>
      </c>
      <c r="B80" s="616" t="s">
        <v>5039</v>
      </c>
      <c r="C80" s="616" t="s">
        <v>3592</v>
      </c>
      <c r="D80" s="616" t="s">
        <v>5102</v>
      </c>
      <c r="E80" s="616" t="s">
        <v>5103</v>
      </c>
      <c r="F80" s="619"/>
      <c r="G80" s="619"/>
      <c r="H80" s="619"/>
      <c r="I80" s="619"/>
      <c r="J80" s="619"/>
      <c r="K80" s="619"/>
      <c r="L80" s="619"/>
      <c r="M80" s="619"/>
      <c r="N80" s="619">
        <v>1</v>
      </c>
      <c r="O80" s="619">
        <v>352</v>
      </c>
      <c r="P80" s="640"/>
      <c r="Q80" s="620">
        <v>352</v>
      </c>
    </row>
    <row r="81" spans="1:17" ht="14.4" customHeight="1" x14ac:dyDescent="0.3">
      <c r="A81" s="615" t="s">
        <v>5038</v>
      </c>
      <c r="B81" s="616" t="s">
        <v>5039</v>
      </c>
      <c r="C81" s="616" t="s">
        <v>3592</v>
      </c>
      <c r="D81" s="616" t="s">
        <v>5104</v>
      </c>
      <c r="E81" s="616" t="s">
        <v>5105</v>
      </c>
      <c r="F81" s="619">
        <v>1</v>
      </c>
      <c r="G81" s="619">
        <v>1210</v>
      </c>
      <c r="H81" s="619">
        <v>1</v>
      </c>
      <c r="I81" s="619">
        <v>1210</v>
      </c>
      <c r="J81" s="619">
        <v>2</v>
      </c>
      <c r="K81" s="619">
        <v>2432</v>
      </c>
      <c r="L81" s="619">
        <v>2.009917355371901</v>
      </c>
      <c r="M81" s="619">
        <v>1216</v>
      </c>
      <c r="N81" s="619">
        <v>3</v>
      </c>
      <c r="O81" s="619">
        <v>3663</v>
      </c>
      <c r="P81" s="640">
        <v>3.0272727272727273</v>
      </c>
      <c r="Q81" s="620">
        <v>1221</v>
      </c>
    </row>
    <row r="82" spans="1:17" ht="14.4" customHeight="1" x14ac:dyDescent="0.3">
      <c r="A82" s="615" t="s">
        <v>5038</v>
      </c>
      <c r="B82" s="616" t="s">
        <v>5039</v>
      </c>
      <c r="C82" s="616" t="s">
        <v>3592</v>
      </c>
      <c r="D82" s="616" t="s">
        <v>5106</v>
      </c>
      <c r="E82" s="616" t="s">
        <v>5107</v>
      </c>
      <c r="F82" s="619">
        <v>331</v>
      </c>
      <c r="G82" s="619">
        <v>259733</v>
      </c>
      <c r="H82" s="619">
        <v>1</v>
      </c>
      <c r="I82" s="619">
        <v>784.69184290030216</v>
      </c>
      <c r="J82" s="619">
        <v>429</v>
      </c>
      <c r="K82" s="619">
        <v>337194</v>
      </c>
      <c r="L82" s="619">
        <v>1.298233185617538</v>
      </c>
      <c r="M82" s="619">
        <v>786</v>
      </c>
      <c r="N82" s="619">
        <v>490</v>
      </c>
      <c r="O82" s="619">
        <v>385630</v>
      </c>
      <c r="P82" s="640">
        <v>1.4847169978400896</v>
      </c>
      <c r="Q82" s="620">
        <v>787</v>
      </c>
    </row>
    <row r="83" spans="1:17" ht="14.4" customHeight="1" x14ac:dyDescent="0.3">
      <c r="A83" s="615" t="s">
        <v>5038</v>
      </c>
      <c r="B83" s="616" t="s">
        <v>5039</v>
      </c>
      <c r="C83" s="616" t="s">
        <v>3592</v>
      </c>
      <c r="D83" s="616" t="s">
        <v>5108</v>
      </c>
      <c r="E83" s="616" t="s">
        <v>5109</v>
      </c>
      <c r="F83" s="619"/>
      <c r="G83" s="619"/>
      <c r="H83" s="619"/>
      <c r="I83" s="619"/>
      <c r="J83" s="619"/>
      <c r="K83" s="619"/>
      <c r="L83" s="619"/>
      <c r="M83" s="619"/>
      <c r="N83" s="619">
        <v>1</v>
      </c>
      <c r="O83" s="619">
        <v>189</v>
      </c>
      <c r="P83" s="640"/>
      <c r="Q83" s="620">
        <v>189</v>
      </c>
    </row>
    <row r="84" spans="1:17" ht="14.4" customHeight="1" x14ac:dyDescent="0.3">
      <c r="A84" s="615" t="s">
        <v>5038</v>
      </c>
      <c r="B84" s="616" t="s">
        <v>5039</v>
      </c>
      <c r="C84" s="616" t="s">
        <v>3592</v>
      </c>
      <c r="D84" s="616" t="s">
        <v>5110</v>
      </c>
      <c r="E84" s="616" t="s">
        <v>5111</v>
      </c>
      <c r="F84" s="619"/>
      <c r="G84" s="619"/>
      <c r="H84" s="619"/>
      <c r="I84" s="619"/>
      <c r="J84" s="619"/>
      <c r="K84" s="619"/>
      <c r="L84" s="619"/>
      <c r="M84" s="619"/>
      <c r="N84" s="619">
        <v>3</v>
      </c>
      <c r="O84" s="619">
        <v>537</v>
      </c>
      <c r="P84" s="640"/>
      <c r="Q84" s="620">
        <v>179</v>
      </c>
    </row>
    <row r="85" spans="1:17" ht="14.4" customHeight="1" x14ac:dyDescent="0.3">
      <c r="A85" s="615" t="s">
        <v>5038</v>
      </c>
      <c r="B85" s="616" t="s">
        <v>5039</v>
      </c>
      <c r="C85" s="616" t="s">
        <v>3592</v>
      </c>
      <c r="D85" s="616" t="s">
        <v>5112</v>
      </c>
      <c r="E85" s="616" t="s">
        <v>5113</v>
      </c>
      <c r="F85" s="619">
        <v>1</v>
      </c>
      <c r="G85" s="619">
        <v>362</v>
      </c>
      <c r="H85" s="619">
        <v>1</v>
      </c>
      <c r="I85" s="619">
        <v>362</v>
      </c>
      <c r="J85" s="619"/>
      <c r="K85" s="619"/>
      <c r="L85" s="619"/>
      <c r="M85" s="619"/>
      <c r="N85" s="619"/>
      <c r="O85" s="619"/>
      <c r="P85" s="640"/>
      <c r="Q85" s="620"/>
    </row>
    <row r="86" spans="1:17" ht="14.4" customHeight="1" x14ac:dyDescent="0.3">
      <c r="A86" s="615" t="s">
        <v>5038</v>
      </c>
      <c r="B86" s="616" t="s">
        <v>5039</v>
      </c>
      <c r="C86" s="616" t="s">
        <v>3592</v>
      </c>
      <c r="D86" s="616" t="s">
        <v>5114</v>
      </c>
      <c r="E86" s="616" t="s">
        <v>5115</v>
      </c>
      <c r="F86" s="619"/>
      <c r="G86" s="619"/>
      <c r="H86" s="619"/>
      <c r="I86" s="619"/>
      <c r="J86" s="619">
        <v>3</v>
      </c>
      <c r="K86" s="619">
        <v>684</v>
      </c>
      <c r="L86" s="619"/>
      <c r="M86" s="619">
        <v>228</v>
      </c>
      <c r="N86" s="619">
        <v>2</v>
      </c>
      <c r="O86" s="619">
        <v>458</v>
      </c>
      <c r="P86" s="640"/>
      <c r="Q86" s="620">
        <v>229</v>
      </c>
    </row>
    <row r="87" spans="1:17" ht="14.4" customHeight="1" x14ac:dyDescent="0.3">
      <c r="A87" s="615" t="s">
        <v>5038</v>
      </c>
      <c r="B87" s="616" t="s">
        <v>5039</v>
      </c>
      <c r="C87" s="616" t="s">
        <v>3592</v>
      </c>
      <c r="D87" s="616" t="s">
        <v>5116</v>
      </c>
      <c r="E87" s="616" t="s">
        <v>5117</v>
      </c>
      <c r="F87" s="619"/>
      <c r="G87" s="619"/>
      <c r="H87" s="619"/>
      <c r="I87" s="619"/>
      <c r="J87" s="619"/>
      <c r="K87" s="619"/>
      <c r="L87" s="619"/>
      <c r="M87" s="619"/>
      <c r="N87" s="619">
        <v>1</v>
      </c>
      <c r="O87" s="619">
        <v>562</v>
      </c>
      <c r="P87" s="640"/>
      <c r="Q87" s="620">
        <v>562</v>
      </c>
    </row>
    <row r="88" spans="1:17" ht="14.4" customHeight="1" x14ac:dyDescent="0.3">
      <c r="A88" s="615" t="s">
        <v>5038</v>
      </c>
      <c r="B88" s="616" t="s">
        <v>5039</v>
      </c>
      <c r="C88" s="616" t="s">
        <v>3592</v>
      </c>
      <c r="D88" s="616" t="s">
        <v>5118</v>
      </c>
      <c r="E88" s="616" t="s">
        <v>5119</v>
      </c>
      <c r="F88" s="619">
        <v>2</v>
      </c>
      <c r="G88" s="619">
        <v>264</v>
      </c>
      <c r="H88" s="619">
        <v>1</v>
      </c>
      <c r="I88" s="619">
        <v>132</v>
      </c>
      <c r="J88" s="619">
        <v>3</v>
      </c>
      <c r="K88" s="619">
        <v>396</v>
      </c>
      <c r="L88" s="619">
        <v>1.5</v>
      </c>
      <c r="M88" s="619">
        <v>132</v>
      </c>
      <c r="N88" s="619">
        <v>3</v>
      </c>
      <c r="O88" s="619">
        <v>399</v>
      </c>
      <c r="P88" s="640">
        <v>1.5113636363636365</v>
      </c>
      <c r="Q88" s="620">
        <v>133</v>
      </c>
    </row>
    <row r="89" spans="1:17" ht="14.4" customHeight="1" x14ac:dyDescent="0.3">
      <c r="A89" s="615" t="s">
        <v>5038</v>
      </c>
      <c r="B89" s="616" t="s">
        <v>5039</v>
      </c>
      <c r="C89" s="616" t="s">
        <v>3592</v>
      </c>
      <c r="D89" s="616" t="s">
        <v>5120</v>
      </c>
      <c r="E89" s="616" t="s">
        <v>5121</v>
      </c>
      <c r="F89" s="619">
        <v>25</v>
      </c>
      <c r="G89" s="619">
        <v>2217</v>
      </c>
      <c r="H89" s="619">
        <v>1</v>
      </c>
      <c r="I89" s="619">
        <v>88.68</v>
      </c>
      <c r="J89" s="619">
        <v>27</v>
      </c>
      <c r="K89" s="619">
        <v>2403</v>
      </c>
      <c r="L89" s="619">
        <v>1.0838971583220569</v>
      </c>
      <c r="M89" s="619">
        <v>89</v>
      </c>
      <c r="N89" s="619">
        <v>13</v>
      </c>
      <c r="O89" s="619">
        <v>1157</v>
      </c>
      <c r="P89" s="640">
        <v>0.52187640956247183</v>
      </c>
      <c r="Q89" s="620">
        <v>89</v>
      </c>
    </row>
    <row r="90" spans="1:17" ht="14.4" customHeight="1" x14ac:dyDescent="0.3">
      <c r="A90" s="615" t="s">
        <v>5038</v>
      </c>
      <c r="B90" s="616" t="s">
        <v>5039</v>
      </c>
      <c r="C90" s="616" t="s">
        <v>3592</v>
      </c>
      <c r="D90" s="616" t="s">
        <v>5122</v>
      </c>
      <c r="E90" s="616" t="s">
        <v>5123</v>
      </c>
      <c r="F90" s="619">
        <v>2868</v>
      </c>
      <c r="G90" s="619">
        <v>85437</v>
      </c>
      <c r="H90" s="619">
        <v>1</v>
      </c>
      <c r="I90" s="619">
        <v>29.789748953974897</v>
      </c>
      <c r="J90" s="619">
        <v>3910</v>
      </c>
      <c r="K90" s="619">
        <v>117300</v>
      </c>
      <c r="L90" s="619">
        <v>1.3729414656413497</v>
      </c>
      <c r="M90" s="619">
        <v>30</v>
      </c>
      <c r="N90" s="619">
        <v>5945</v>
      </c>
      <c r="O90" s="619">
        <v>178350</v>
      </c>
      <c r="P90" s="640">
        <v>2.0875030724393411</v>
      </c>
      <c r="Q90" s="620">
        <v>30</v>
      </c>
    </row>
    <row r="91" spans="1:17" ht="14.4" customHeight="1" x14ac:dyDescent="0.3">
      <c r="A91" s="615" t="s">
        <v>5038</v>
      </c>
      <c r="B91" s="616" t="s">
        <v>5039</v>
      </c>
      <c r="C91" s="616" t="s">
        <v>3592</v>
      </c>
      <c r="D91" s="616" t="s">
        <v>5124</v>
      </c>
      <c r="E91" s="616" t="s">
        <v>5125</v>
      </c>
      <c r="F91" s="619">
        <v>6</v>
      </c>
      <c r="G91" s="619">
        <v>300</v>
      </c>
      <c r="H91" s="619">
        <v>1</v>
      </c>
      <c r="I91" s="619">
        <v>50</v>
      </c>
      <c r="J91" s="619">
        <v>5</v>
      </c>
      <c r="K91" s="619">
        <v>250</v>
      </c>
      <c r="L91" s="619">
        <v>0.83333333333333337</v>
      </c>
      <c r="M91" s="619">
        <v>50</v>
      </c>
      <c r="N91" s="619">
        <v>5</v>
      </c>
      <c r="O91" s="619">
        <v>250</v>
      </c>
      <c r="P91" s="640">
        <v>0.83333333333333337</v>
      </c>
      <c r="Q91" s="620">
        <v>50</v>
      </c>
    </row>
    <row r="92" spans="1:17" ht="14.4" customHeight="1" x14ac:dyDescent="0.3">
      <c r="A92" s="615" t="s">
        <v>5038</v>
      </c>
      <c r="B92" s="616" t="s">
        <v>5039</v>
      </c>
      <c r="C92" s="616" t="s">
        <v>3592</v>
      </c>
      <c r="D92" s="616" t="s">
        <v>5126</v>
      </c>
      <c r="E92" s="616" t="s">
        <v>5127</v>
      </c>
      <c r="F92" s="619">
        <v>441</v>
      </c>
      <c r="G92" s="619">
        <v>5292</v>
      </c>
      <c r="H92" s="619">
        <v>1</v>
      </c>
      <c r="I92" s="619">
        <v>12</v>
      </c>
      <c r="J92" s="619">
        <v>514</v>
      </c>
      <c r="K92" s="619">
        <v>6168</v>
      </c>
      <c r="L92" s="619">
        <v>1.1655328798185942</v>
      </c>
      <c r="M92" s="619">
        <v>12</v>
      </c>
      <c r="N92" s="619">
        <v>686</v>
      </c>
      <c r="O92" s="619">
        <v>8232</v>
      </c>
      <c r="P92" s="640">
        <v>1.5555555555555556</v>
      </c>
      <c r="Q92" s="620">
        <v>12</v>
      </c>
    </row>
    <row r="93" spans="1:17" ht="14.4" customHeight="1" x14ac:dyDescent="0.3">
      <c r="A93" s="615" t="s">
        <v>5038</v>
      </c>
      <c r="B93" s="616" t="s">
        <v>5039</v>
      </c>
      <c r="C93" s="616" t="s">
        <v>3592</v>
      </c>
      <c r="D93" s="616" t="s">
        <v>5128</v>
      </c>
      <c r="E93" s="616" t="s">
        <v>5129</v>
      </c>
      <c r="F93" s="619">
        <v>7</v>
      </c>
      <c r="G93" s="619">
        <v>1273</v>
      </c>
      <c r="H93" s="619">
        <v>1</v>
      </c>
      <c r="I93" s="619">
        <v>181.85714285714286</v>
      </c>
      <c r="J93" s="619">
        <v>8</v>
      </c>
      <c r="K93" s="619">
        <v>1456</v>
      </c>
      <c r="L93" s="619">
        <v>1.1437549096622153</v>
      </c>
      <c r="M93" s="619">
        <v>182</v>
      </c>
      <c r="N93" s="619">
        <v>13</v>
      </c>
      <c r="O93" s="619">
        <v>2379</v>
      </c>
      <c r="P93" s="640">
        <v>1.8688138256087981</v>
      </c>
      <c r="Q93" s="620">
        <v>183</v>
      </c>
    </row>
    <row r="94" spans="1:17" ht="14.4" customHeight="1" x14ac:dyDescent="0.3">
      <c r="A94" s="615" t="s">
        <v>5038</v>
      </c>
      <c r="B94" s="616" t="s">
        <v>5039</v>
      </c>
      <c r="C94" s="616" t="s">
        <v>3592</v>
      </c>
      <c r="D94" s="616" t="s">
        <v>5130</v>
      </c>
      <c r="E94" s="616" t="s">
        <v>5131</v>
      </c>
      <c r="F94" s="619">
        <v>828</v>
      </c>
      <c r="G94" s="619">
        <v>58807</v>
      </c>
      <c r="H94" s="619">
        <v>1</v>
      </c>
      <c r="I94" s="619">
        <v>71.022946859903385</v>
      </c>
      <c r="J94" s="619">
        <v>7</v>
      </c>
      <c r="K94" s="619">
        <v>504</v>
      </c>
      <c r="L94" s="619">
        <v>8.5704082847280084E-3</v>
      </c>
      <c r="M94" s="619">
        <v>72</v>
      </c>
      <c r="N94" s="619">
        <v>17</v>
      </c>
      <c r="O94" s="619">
        <v>1241</v>
      </c>
      <c r="P94" s="640">
        <v>2.110292992330845E-2</v>
      </c>
      <c r="Q94" s="620">
        <v>73</v>
      </c>
    </row>
    <row r="95" spans="1:17" ht="14.4" customHeight="1" x14ac:dyDescent="0.3">
      <c r="A95" s="615" t="s">
        <v>5038</v>
      </c>
      <c r="B95" s="616" t="s">
        <v>5039</v>
      </c>
      <c r="C95" s="616" t="s">
        <v>3592</v>
      </c>
      <c r="D95" s="616" t="s">
        <v>5132</v>
      </c>
      <c r="E95" s="616" t="s">
        <v>5133</v>
      </c>
      <c r="F95" s="619">
        <v>2</v>
      </c>
      <c r="G95" s="619">
        <v>366</v>
      </c>
      <c r="H95" s="619">
        <v>1</v>
      </c>
      <c r="I95" s="619">
        <v>183</v>
      </c>
      <c r="J95" s="619">
        <v>4</v>
      </c>
      <c r="K95" s="619">
        <v>732</v>
      </c>
      <c r="L95" s="619">
        <v>2</v>
      </c>
      <c r="M95" s="619">
        <v>183</v>
      </c>
      <c r="N95" s="619">
        <v>4</v>
      </c>
      <c r="O95" s="619">
        <v>736</v>
      </c>
      <c r="P95" s="640">
        <v>2.0109289617486339</v>
      </c>
      <c r="Q95" s="620">
        <v>184</v>
      </c>
    </row>
    <row r="96" spans="1:17" ht="14.4" customHeight="1" x14ac:dyDescent="0.3">
      <c r="A96" s="615" t="s">
        <v>5038</v>
      </c>
      <c r="B96" s="616" t="s">
        <v>5039</v>
      </c>
      <c r="C96" s="616" t="s">
        <v>3592</v>
      </c>
      <c r="D96" s="616" t="s">
        <v>5134</v>
      </c>
      <c r="E96" s="616" t="s">
        <v>5135</v>
      </c>
      <c r="F96" s="619">
        <v>2</v>
      </c>
      <c r="G96" s="619">
        <v>2522</v>
      </c>
      <c r="H96" s="619">
        <v>1</v>
      </c>
      <c r="I96" s="619">
        <v>1261</v>
      </c>
      <c r="J96" s="619">
        <v>2</v>
      </c>
      <c r="K96" s="619">
        <v>2536</v>
      </c>
      <c r="L96" s="619">
        <v>1.0055511498810468</v>
      </c>
      <c r="M96" s="619">
        <v>1268</v>
      </c>
      <c r="N96" s="619">
        <v>5</v>
      </c>
      <c r="O96" s="619">
        <v>6415</v>
      </c>
      <c r="P96" s="640">
        <v>2.543616177636796</v>
      </c>
      <c r="Q96" s="620">
        <v>1283</v>
      </c>
    </row>
    <row r="97" spans="1:17" ht="14.4" customHeight="1" x14ac:dyDescent="0.3">
      <c r="A97" s="615" t="s">
        <v>5038</v>
      </c>
      <c r="B97" s="616" t="s">
        <v>5039</v>
      </c>
      <c r="C97" s="616" t="s">
        <v>3592</v>
      </c>
      <c r="D97" s="616" t="s">
        <v>5136</v>
      </c>
      <c r="E97" s="616" t="s">
        <v>5137</v>
      </c>
      <c r="F97" s="619">
        <v>2086</v>
      </c>
      <c r="G97" s="619">
        <v>308295</v>
      </c>
      <c r="H97" s="619">
        <v>1</v>
      </c>
      <c r="I97" s="619">
        <v>147.79242569511027</v>
      </c>
      <c r="J97" s="619">
        <v>2197</v>
      </c>
      <c r="K97" s="619">
        <v>325156</v>
      </c>
      <c r="L97" s="619">
        <v>1.0546911237613326</v>
      </c>
      <c r="M97" s="619">
        <v>148</v>
      </c>
      <c r="N97" s="619">
        <v>2133</v>
      </c>
      <c r="O97" s="619">
        <v>317817</v>
      </c>
      <c r="P97" s="640">
        <v>1.0308860020434973</v>
      </c>
      <c r="Q97" s="620">
        <v>149</v>
      </c>
    </row>
    <row r="98" spans="1:17" ht="14.4" customHeight="1" x14ac:dyDescent="0.3">
      <c r="A98" s="615" t="s">
        <v>5038</v>
      </c>
      <c r="B98" s="616" t="s">
        <v>5039</v>
      </c>
      <c r="C98" s="616" t="s">
        <v>3592</v>
      </c>
      <c r="D98" s="616" t="s">
        <v>5138</v>
      </c>
      <c r="E98" s="616" t="s">
        <v>5139</v>
      </c>
      <c r="F98" s="619">
        <v>4812</v>
      </c>
      <c r="G98" s="619">
        <v>143213</v>
      </c>
      <c r="H98" s="619">
        <v>1</v>
      </c>
      <c r="I98" s="619">
        <v>29.761637572734831</v>
      </c>
      <c r="J98" s="619">
        <v>4959</v>
      </c>
      <c r="K98" s="619">
        <v>148770</v>
      </c>
      <c r="L98" s="619">
        <v>1.0388023433626836</v>
      </c>
      <c r="M98" s="619">
        <v>30</v>
      </c>
      <c r="N98" s="619">
        <v>6193</v>
      </c>
      <c r="O98" s="619">
        <v>185790</v>
      </c>
      <c r="P98" s="640">
        <v>1.2972984296118368</v>
      </c>
      <c r="Q98" s="620">
        <v>30</v>
      </c>
    </row>
    <row r="99" spans="1:17" ht="14.4" customHeight="1" x14ac:dyDescent="0.3">
      <c r="A99" s="615" t="s">
        <v>5038</v>
      </c>
      <c r="B99" s="616" t="s">
        <v>5039</v>
      </c>
      <c r="C99" s="616" t="s">
        <v>3592</v>
      </c>
      <c r="D99" s="616" t="s">
        <v>5140</v>
      </c>
      <c r="E99" s="616" t="s">
        <v>5141</v>
      </c>
      <c r="F99" s="619">
        <v>271</v>
      </c>
      <c r="G99" s="619">
        <v>8401</v>
      </c>
      <c r="H99" s="619">
        <v>1</v>
      </c>
      <c r="I99" s="619">
        <v>31</v>
      </c>
      <c r="J99" s="619">
        <v>262</v>
      </c>
      <c r="K99" s="619">
        <v>8122</v>
      </c>
      <c r="L99" s="619">
        <v>0.96678966789667897</v>
      </c>
      <c r="M99" s="619">
        <v>31</v>
      </c>
      <c r="N99" s="619">
        <v>327</v>
      </c>
      <c r="O99" s="619">
        <v>10137</v>
      </c>
      <c r="P99" s="640">
        <v>1.2066420664206643</v>
      </c>
      <c r="Q99" s="620">
        <v>31</v>
      </c>
    </row>
    <row r="100" spans="1:17" ht="14.4" customHeight="1" x14ac:dyDescent="0.3">
      <c r="A100" s="615" t="s">
        <v>5038</v>
      </c>
      <c r="B100" s="616" t="s">
        <v>5039</v>
      </c>
      <c r="C100" s="616" t="s">
        <v>3592</v>
      </c>
      <c r="D100" s="616" t="s">
        <v>5142</v>
      </c>
      <c r="E100" s="616" t="s">
        <v>5143</v>
      </c>
      <c r="F100" s="619">
        <v>324</v>
      </c>
      <c r="G100" s="619">
        <v>8748</v>
      </c>
      <c r="H100" s="619">
        <v>1</v>
      </c>
      <c r="I100" s="619">
        <v>27</v>
      </c>
      <c r="J100" s="619">
        <v>302</v>
      </c>
      <c r="K100" s="619">
        <v>8154</v>
      </c>
      <c r="L100" s="619">
        <v>0.9320987654320988</v>
      </c>
      <c r="M100" s="619">
        <v>27</v>
      </c>
      <c r="N100" s="619">
        <v>406</v>
      </c>
      <c r="O100" s="619">
        <v>10962</v>
      </c>
      <c r="P100" s="640">
        <v>1.2530864197530864</v>
      </c>
      <c r="Q100" s="620">
        <v>27</v>
      </c>
    </row>
    <row r="101" spans="1:17" ht="14.4" customHeight="1" x14ac:dyDescent="0.3">
      <c r="A101" s="615" t="s">
        <v>5038</v>
      </c>
      <c r="B101" s="616" t="s">
        <v>5039</v>
      </c>
      <c r="C101" s="616" t="s">
        <v>3592</v>
      </c>
      <c r="D101" s="616" t="s">
        <v>5144</v>
      </c>
      <c r="E101" s="616" t="s">
        <v>5145</v>
      </c>
      <c r="F101" s="619">
        <v>1</v>
      </c>
      <c r="G101" s="619">
        <v>255</v>
      </c>
      <c r="H101" s="619">
        <v>1</v>
      </c>
      <c r="I101" s="619">
        <v>255</v>
      </c>
      <c r="J101" s="619">
        <v>1</v>
      </c>
      <c r="K101" s="619">
        <v>255</v>
      </c>
      <c r="L101" s="619">
        <v>1</v>
      </c>
      <c r="M101" s="619">
        <v>255</v>
      </c>
      <c r="N101" s="619">
        <v>1</v>
      </c>
      <c r="O101" s="619">
        <v>256</v>
      </c>
      <c r="P101" s="640">
        <v>1.003921568627451</v>
      </c>
      <c r="Q101" s="620">
        <v>256</v>
      </c>
    </row>
    <row r="102" spans="1:17" ht="14.4" customHeight="1" x14ac:dyDescent="0.3">
      <c r="A102" s="615" t="s">
        <v>5038</v>
      </c>
      <c r="B102" s="616" t="s">
        <v>5039</v>
      </c>
      <c r="C102" s="616" t="s">
        <v>3592</v>
      </c>
      <c r="D102" s="616" t="s">
        <v>5146</v>
      </c>
      <c r="E102" s="616" t="s">
        <v>5147</v>
      </c>
      <c r="F102" s="619">
        <v>17</v>
      </c>
      <c r="G102" s="619">
        <v>374</v>
      </c>
      <c r="H102" s="619">
        <v>1</v>
      </c>
      <c r="I102" s="619">
        <v>22</v>
      </c>
      <c r="J102" s="619">
        <v>5</v>
      </c>
      <c r="K102" s="619">
        <v>110</v>
      </c>
      <c r="L102" s="619">
        <v>0.29411764705882354</v>
      </c>
      <c r="M102" s="619">
        <v>22</v>
      </c>
      <c r="N102" s="619">
        <v>12</v>
      </c>
      <c r="O102" s="619">
        <v>264</v>
      </c>
      <c r="P102" s="640">
        <v>0.70588235294117652</v>
      </c>
      <c r="Q102" s="620">
        <v>22</v>
      </c>
    </row>
    <row r="103" spans="1:17" ht="14.4" customHeight="1" x14ac:dyDescent="0.3">
      <c r="A103" s="615" t="s">
        <v>5038</v>
      </c>
      <c r="B103" s="616" t="s">
        <v>5039</v>
      </c>
      <c r="C103" s="616" t="s">
        <v>3592</v>
      </c>
      <c r="D103" s="616" t="s">
        <v>5148</v>
      </c>
      <c r="E103" s="616" t="s">
        <v>5149</v>
      </c>
      <c r="F103" s="619"/>
      <c r="G103" s="619"/>
      <c r="H103" s="619"/>
      <c r="I103" s="619"/>
      <c r="J103" s="619">
        <v>1</v>
      </c>
      <c r="K103" s="619">
        <v>862</v>
      </c>
      <c r="L103" s="619"/>
      <c r="M103" s="619">
        <v>862</v>
      </c>
      <c r="N103" s="619"/>
      <c r="O103" s="619"/>
      <c r="P103" s="640"/>
      <c r="Q103" s="620"/>
    </row>
    <row r="104" spans="1:17" ht="14.4" customHeight="1" x14ac:dyDescent="0.3">
      <c r="A104" s="615" t="s">
        <v>5038</v>
      </c>
      <c r="B104" s="616" t="s">
        <v>5039</v>
      </c>
      <c r="C104" s="616" t="s">
        <v>3592</v>
      </c>
      <c r="D104" s="616" t="s">
        <v>5150</v>
      </c>
      <c r="E104" s="616" t="s">
        <v>5151</v>
      </c>
      <c r="F104" s="619">
        <v>1701</v>
      </c>
      <c r="G104" s="619">
        <v>42525</v>
      </c>
      <c r="H104" s="619">
        <v>1</v>
      </c>
      <c r="I104" s="619">
        <v>25</v>
      </c>
      <c r="J104" s="619">
        <v>1735</v>
      </c>
      <c r="K104" s="619">
        <v>43375</v>
      </c>
      <c r="L104" s="619">
        <v>1.0199882422104645</v>
      </c>
      <c r="M104" s="619">
        <v>25</v>
      </c>
      <c r="N104" s="619">
        <v>1891</v>
      </c>
      <c r="O104" s="619">
        <v>47275</v>
      </c>
      <c r="P104" s="640">
        <v>1.1116990005878895</v>
      </c>
      <c r="Q104" s="620">
        <v>25</v>
      </c>
    </row>
    <row r="105" spans="1:17" ht="14.4" customHeight="1" x14ac:dyDescent="0.3">
      <c r="A105" s="615" t="s">
        <v>5038</v>
      </c>
      <c r="B105" s="616" t="s">
        <v>5039</v>
      </c>
      <c r="C105" s="616" t="s">
        <v>3592</v>
      </c>
      <c r="D105" s="616" t="s">
        <v>5152</v>
      </c>
      <c r="E105" s="616" t="s">
        <v>5153</v>
      </c>
      <c r="F105" s="619">
        <v>20</v>
      </c>
      <c r="G105" s="619">
        <v>660</v>
      </c>
      <c r="H105" s="619">
        <v>1</v>
      </c>
      <c r="I105" s="619">
        <v>33</v>
      </c>
      <c r="J105" s="619">
        <v>13</v>
      </c>
      <c r="K105" s="619">
        <v>429</v>
      </c>
      <c r="L105" s="619">
        <v>0.65</v>
      </c>
      <c r="M105" s="619">
        <v>33</v>
      </c>
      <c r="N105" s="619">
        <v>31</v>
      </c>
      <c r="O105" s="619">
        <v>1023</v>
      </c>
      <c r="P105" s="640">
        <v>1.55</v>
      </c>
      <c r="Q105" s="620">
        <v>33</v>
      </c>
    </row>
    <row r="106" spans="1:17" ht="14.4" customHeight="1" x14ac:dyDescent="0.3">
      <c r="A106" s="615" t="s">
        <v>5038</v>
      </c>
      <c r="B106" s="616" t="s">
        <v>5039</v>
      </c>
      <c r="C106" s="616" t="s">
        <v>3592</v>
      </c>
      <c r="D106" s="616" t="s">
        <v>5154</v>
      </c>
      <c r="E106" s="616" t="s">
        <v>5155</v>
      </c>
      <c r="F106" s="619">
        <v>1</v>
      </c>
      <c r="G106" s="619">
        <v>30</v>
      </c>
      <c r="H106" s="619">
        <v>1</v>
      </c>
      <c r="I106" s="619">
        <v>30</v>
      </c>
      <c r="J106" s="619"/>
      <c r="K106" s="619"/>
      <c r="L106" s="619"/>
      <c r="M106" s="619"/>
      <c r="N106" s="619">
        <v>1</v>
      </c>
      <c r="O106" s="619">
        <v>30</v>
      </c>
      <c r="P106" s="640">
        <v>1</v>
      </c>
      <c r="Q106" s="620">
        <v>30</v>
      </c>
    </row>
    <row r="107" spans="1:17" ht="14.4" customHeight="1" x14ac:dyDescent="0.3">
      <c r="A107" s="615" t="s">
        <v>5038</v>
      </c>
      <c r="B107" s="616" t="s">
        <v>5039</v>
      </c>
      <c r="C107" s="616" t="s">
        <v>3592</v>
      </c>
      <c r="D107" s="616" t="s">
        <v>5156</v>
      </c>
      <c r="E107" s="616" t="s">
        <v>5157</v>
      </c>
      <c r="F107" s="619"/>
      <c r="G107" s="619"/>
      <c r="H107" s="619"/>
      <c r="I107" s="619"/>
      <c r="J107" s="619">
        <v>1</v>
      </c>
      <c r="K107" s="619">
        <v>80</v>
      </c>
      <c r="L107" s="619"/>
      <c r="M107" s="619">
        <v>80</v>
      </c>
      <c r="N107" s="619">
        <v>1</v>
      </c>
      <c r="O107" s="619">
        <v>80</v>
      </c>
      <c r="P107" s="640"/>
      <c r="Q107" s="620">
        <v>80</v>
      </c>
    </row>
    <row r="108" spans="1:17" ht="14.4" customHeight="1" x14ac:dyDescent="0.3">
      <c r="A108" s="615" t="s">
        <v>5038</v>
      </c>
      <c r="B108" s="616" t="s">
        <v>5039</v>
      </c>
      <c r="C108" s="616" t="s">
        <v>3592</v>
      </c>
      <c r="D108" s="616" t="s">
        <v>5158</v>
      </c>
      <c r="E108" s="616" t="s">
        <v>5159</v>
      </c>
      <c r="F108" s="619">
        <v>502</v>
      </c>
      <c r="G108" s="619">
        <v>13052</v>
      </c>
      <c r="H108" s="619">
        <v>1</v>
      </c>
      <c r="I108" s="619">
        <v>26</v>
      </c>
      <c r="J108" s="619">
        <v>487</v>
      </c>
      <c r="K108" s="619">
        <v>12662</v>
      </c>
      <c r="L108" s="619">
        <v>0.97011952191235062</v>
      </c>
      <c r="M108" s="619">
        <v>26</v>
      </c>
      <c r="N108" s="619">
        <v>576</v>
      </c>
      <c r="O108" s="619">
        <v>14976</v>
      </c>
      <c r="P108" s="640">
        <v>1.1474103585657371</v>
      </c>
      <c r="Q108" s="620">
        <v>26</v>
      </c>
    </row>
    <row r="109" spans="1:17" ht="14.4" customHeight="1" x14ac:dyDescent="0.3">
      <c r="A109" s="615" t="s">
        <v>5038</v>
      </c>
      <c r="B109" s="616" t="s">
        <v>5039</v>
      </c>
      <c r="C109" s="616" t="s">
        <v>3592</v>
      </c>
      <c r="D109" s="616" t="s">
        <v>5160</v>
      </c>
      <c r="E109" s="616" t="s">
        <v>5161</v>
      </c>
      <c r="F109" s="619">
        <v>136</v>
      </c>
      <c r="G109" s="619">
        <v>11424</v>
      </c>
      <c r="H109" s="619">
        <v>1</v>
      </c>
      <c r="I109" s="619">
        <v>84</v>
      </c>
      <c r="J109" s="619">
        <v>180</v>
      </c>
      <c r="K109" s="619">
        <v>15120</v>
      </c>
      <c r="L109" s="619">
        <v>1.3235294117647058</v>
      </c>
      <c r="M109" s="619">
        <v>84</v>
      </c>
      <c r="N109" s="619">
        <v>223</v>
      </c>
      <c r="O109" s="619">
        <v>18732</v>
      </c>
      <c r="P109" s="640">
        <v>1.6397058823529411</v>
      </c>
      <c r="Q109" s="620">
        <v>84</v>
      </c>
    </row>
    <row r="110" spans="1:17" ht="14.4" customHeight="1" x14ac:dyDescent="0.3">
      <c r="A110" s="615" t="s">
        <v>5038</v>
      </c>
      <c r="B110" s="616" t="s">
        <v>5039</v>
      </c>
      <c r="C110" s="616" t="s">
        <v>3592</v>
      </c>
      <c r="D110" s="616" t="s">
        <v>5162</v>
      </c>
      <c r="E110" s="616" t="s">
        <v>5163</v>
      </c>
      <c r="F110" s="619">
        <v>8</v>
      </c>
      <c r="G110" s="619">
        <v>1399</v>
      </c>
      <c r="H110" s="619">
        <v>1</v>
      </c>
      <c r="I110" s="619">
        <v>174.875</v>
      </c>
      <c r="J110" s="619">
        <v>9</v>
      </c>
      <c r="K110" s="619">
        <v>1575</v>
      </c>
      <c r="L110" s="619">
        <v>1.1258041458184418</v>
      </c>
      <c r="M110" s="619">
        <v>175</v>
      </c>
      <c r="N110" s="619">
        <v>20</v>
      </c>
      <c r="O110" s="619">
        <v>3520</v>
      </c>
      <c r="P110" s="640">
        <v>2.516082916368835</v>
      </c>
      <c r="Q110" s="620">
        <v>176</v>
      </c>
    </row>
    <row r="111" spans="1:17" ht="14.4" customHeight="1" x14ac:dyDescent="0.3">
      <c r="A111" s="615" t="s">
        <v>5038</v>
      </c>
      <c r="B111" s="616" t="s">
        <v>5039</v>
      </c>
      <c r="C111" s="616" t="s">
        <v>3592</v>
      </c>
      <c r="D111" s="616" t="s">
        <v>5164</v>
      </c>
      <c r="E111" s="616" t="s">
        <v>5165</v>
      </c>
      <c r="F111" s="619"/>
      <c r="G111" s="619"/>
      <c r="H111" s="619"/>
      <c r="I111" s="619"/>
      <c r="J111" s="619">
        <v>2</v>
      </c>
      <c r="K111" s="619">
        <v>504</v>
      </c>
      <c r="L111" s="619"/>
      <c r="M111" s="619">
        <v>252</v>
      </c>
      <c r="N111" s="619">
        <v>1</v>
      </c>
      <c r="O111" s="619">
        <v>253</v>
      </c>
      <c r="P111" s="640"/>
      <c r="Q111" s="620">
        <v>253</v>
      </c>
    </row>
    <row r="112" spans="1:17" ht="14.4" customHeight="1" x14ac:dyDescent="0.3">
      <c r="A112" s="615" t="s">
        <v>5038</v>
      </c>
      <c r="B112" s="616" t="s">
        <v>5039</v>
      </c>
      <c r="C112" s="616" t="s">
        <v>3592</v>
      </c>
      <c r="D112" s="616" t="s">
        <v>5166</v>
      </c>
      <c r="E112" s="616" t="s">
        <v>5167</v>
      </c>
      <c r="F112" s="619">
        <v>229</v>
      </c>
      <c r="G112" s="619">
        <v>3435</v>
      </c>
      <c r="H112" s="619">
        <v>1</v>
      </c>
      <c r="I112" s="619">
        <v>15</v>
      </c>
      <c r="J112" s="619">
        <v>212</v>
      </c>
      <c r="K112" s="619">
        <v>3180</v>
      </c>
      <c r="L112" s="619">
        <v>0.92576419213973804</v>
      </c>
      <c r="M112" s="619">
        <v>15</v>
      </c>
      <c r="N112" s="619">
        <v>189</v>
      </c>
      <c r="O112" s="619">
        <v>2835</v>
      </c>
      <c r="P112" s="640">
        <v>0.8253275109170306</v>
      </c>
      <c r="Q112" s="620">
        <v>15</v>
      </c>
    </row>
    <row r="113" spans="1:17" ht="14.4" customHeight="1" x14ac:dyDescent="0.3">
      <c r="A113" s="615" t="s">
        <v>5038</v>
      </c>
      <c r="B113" s="616" t="s">
        <v>5039</v>
      </c>
      <c r="C113" s="616" t="s">
        <v>3592</v>
      </c>
      <c r="D113" s="616" t="s">
        <v>5168</v>
      </c>
      <c r="E113" s="616" t="s">
        <v>5169</v>
      </c>
      <c r="F113" s="619">
        <v>125</v>
      </c>
      <c r="G113" s="619">
        <v>2875</v>
      </c>
      <c r="H113" s="619">
        <v>1</v>
      </c>
      <c r="I113" s="619">
        <v>23</v>
      </c>
      <c r="J113" s="619">
        <v>148</v>
      </c>
      <c r="K113" s="619">
        <v>3404</v>
      </c>
      <c r="L113" s="619">
        <v>1.1839999999999999</v>
      </c>
      <c r="M113" s="619">
        <v>23</v>
      </c>
      <c r="N113" s="619">
        <v>139</v>
      </c>
      <c r="O113" s="619">
        <v>3197</v>
      </c>
      <c r="P113" s="640">
        <v>1.1120000000000001</v>
      </c>
      <c r="Q113" s="620">
        <v>23</v>
      </c>
    </row>
    <row r="114" spans="1:17" ht="14.4" customHeight="1" x14ac:dyDescent="0.3">
      <c r="A114" s="615" t="s">
        <v>5038</v>
      </c>
      <c r="B114" s="616" t="s">
        <v>5039</v>
      </c>
      <c r="C114" s="616" t="s">
        <v>3592</v>
      </c>
      <c r="D114" s="616" t="s">
        <v>5170</v>
      </c>
      <c r="E114" s="616" t="s">
        <v>5171</v>
      </c>
      <c r="F114" s="619"/>
      <c r="G114" s="619"/>
      <c r="H114" s="619"/>
      <c r="I114" s="619"/>
      <c r="J114" s="619">
        <v>2</v>
      </c>
      <c r="K114" s="619">
        <v>502</v>
      </c>
      <c r="L114" s="619"/>
      <c r="M114" s="619">
        <v>251</v>
      </c>
      <c r="N114" s="619">
        <v>1</v>
      </c>
      <c r="O114" s="619">
        <v>252</v>
      </c>
      <c r="P114" s="640"/>
      <c r="Q114" s="620">
        <v>252</v>
      </c>
    </row>
    <row r="115" spans="1:17" ht="14.4" customHeight="1" x14ac:dyDescent="0.3">
      <c r="A115" s="615" t="s">
        <v>5038</v>
      </c>
      <c r="B115" s="616" t="s">
        <v>5039</v>
      </c>
      <c r="C115" s="616" t="s">
        <v>3592</v>
      </c>
      <c r="D115" s="616" t="s">
        <v>5172</v>
      </c>
      <c r="E115" s="616" t="s">
        <v>5173</v>
      </c>
      <c r="F115" s="619">
        <v>457</v>
      </c>
      <c r="G115" s="619">
        <v>16909</v>
      </c>
      <c r="H115" s="619">
        <v>1</v>
      </c>
      <c r="I115" s="619">
        <v>37</v>
      </c>
      <c r="J115" s="619">
        <v>342</v>
      </c>
      <c r="K115" s="619">
        <v>12654</v>
      </c>
      <c r="L115" s="619">
        <v>0.74835886214442016</v>
      </c>
      <c r="M115" s="619">
        <v>37</v>
      </c>
      <c r="N115" s="619">
        <v>418</v>
      </c>
      <c r="O115" s="619">
        <v>15466</v>
      </c>
      <c r="P115" s="640">
        <v>0.91466083150984678</v>
      </c>
      <c r="Q115" s="620">
        <v>37</v>
      </c>
    </row>
    <row r="116" spans="1:17" ht="14.4" customHeight="1" x14ac:dyDescent="0.3">
      <c r="A116" s="615" t="s">
        <v>5038</v>
      </c>
      <c r="B116" s="616" t="s">
        <v>5039</v>
      </c>
      <c r="C116" s="616" t="s">
        <v>3592</v>
      </c>
      <c r="D116" s="616" t="s">
        <v>5174</v>
      </c>
      <c r="E116" s="616" t="s">
        <v>5175</v>
      </c>
      <c r="F116" s="619">
        <v>3521</v>
      </c>
      <c r="G116" s="619">
        <v>80983</v>
      </c>
      <c r="H116" s="619">
        <v>1</v>
      </c>
      <c r="I116" s="619">
        <v>23</v>
      </c>
      <c r="J116" s="619">
        <v>4567</v>
      </c>
      <c r="K116" s="619">
        <v>105041</v>
      </c>
      <c r="L116" s="619">
        <v>1.2970746946890088</v>
      </c>
      <c r="M116" s="619">
        <v>23</v>
      </c>
      <c r="N116" s="619">
        <v>5735</v>
      </c>
      <c r="O116" s="619">
        <v>131905</v>
      </c>
      <c r="P116" s="640">
        <v>1.6287986367509231</v>
      </c>
      <c r="Q116" s="620">
        <v>23</v>
      </c>
    </row>
    <row r="117" spans="1:17" ht="14.4" customHeight="1" x14ac:dyDescent="0.3">
      <c r="A117" s="615" t="s">
        <v>5038</v>
      </c>
      <c r="B117" s="616" t="s">
        <v>5039</v>
      </c>
      <c r="C117" s="616" t="s">
        <v>3592</v>
      </c>
      <c r="D117" s="616" t="s">
        <v>5176</v>
      </c>
      <c r="E117" s="616" t="s">
        <v>5177</v>
      </c>
      <c r="F117" s="619"/>
      <c r="G117" s="619"/>
      <c r="H117" s="619"/>
      <c r="I117" s="619"/>
      <c r="J117" s="619">
        <v>1</v>
      </c>
      <c r="K117" s="619">
        <v>170</v>
      </c>
      <c r="L117" s="619"/>
      <c r="M117" s="619">
        <v>170</v>
      </c>
      <c r="N117" s="619">
        <v>1</v>
      </c>
      <c r="O117" s="619">
        <v>171</v>
      </c>
      <c r="P117" s="640"/>
      <c r="Q117" s="620">
        <v>171</v>
      </c>
    </row>
    <row r="118" spans="1:17" ht="14.4" customHeight="1" x14ac:dyDescent="0.3">
      <c r="A118" s="615" t="s">
        <v>5038</v>
      </c>
      <c r="B118" s="616" t="s">
        <v>5039</v>
      </c>
      <c r="C118" s="616" t="s">
        <v>3592</v>
      </c>
      <c r="D118" s="616" t="s">
        <v>5178</v>
      </c>
      <c r="E118" s="616" t="s">
        <v>5179</v>
      </c>
      <c r="F118" s="619"/>
      <c r="G118" s="619"/>
      <c r="H118" s="619"/>
      <c r="I118" s="619"/>
      <c r="J118" s="619">
        <v>2</v>
      </c>
      <c r="K118" s="619">
        <v>662</v>
      </c>
      <c r="L118" s="619"/>
      <c r="M118" s="619">
        <v>331</v>
      </c>
      <c r="N118" s="619"/>
      <c r="O118" s="619"/>
      <c r="P118" s="640"/>
      <c r="Q118" s="620"/>
    </row>
    <row r="119" spans="1:17" ht="14.4" customHeight="1" x14ac:dyDescent="0.3">
      <c r="A119" s="615" t="s">
        <v>5038</v>
      </c>
      <c r="B119" s="616" t="s">
        <v>5039</v>
      </c>
      <c r="C119" s="616" t="s">
        <v>3592</v>
      </c>
      <c r="D119" s="616" t="s">
        <v>5180</v>
      </c>
      <c r="E119" s="616" t="s">
        <v>5181</v>
      </c>
      <c r="F119" s="619">
        <v>209</v>
      </c>
      <c r="G119" s="619">
        <v>6061</v>
      </c>
      <c r="H119" s="619">
        <v>1</v>
      </c>
      <c r="I119" s="619">
        <v>29</v>
      </c>
      <c r="J119" s="619">
        <v>225</v>
      </c>
      <c r="K119" s="619">
        <v>6525</v>
      </c>
      <c r="L119" s="619">
        <v>1.0765550239234449</v>
      </c>
      <c r="M119" s="619">
        <v>29</v>
      </c>
      <c r="N119" s="619">
        <v>173</v>
      </c>
      <c r="O119" s="619">
        <v>5017</v>
      </c>
      <c r="P119" s="640">
        <v>0.82775119617224879</v>
      </c>
      <c r="Q119" s="620">
        <v>29</v>
      </c>
    </row>
    <row r="120" spans="1:17" ht="14.4" customHeight="1" x14ac:dyDescent="0.3">
      <c r="A120" s="615" t="s">
        <v>5038</v>
      </c>
      <c r="B120" s="616" t="s">
        <v>5039</v>
      </c>
      <c r="C120" s="616" t="s">
        <v>3592</v>
      </c>
      <c r="D120" s="616" t="s">
        <v>5182</v>
      </c>
      <c r="E120" s="616" t="s">
        <v>5183</v>
      </c>
      <c r="F120" s="619">
        <v>806</v>
      </c>
      <c r="G120" s="619">
        <v>142486</v>
      </c>
      <c r="H120" s="619">
        <v>1</v>
      </c>
      <c r="I120" s="619">
        <v>176.78163771712158</v>
      </c>
      <c r="J120" s="619">
        <v>789</v>
      </c>
      <c r="K120" s="619">
        <v>139653</v>
      </c>
      <c r="L120" s="619">
        <v>0.98011734486195135</v>
      </c>
      <c r="M120" s="619">
        <v>177</v>
      </c>
      <c r="N120" s="619">
        <v>806</v>
      </c>
      <c r="O120" s="619">
        <v>143468</v>
      </c>
      <c r="P120" s="640">
        <v>1.0068919051696308</v>
      </c>
      <c r="Q120" s="620">
        <v>178</v>
      </c>
    </row>
    <row r="121" spans="1:17" ht="14.4" customHeight="1" x14ac:dyDescent="0.3">
      <c r="A121" s="615" t="s">
        <v>5038</v>
      </c>
      <c r="B121" s="616" t="s">
        <v>5039</v>
      </c>
      <c r="C121" s="616" t="s">
        <v>3592</v>
      </c>
      <c r="D121" s="616" t="s">
        <v>5184</v>
      </c>
      <c r="E121" s="616" t="s">
        <v>5185</v>
      </c>
      <c r="F121" s="619"/>
      <c r="G121" s="619"/>
      <c r="H121" s="619"/>
      <c r="I121" s="619"/>
      <c r="J121" s="619"/>
      <c r="K121" s="619"/>
      <c r="L121" s="619"/>
      <c r="M121" s="619"/>
      <c r="N121" s="619">
        <v>3</v>
      </c>
      <c r="O121" s="619">
        <v>597</v>
      </c>
      <c r="P121" s="640"/>
      <c r="Q121" s="620">
        <v>199</v>
      </c>
    </row>
    <row r="122" spans="1:17" ht="14.4" customHeight="1" x14ac:dyDescent="0.3">
      <c r="A122" s="615" t="s">
        <v>5038</v>
      </c>
      <c r="B122" s="616" t="s">
        <v>5039</v>
      </c>
      <c r="C122" s="616" t="s">
        <v>3592</v>
      </c>
      <c r="D122" s="616" t="s">
        <v>5186</v>
      </c>
      <c r="E122" s="616" t="s">
        <v>5187</v>
      </c>
      <c r="F122" s="619">
        <v>3</v>
      </c>
      <c r="G122" s="619">
        <v>45</v>
      </c>
      <c r="H122" s="619">
        <v>1</v>
      </c>
      <c r="I122" s="619">
        <v>15</v>
      </c>
      <c r="J122" s="619">
        <v>3</v>
      </c>
      <c r="K122" s="619">
        <v>45</v>
      </c>
      <c r="L122" s="619">
        <v>1</v>
      </c>
      <c r="M122" s="619">
        <v>15</v>
      </c>
      <c r="N122" s="619">
        <v>13</v>
      </c>
      <c r="O122" s="619">
        <v>195</v>
      </c>
      <c r="P122" s="640">
        <v>4.333333333333333</v>
      </c>
      <c r="Q122" s="620">
        <v>15</v>
      </c>
    </row>
    <row r="123" spans="1:17" ht="14.4" customHeight="1" x14ac:dyDescent="0.3">
      <c r="A123" s="615" t="s">
        <v>5038</v>
      </c>
      <c r="B123" s="616" t="s">
        <v>5039</v>
      </c>
      <c r="C123" s="616" t="s">
        <v>3592</v>
      </c>
      <c r="D123" s="616" t="s">
        <v>5188</v>
      </c>
      <c r="E123" s="616" t="s">
        <v>5189</v>
      </c>
      <c r="F123" s="619">
        <v>472</v>
      </c>
      <c r="G123" s="619">
        <v>8968</v>
      </c>
      <c r="H123" s="619">
        <v>1</v>
      </c>
      <c r="I123" s="619">
        <v>19</v>
      </c>
      <c r="J123" s="619">
        <v>400</v>
      </c>
      <c r="K123" s="619">
        <v>7600</v>
      </c>
      <c r="L123" s="619">
        <v>0.84745762711864403</v>
      </c>
      <c r="M123" s="619">
        <v>19</v>
      </c>
      <c r="N123" s="619">
        <v>213</v>
      </c>
      <c r="O123" s="619">
        <v>4047</v>
      </c>
      <c r="P123" s="640">
        <v>0.45127118644067798</v>
      </c>
      <c r="Q123" s="620">
        <v>19</v>
      </c>
    </row>
    <row r="124" spans="1:17" ht="14.4" customHeight="1" x14ac:dyDescent="0.3">
      <c r="A124" s="615" t="s">
        <v>5038</v>
      </c>
      <c r="B124" s="616" t="s">
        <v>5039</v>
      </c>
      <c r="C124" s="616" t="s">
        <v>3592</v>
      </c>
      <c r="D124" s="616" t="s">
        <v>5190</v>
      </c>
      <c r="E124" s="616" t="s">
        <v>5191</v>
      </c>
      <c r="F124" s="619">
        <v>1055</v>
      </c>
      <c r="G124" s="619">
        <v>21100</v>
      </c>
      <c r="H124" s="619">
        <v>1</v>
      </c>
      <c r="I124" s="619">
        <v>20</v>
      </c>
      <c r="J124" s="619">
        <v>1039</v>
      </c>
      <c r="K124" s="619">
        <v>20780</v>
      </c>
      <c r="L124" s="619">
        <v>0.98483412322274877</v>
      </c>
      <c r="M124" s="619">
        <v>20</v>
      </c>
      <c r="N124" s="619">
        <v>1226</v>
      </c>
      <c r="O124" s="619">
        <v>24520</v>
      </c>
      <c r="P124" s="640">
        <v>1.162085308056872</v>
      </c>
      <c r="Q124" s="620">
        <v>20</v>
      </c>
    </row>
    <row r="125" spans="1:17" ht="14.4" customHeight="1" x14ac:dyDescent="0.3">
      <c r="A125" s="615" t="s">
        <v>5038</v>
      </c>
      <c r="B125" s="616" t="s">
        <v>5039</v>
      </c>
      <c r="C125" s="616" t="s">
        <v>3592</v>
      </c>
      <c r="D125" s="616" t="s">
        <v>5192</v>
      </c>
      <c r="E125" s="616" t="s">
        <v>5193</v>
      </c>
      <c r="F125" s="619"/>
      <c r="G125" s="619"/>
      <c r="H125" s="619"/>
      <c r="I125" s="619"/>
      <c r="J125" s="619">
        <v>1</v>
      </c>
      <c r="K125" s="619">
        <v>185</v>
      </c>
      <c r="L125" s="619"/>
      <c r="M125" s="619">
        <v>185</v>
      </c>
      <c r="N125" s="619"/>
      <c r="O125" s="619"/>
      <c r="P125" s="640"/>
      <c r="Q125" s="620"/>
    </row>
    <row r="126" spans="1:17" ht="14.4" customHeight="1" x14ac:dyDescent="0.3">
      <c r="A126" s="615" t="s">
        <v>5038</v>
      </c>
      <c r="B126" s="616" t="s">
        <v>5039</v>
      </c>
      <c r="C126" s="616" t="s">
        <v>3592</v>
      </c>
      <c r="D126" s="616" t="s">
        <v>5194</v>
      </c>
      <c r="E126" s="616" t="s">
        <v>5195</v>
      </c>
      <c r="F126" s="619"/>
      <c r="G126" s="619"/>
      <c r="H126" s="619"/>
      <c r="I126" s="619"/>
      <c r="J126" s="619">
        <v>3</v>
      </c>
      <c r="K126" s="619">
        <v>561</v>
      </c>
      <c r="L126" s="619"/>
      <c r="M126" s="619">
        <v>187</v>
      </c>
      <c r="N126" s="619"/>
      <c r="O126" s="619"/>
      <c r="P126" s="640"/>
      <c r="Q126" s="620"/>
    </row>
    <row r="127" spans="1:17" ht="14.4" customHeight="1" x14ac:dyDescent="0.3">
      <c r="A127" s="615" t="s">
        <v>5038</v>
      </c>
      <c r="B127" s="616" t="s">
        <v>5039</v>
      </c>
      <c r="C127" s="616" t="s">
        <v>3592</v>
      </c>
      <c r="D127" s="616" t="s">
        <v>5196</v>
      </c>
      <c r="E127" s="616" t="s">
        <v>5197</v>
      </c>
      <c r="F127" s="619"/>
      <c r="G127" s="619"/>
      <c r="H127" s="619"/>
      <c r="I127" s="619"/>
      <c r="J127" s="619"/>
      <c r="K127" s="619"/>
      <c r="L127" s="619"/>
      <c r="M127" s="619"/>
      <c r="N127" s="619">
        <v>1</v>
      </c>
      <c r="O127" s="619">
        <v>268</v>
      </c>
      <c r="P127" s="640"/>
      <c r="Q127" s="620">
        <v>268</v>
      </c>
    </row>
    <row r="128" spans="1:17" ht="14.4" customHeight="1" x14ac:dyDescent="0.3">
      <c r="A128" s="615" t="s">
        <v>5038</v>
      </c>
      <c r="B128" s="616" t="s">
        <v>5039</v>
      </c>
      <c r="C128" s="616" t="s">
        <v>3592</v>
      </c>
      <c r="D128" s="616" t="s">
        <v>5198</v>
      </c>
      <c r="E128" s="616" t="s">
        <v>5199</v>
      </c>
      <c r="F128" s="619"/>
      <c r="G128" s="619"/>
      <c r="H128" s="619"/>
      <c r="I128" s="619"/>
      <c r="J128" s="619">
        <v>1</v>
      </c>
      <c r="K128" s="619">
        <v>173</v>
      </c>
      <c r="L128" s="619"/>
      <c r="M128" s="619">
        <v>173</v>
      </c>
      <c r="N128" s="619">
        <v>1</v>
      </c>
      <c r="O128" s="619">
        <v>174</v>
      </c>
      <c r="P128" s="640"/>
      <c r="Q128" s="620">
        <v>174</v>
      </c>
    </row>
    <row r="129" spans="1:17" ht="14.4" customHeight="1" x14ac:dyDescent="0.3">
      <c r="A129" s="615" t="s">
        <v>5038</v>
      </c>
      <c r="B129" s="616" t="s">
        <v>5039</v>
      </c>
      <c r="C129" s="616" t="s">
        <v>3592</v>
      </c>
      <c r="D129" s="616" t="s">
        <v>5200</v>
      </c>
      <c r="E129" s="616" t="s">
        <v>5201</v>
      </c>
      <c r="F129" s="619">
        <v>152</v>
      </c>
      <c r="G129" s="619">
        <v>12768</v>
      </c>
      <c r="H129" s="619">
        <v>1</v>
      </c>
      <c r="I129" s="619">
        <v>84</v>
      </c>
      <c r="J129" s="619">
        <v>174</v>
      </c>
      <c r="K129" s="619">
        <v>14616</v>
      </c>
      <c r="L129" s="619">
        <v>1.1447368421052631</v>
      </c>
      <c r="M129" s="619">
        <v>84</v>
      </c>
      <c r="N129" s="619">
        <v>205</v>
      </c>
      <c r="O129" s="619">
        <v>17220</v>
      </c>
      <c r="P129" s="640">
        <v>1.3486842105263157</v>
      </c>
      <c r="Q129" s="620">
        <v>84</v>
      </c>
    </row>
    <row r="130" spans="1:17" ht="14.4" customHeight="1" x14ac:dyDescent="0.3">
      <c r="A130" s="615" t="s">
        <v>5038</v>
      </c>
      <c r="B130" s="616" t="s">
        <v>5039</v>
      </c>
      <c r="C130" s="616" t="s">
        <v>3592</v>
      </c>
      <c r="D130" s="616" t="s">
        <v>5202</v>
      </c>
      <c r="E130" s="616" t="s">
        <v>5203</v>
      </c>
      <c r="F130" s="619">
        <v>5</v>
      </c>
      <c r="G130" s="619">
        <v>3230</v>
      </c>
      <c r="H130" s="619">
        <v>1</v>
      </c>
      <c r="I130" s="619">
        <v>646</v>
      </c>
      <c r="J130" s="619">
        <v>5</v>
      </c>
      <c r="K130" s="619">
        <v>3235</v>
      </c>
      <c r="L130" s="619">
        <v>1.0015479876160991</v>
      </c>
      <c r="M130" s="619">
        <v>647</v>
      </c>
      <c r="N130" s="619"/>
      <c r="O130" s="619"/>
      <c r="P130" s="640"/>
      <c r="Q130" s="620"/>
    </row>
    <row r="131" spans="1:17" ht="14.4" customHeight="1" x14ac:dyDescent="0.3">
      <c r="A131" s="615" t="s">
        <v>5038</v>
      </c>
      <c r="B131" s="616" t="s">
        <v>5039</v>
      </c>
      <c r="C131" s="616" t="s">
        <v>3592</v>
      </c>
      <c r="D131" s="616" t="s">
        <v>5204</v>
      </c>
      <c r="E131" s="616" t="s">
        <v>5205</v>
      </c>
      <c r="F131" s="619"/>
      <c r="G131" s="619"/>
      <c r="H131" s="619"/>
      <c r="I131" s="619"/>
      <c r="J131" s="619">
        <v>1</v>
      </c>
      <c r="K131" s="619">
        <v>78</v>
      </c>
      <c r="L131" s="619"/>
      <c r="M131" s="619">
        <v>78</v>
      </c>
      <c r="N131" s="619">
        <v>1</v>
      </c>
      <c r="O131" s="619">
        <v>78</v>
      </c>
      <c r="P131" s="640"/>
      <c r="Q131" s="620">
        <v>78</v>
      </c>
    </row>
    <row r="132" spans="1:17" ht="14.4" customHeight="1" x14ac:dyDescent="0.3">
      <c r="A132" s="615" t="s">
        <v>5038</v>
      </c>
      <c r="B132" s="616" t="s">
        <v>5039</v>
      </c>
      <c r="C132" s="616" t="s">
        <v>3592</v>
      </c>
      <c r="D132" s="616" t="s">
        <v>5206</v>
      </c>
      <c r="E132" s="616" t="s">
        <v>5207</v>
      </c>
      <c r="F132" s="619">
        <v>2</v>
      </c>
      <c r="G132" s="619">
        <v>600</v>
      </c>
      <c r="H132" s="619">
        <v>1</v>
      </c>
      <c r="I132" s="619">
        <v>300</v>
      </c>
      <c r="J132" s="619">
        <v>5</v>
      </c>
      <c r="K132" s="619">
        <v>1500</v>
      </c>
      <c r="L132" s="619">
        <v>2.5</v>
      </c>
      <c r="M132" s="619">
        <v>300</v>
      </c>
      <c r="N132" s="619">
        <v>1</v>
      </c>
      <c r="O132" s="619">
        <v>301</v>
      </c>
      <c r="P132" s="640">
        <v>0.50166666666666671</v>
      </c>
      <c r="Q132" s="620">
        <v>301</v>
      </c>
    </row>
    <row r="133" spans="1:17" ht="14.4" customHeight="1" x14ac:dyDescent="0.3">
      <c r="A133" s="615" t="s">
        <v>5038</v>
      </c>
      <c r="B133" s="616" t="s">
        <v>5039</v>
      </c>
      <c r="C133" s="616" t="s">
        <v>3592</v>
      </c>
      <c r="D133" s="616" t="s">
        <v>5208</v>
      </c>
      <c r="E133" s="616" t="s">
        <v>5209</v>
      </c>
      <c r="F133" s="619">
        <v>2</v>
      </c>
      <c r="G133" s="619">
        <v>42</v>
      </c>
      <c r="H133" s="619">
        <v>1</v>
      </c>
      <c r="I133" s="619">
        <v>21</v>
      </c>
      <c r="J133" s="619">
        <v>4</v>
      </c>
      <c r="K133" s="619">
        <v>84</v>
      </c>
      <c r="L133" s="619">
        <v>2</v>
      </c>
      <c r="M133" s="619">
        <v>21</v>
      </c>
      <c r="N133" s="619">
        <v>5</v>
      </c>
      <c r="O133" s="619">
        <v>105</v>
      </c>
      <c r="P133" s="640">
        <v>2.5</v>
      </c>
      <c r="Q133" s="620">
        <v>21</v>
      </c>
    </row>
    <row r="134" spans="1:17" ht="14.4" customHeight="1" x14ac:dyDescent="0.3">
      <c r="A134" s="615" t="s">
        <v>5038</v>
      </c>
      <c r="B134" s="616" t="s">
        <v>5039</v>
      </c>
      <c r="C134" s="616" t="s">
        <v>3592</v>
      </c>
      <c r="D134" s="616" t="s">
        <v>5210</v>
      </c>
      <c r="E134" s="616" t="s">
        <v>5211</v>
      </c>
      <c r="F134" s="619">
        <v>131</v>
      </c>
      <c r="G134" s="619">
        <v>2882</v>
      </c>
      <c r="H134" s="619">
        <v>1</v>
      </c>
      <c r="I134" s="619">
        <v>22</v>
      </c>
      <c r="J134" s="619">
        <v>140</v>
      </c>
      <c r="K134" s="619">
        <v>3080</v>
      </c>
      <c r="L134" s="619">
        <v>1.0687022900763359</v>
      </c>
      <c r="M134" s="619">
        <v>22</v>
      </c>
      <c r="N134" s="619">
        <v>131</v>
      </c>
      <c r="O134" s="619">
        <v>2882</v>
      </c>
      <c r="P134" s="640">
        <v>1</v>
      </c>
      <c r="Q134" s="620">
        <v>22</v>
      </c>
    </row>
    <row r="135" spans="1:17" ht="14.4" customHeight="1" x14ac:dyDescent="0.3">
      <c r="A135" s="615" t="s">
        <v>5038</v>
      </c>
      <c r="B135" s="616" t="s">
        <v>5039</v>
      </c>
      <c r="C135" s="616" t="s">
        <v>3592</v>
      </c>
      <c r="D135" s="616" t="s">
        <v>5212</v>
      </c>
      <c r="E135" s="616" t="s">
        <v>5213</v>
      </c>
      <c r="F135" s="619"/>
      <c r="G135" s="619"/>
      <c r="H135" s="619"/>
      <c r="I135" s="619"/>
      <c r="J135" s="619">
        <v>1</v>
      </c>
      <c r="K135" s="619">
        <v>569</v>
      </c>
      <c r="L135" s="619"/>
      <c r="M135" s="619">
        <v>569</v>
      </c>
      <c r="N135" s="619">
        <v>1</v>
      </c>
      <c r="O135" s="619">
        <v>569</v>
      </c>
      <c r="P135" s="640"/>
      <c r="Q135" s="620">
        <v>569</v>
      </c>
    </row>
    <row r="136" spans="1:17" ht="14.4" customHeight="1" x14ac:dyDescent="0.3">
      <c r="A136" s="615" t="s">
        <v>5038</v>
      </c>
      <c r="B136" s="616" t="s">
        <v>5039</v>
      </c>
      <c r="C136" s="616" t="s">
        <v>3592</v>
      </c>
      <c r="D136" s="616" t="s">
        <v>5214</v>
      </c>
      <c r="E136" s="616" t="s">
        <v>5215</v>
      </c>
      <c r="F136" s="619"/>
      <c r="G136" s="619"/>
      <c r="H136" s="619"/>
      <c r="I136" s="619"/>
      <c r="J136" s="619">
        <v>5</v>
      </c>
      <c r="K136" s="619">
        <v>2475</v>
      </c>
      <c r="L136" s="619"/>
      <c r="M136" s="619">
        <v>495</v>
      </c>
      <c r="N136" s="619"/>
      <c r="O136" s="619"/>
      <c r="P136" s="640"/>
      <c r="Q136" s="620"/>
    </row>
    <row r="137" spans="1:17" ht="14.4" customHeight="1" x14ac:dyDescent="0.3">
      <c r="A137" s="615" t="s">
        <v>5038</v>
      </c>
      <c r="B137" s="616" t="s">
        <v>5039</v>
      </c>
      <c r="C137" s="616" t="s">
        <v>3592</v>
      </c>
      <c r="D137" s="616" t="s">
        <v>5216</v>
      </c>
      <c r="E137" s="616" t="s">
        <v>5217</v>
      </c>
      <c r="F137" s="619">
        <v>11</v>
      </c>
      <c r="G137" s="619">
        <v>6270</v>
      </c>
      <c r="H137" s="619">
        <v>1</v>
      </c>
      <c r="I137" s="619">
        <v>570</v>
      </c>
      <c r="J137" s="619">
        <v>2</v>
      </c>
      <c r="K137" s="619">
        <v>1144</v>
      </c>
      <c r="L137" s="619">
        <v>0.18245614035087721</v>
      </c>
      <c r="M137" s="619">
        <v>572</v>
      </c>
      <c r="N137" s="619">
        <v>11</v>
      </c>
      <c r="O137" s="619">
        <v>6369</v>
      </c>
      <c r="P137" s="640">
        <v>1.0157894736842106</v>
      </c>
      <c r="Q137" s="620">
        <v>579</v>
      </c>
    </row>
    <row r="138" spans="1:17" ht="14.4" customHeight="1" x14ac:dyDescent="0.3">
      <c r="A138" s="615" t="s">
        <v>5038</v>
      </c>
      <c r="B138" s="616" t="s">
        <v>5039</v>
      </c>
      <c r="C138" s="616" t="s">
        <v>3592</v>
      </c>
      <c r="D138" s="616" t="s">
        <v>5014</v>
      </c>
      <c r="E138" s="616" t="s">
        <v>5015</v>
      </c>
      <c r="F138" s="619">
        <v>11</v>
      </c>
      <c r="G138" s="619">
        <v>11066</v>
      </c>
      <c r="H138" s="619">
        <v>1</v>
      </c>
      <c r="I138" s="619">
        <v>1006</v>
      </c>
      <c r="J138" s="619">
        <v>1</v>
      </c>
      <c r="K138" s="619">
        <v>1008</v>
      </c>
      <c r="L138" s="619">
        <v>9.1089824688234233E-2</v>
      </c>
      <c r="M138" s="619">
        <v>1008</v>
      </c>
      <c r="N138" s="619">
        <v>11</v>
      </c>
      <c r="O138" s="619">
        <v>11121</v>
      </c>
      <c r="P138" s="640">
        <v>1.0049701789264414</v>
      </c>
      <c r="Q138" s="620">
        <v>1011</v>
      </c>
    </row>
    <row r="139" spans="1:17" ht="14.4" customHeight="1" x14ac:dyDescent="0.3">
      <c r="A139" s="615" t="s">
        <v>5038</v>
      </c>
      <c r="B139" s="616" t="s">
        <v>5039</v>
      </c>
      <c r="C139" s="616" t="s">
        <v>3592</v>
      </c>
      <c r="D139" s="616" t="s">
        <v>5218</v>
      </c>
      <c r="E139" s="616" t="s">
        <v>5219</v>
      </c>
      <c r="F139" s="619"/>
      <c r="G139" s="619"/>
      <c r="H139" s="619"/>
      <c r="I139" s="619"/>
      <c r="J139" s="619">
        <v>2</v>
      </c>
      <c r="K139" s="619">
        <v>382</v>
      </c>
      <c r="L139" s="619"/>
      <c r="M139" s="619">
        <v>191</v>
      </c>
      <c r="N139" s="619">
        <v>1</v>
      </c>
      <c r="O139" s="619">
        <v>192</v>
      </c>
      <c r="P139" s="640"/>
      <c r="Q139" s="620">
        <v>192</v>
      </c>
    </row>
    <row r="140" spans="1:17" ht="14.4" customHeight="1" x14ac:dyDescent="0.3">
      <c r="A140" s="615" t="s">
        <v>5038</v>
      </c>
      <c r="B140" s="616" t="s">
        <v>5039</v>
      </c>
      <c r="C140" s="616" t="s">
        <v>3592</v>
      </c>
      <c r="D140" s="616" t="s">
        <v>5220</v>
      </c>
      <c r="E140" s="616" t="s">
        <v>5221</v>
      </c>
      <c r="F140" s="619"/>
      <c r="G140" s="619"/>
      <c r="H140" s="619"/>
      <c r="I140" s="619"/>
      <c r="J140" s="619">
        <v>1</v>
      </c>
      <c r="K140" s="619">
        <v>205</v>
      </c>
      <c r="L140" s="619"/>
      <c r="M140" s="619">
        <v>205</v>
      </c>
      <c r="N140" s="619">
        <v>2</v>
      </c>
      <c r="O140" s="619">
        <v>410</v>
      </c>
      <c r="P140" s="640"/>
      <c r="Q140" s="620">
        <v>205</v>
      </c>
    </row>
    <row r="141" spans="1:17" ht="14.4" customHeight="1" x14ac:dyDescent="0.3">
      <c r="A141" s="615" t="s">
        <v>5038</v>
      </c>
      <c r="B141" s="616" t="s">
        <v>5039</v>
      </c>
      <c r="C141" s="616" t="s">
        <v>3592</v>
      </c>
      <c r="D141" s="616" t="s">
        <v>5222</v>
      </c>
      <c r="E141" s="616" t="s">
        <v>5223</v>
      </c>
      <c r="F141" s="619"/>
      <c r="G141" s="619"/>
      <c r="H141" s="619"/>
      <c r="I141" s="619"/>
      <c r="J141" s="619">
        <v>6</v>
      </c>
      <c r="K141" s="619">
        <v>1002</v>
      </c>
      <c r="L141" s="619"/>
      <c r="M141" s="619">
        <v>167</v>
      </c>
      <c r="N141" s="619">
        <v>8</v>
      </c>
      <c r="O141" s="619">
        <v>1344</v>
      </c>
      <c r="P141" s="640"/>
      <c r="Q141" s="620">
        <v>168</v>
      </c>
    </row>
    <row r="142" spans="1:17" ht="14.4" customHeight="1" x14ac:dyDescent="0.3">
      <c r="A142" s="615" t="s">
        <v>5038</v>
      </c>
      <c r="B142" s="616" t="s">
        <v>5039</v>
      </c>
      <c r="C142" s="616" t="s">
        <v>3592</v>
      </c>
      <c r="D142" s="616" t="s">
        <v>5224</v>
      </c>
      <c r="E142" s="616" t="s">
        <v>5225</v>
      </c>
      <c r="F142" s="619"/>
      <c r="G142" s="619"/>
      <c r="H142" s="619"/>
      <c r="I142" s="619"/>
      <c r="J142" s="619"/>
      <c r="K142" s="619"/>
      <c r="L142" s="619"/>
      <c r="M142" s="619"/>
      <c r="N142" s="619">
        <v>1</v>
      </c>
      <c r="O142" s="619">
        <v>265</v>
      </c>
      <c r="P142" s="640"/>
      <c r="Q142" s="620">
        <v>265</v>
      </c>
    </row>
    <row r="143" spans="1:17" ht="14.4" customHeight="1" x14ac:dyDescent="0.3">
      <c r="A143" s="615" t="s">
        <v>5038</v>
      </c>
      <c r="B143" s="616" t="s">
        <v>5039</v>
      </c>
      <c r="C143" s="616" t="s">
        <v>3592</v>
      </c>
      <c r="D143" s="616" t="s">
        <v>5226</v>
      </c>
      <c r="E143" s="616" t="s">
        <v>5227</v>
      </c>
      <c r="F143" s="619"/>
      <c r="G143" s="619"/>
      <c r="H143" s="619"/>
      <c r="I143" s="619"/>
      <c r="J143" s="619"/>
      <c r="K143" s="619"/>
      <c r="L143" s="619"/>
      <c r="M143" s="619"/>
      <c r="N143" s="619">
        <v>2</v>
      </c>
      <c r="O143" s="619">
        <v>254</v>
      </c>
      <c r="P143" s="640"/>
      <c r="Q143" s="620">
        <v>127</v>
      </c>
    </row>
    <row r="144" spans="1:17" ht="14.4" customHeight="1" x14ac:dyDescent="0.3">
      <c r="A144" s="615" t="s">
        <v>5038</v>
      </c>
      <c r="B144" s="616" t="s">
        <v>5039</v>
      </c>
      <c r="C144" s="616" t="s">
        <v>3592</v>
      </c>
      <c r="D144" s="616" t="s">
        <v>5228</v>
      </c>
      <c r="E144" s="616" t="s">
        <v>5229</v>
      </c>
      <c r="F144" s="619">
        <v>2</v>
      </c>
      <c r="G144" s="619">
        <v>620</v>
      </c>
      <c r="H144" s="619">
        <v>1</v>
      </c>
      <c r="I144" s="619">
        <v>310</v>
      </c>
      <c r="J144" s="619">
        <v>1</v>
      </c>
      <c r="K144" s="619">
        <v>310</v>
      </c>
      <c r="L144" s="619">
        <v>0.5</v>
      </c>
      <c r="M144" s="619">
        <v>310</v>
      </c>
      <c r="N144" s="619"/>
      <c r="O144" s="619"/>
      <c r="P144" s="640"/>
      <c r="Q144" s="620"/>
    </row>
    <row r="145" spans="1:17" ht="14.4" customHeight="1" x14ac:dyDescent="0.3">
      <c r="A145" s="615" t="s">
        <v>5038</v>
      </c>
      <c r="B145" s="616" t="s">
        <v>5039</v>
      </c>
      <c r="C145" s="616" t="s">
        <v>3592</v>
      </c>
      <c r="D145" s="616" t="s">
        <v>5230</v>
      </c>
      <c r="E145" s="616" t="s">
        <v>5231</v>
      </c>
      <c r="F145" s="619">
        <v>9</v>
      </c>
      <c r="G145" s="619">
        <v>207</v>
      </c>
      <c r="H145" s="619">
        <v>1</v>
      </c>
      <c r="I145" s="619">
        <v>23</v>
      </c>
      <c r="J145" s="619">
        <v>13</v>
      </c>
      <c r="K145" s="619">
        <v>299</v>
      </c>
      <c r="L145" s="619">
        <v>1.4444444444444444</v>
      </c>
      <c r="M145" s="619">
        <v>23</v>
      </c>
      <c r="N145" s="619">
        <v>7</v>
      </c>
      <c r="O145" s="619">
        <v>161</v>
      </c>
      <c r="P145" s="640">
        <v>0.77777777777777779</v>
      </c>
      <c r="Q145" s="620">
        <v>23</v>
      </c>
    </row>
    <row r="146" spans="1:17" ht="14.4" customHeight="1" x14ac:dyDescent="0.3">
      <c r="A146" s="615" t="s">
        <v>5038</v>
      </c>
      <c r="B146" s="616" t="s">
        <v>5039</v>
      </c>
      <c r="C146" s="616" t="s">
        <v>3592</v>
      </c>
      <c r="D146" s="616" t="s">
        <v>5232</v>
      </c>
      <c r="E146" s="616" t="s">
        <v>5233</v>
      </c>
      <c r="F146" s="619">
        <v>1</v>
      </c>
      <c r="G146" s="619">
        <v>17</v>
      </c>
      <c r="H146" s="619">
        <v>1</v>
      </c>
      <c r="I146" s="619">
        <v>17</v>
      </c>
      <c r="J146" s="619"/>
      <c r="K146" s="619"/>
      <c r="L146" s="619"/>
      <c r="M146" s="619"/>
      <c r="N146" s="619">
        <v>3</v>
      </c>
      <c r="O146" s="619">
        <v>51</v>
      </c>
      <c r="P146" s="640">
        <v>3</v>
      </c>
      <c r="Q146" s="620">
        <v>17</v>
      </c>
    </row>
    <row r="147" spans="1:17" ht="14.4" customHeight="1" x14ac:dyDescent="0.3">
      <c r="A147" s="615" t="s">
        <v>5038</v>
      </c>
      <c r="B147" s="616" t="s">
        <v>5039</v>
      </c>
      <c r="C147" s="616" t="s">
        <v>3592</v>
      </c>
      <c r="D147" s="616" t="s">
        <v>5234</v>
      </c>
      <c r="E147" s="616" t="s">
        <v>5235</v>
      </c>
      <c r="F147" s="619">
        <v>1</v>
      </c>
      <c r="G147" s="619">
        <v>132</v>
      </c>
      <c r="H147" s="619">
        <v>1</v>
      </c>
      <c r="I147" s="619">
        <v>132</v>
      </c>
      <c r="J147" s="619">
        <v>3</v>
      </c>
      <c r="K147" s="619">
        <v>396</v>
      </c>
      <c r="L147" s="619">
        <v>3</v>
      </c>
      <c r="M147" s="619">
        <v>132</v>
      </c>
      <c r="N147" s="619">
        <v>2</v>
      </c>
      <c r="O147" s="619">
        <v>266</v>
      </c>
      <c r="P147" s="640">
        <v>2.0151515151515151</v>
      </c>
      <c r="Q147" s="620">
        <v>133</v>
      </c>
    </row>
    <row r="148" spans="1:17" ht="14.4" customHeight="1" x14ac:dyDescent="0.3">
      <c r="A148" s="615" t="s">
        <v>5038</v>
      </c>
      <c r="B148" s="616" t="s">
        <v>5039</v>
      </c>
      <c r="C148" s="616" t="s">
        <v>3592</v>
      </c>
      <c r="D148" s="616" t="s">
        <v>5236</v>
      </c>
      <c r="E148" s="616" t="s">
        <v>5237</v>
      </c>
      <c r="F148" s="619"/>
      <c r="G148" s="619"/>
      <c r="H148" s="619"/>
      <c r="I148" s="619"/>
      <c r="J148" s="619">
        <v>1</v>
      </c>
      <c r="K148" s="619">
        <v>2264</v>
      </c>
      <c r="L148" s="619"/>
      <c r="M148" s="619">
        <v>2264</v>
      </c>
      <c r="N148" s="619"/>
      <c r="O148" s="619"/>
      <c r="P148" s="640"/>
      <c r="Q148" s="620"/>
    </row>
    <row r="149" spans="1:17" ht="14.4" customHeight="1" x14ac:dyDescent="0.3">
      <c r="A149" s="615" t="s">
        <v>5038</v>
      </c>
      <c r="B149" s="616" t="s">
        <v>5039</v>
      </c>
      <c r="C149" s="616" t="s">
        <v>3592</v>
      </c>
      <c r="D149" s="616" t="s">
        <v>5238</v>
      </c>
      <c r="E149" s="616" t="s">
        <v>5239</v>
      </c>
      <c r="F149" s="619">
        <v>100</v>
      </c>
      <c r="G149" s="619">
        <v>29177</v>
      </c>
      <c r="H149" s="619">
        <v>1</v>
      </c>
      <c r="I149" s="619">
        <v>291.77</v>
      </c>
      <c r="J149" s="619">
        <v>149</v>
      </c>
      <c r="K149" s="619">
        <v>43657</v>
      </c>
      <c r="L149" s="619">
        <v>1.4962813174760943</v>
      </c>
      <c r="M149" s="619">
        <v>293</v>
      </c>
      <c r="N149" s="619">
        <v>198</v>
      </c>
      <c r="O149" s="619">
        <v>58212</v>
      </c>
      <c r="P149" s="640">
        <v>1.995133152825856</v>
      </c>
      <c r="Q149" s="620">
        <v>294</v>
      </c>
    </row>
    <row r="150" spans="1:17" ht="14.4" customHeight="1" x14ac:dyDescent="0.3">
      <c r="A150" s="615" t="s">
        <v>5038</v>
      </c>
      <c r="B150" s="616" t="s">
        <v>5039</v>
      </c>
      <c r="C150" s="616" t="s">
        <v>3592</v>
      </c>
      <c r="D150" s="616" t="s">
        <v>5018</v>
      </c>
      <c r="E150" s="616" t="s">
        <v>5019</v>
      </c>
      <c r="F150" s="619"/>
      <c r="G150" s="619"/>
      <c r="H150" s="619"/>
      <c r="I150" s="619"/>
      <c r="J150" s="619">
        <v>1</v>
      </c>
      <c r="K150" s="619">
        <v>371</v>
      </c>
      <c r="L150" s="619"/>
      <c r="M150" s="619">
        <v>371</v>
      </c>
      <c r="N150" s="619"/>
      <c r="O150" s="619"/>
      <c r="P150" s="640"/>
      <c r="Q150" s="620"/>
    </row>
    <row r="151" spans="1:17" ht="14.4" customHeight="1" x14ac:dyDescent="0.3">
      <c r="A151" s="615" t="s">
        <v>5038</v>
      </c>
      <c r="B151" s="616" t="s">
        <v>5039</v>
      </c>
      <c r="C151" s="616" t="s">
        <v>3592</v>
      </c>
      <c r="D151" s="616" t="s">
        <v>5240</v>
      </c>
      <c r="E151" s="616" t="s">
        <v>5241</v>
      </c>
      <c r="F151" s="619">
        <v>6</v>
      </c>
      <c r="G151" s="619">
        <v>270</v>
      </c>
      <c r="H151" s="619">
        <v>1</v>
      </c>
      <c r="I151" s="619">
        <v>45</v>
      </c>
      <c r="J151" s="619">
        <v>2</v>
      </c>
      <c r="K151" s="619">
        <v>90</v>
      </c>
      <c r="L151" s="619">
        <v>0.33333333333333331</v>
      </c>
      <c r="M151" s="619">
        <v>45</v>
      </c>
      <c r="N151" s="619">
        <v>6</v>
      </c>
      <c r="O151" s="619">
        <v>270</v>
      </c>
      <c r="P151" s="640">
        <v>1</v>
      </c>
      <c r="Q151" s="620">
        <v>45</v>
      </c>
    </row>
    <row r="152" spans="1:17" ht="14.4" customHeight="1" x14ac:dyDescent="0.3">
      <c r="A152" s="615" t="s">
        <v>5038</v>
      </c>
      <c r="B152" s="616" t="s">
        <v>5039</v>
      </c>
      <c r="C152" s="616" t="s">
        <v>3592</v>
      </c>
      <c r="D152" s="616" t="s">
        <v>5242</v>
      </c>
      <c r="E152" s="616" t="s">
        <v>5243</v>
      </c>
      <c r="F152" s="619">
        <v>16</v>
      </c>
      <c r="G152" s="619">
        <v>736</v>
      </c>
      <c r="H152" s="619">
        <v>1</v>
      </c>
      <c r="I152" s="619">
        <v>46</v>
      </c>
      <c r="J152" s="619">
        <v>3</v>
      </c>
      <c r="K152" s="619">
        <v>138</v>
      </c>
      <c r="L152" s="619">
        <v>0.1875</v>
      </c>
      <c r="M152" s="619">
        <v>46</v>
      </c>
      <c r="N152" s="619">
        <v>6</v>
      </c>
      <c r="O152" s="619">
        <v>276</v>
      </c>
      <c r="P152" s="640">
        <v>0.375</v>
      </c>
      <c r="Q152" s="620">
        <v>46</v>
      </c>
    </row>
    <row r="153" spans="1:17" ht="14.4" customHeight="1" x14ac:dyDescent="0.3">
      <c r="A153" s="615" t="s">
        <v>5038</v>
      </c>
      <c r="B153" s="616" t="s">
        <v>5039</v>
      </c>
      <c r="C153" s="616" t="s">
        <v>3592</v>
      </c>
      <c r="D153" s="616" t="s">
        <v>5244</v>
      </c>
      <c r="E153" s="616" t="s">
        <v>5245</v>
      </c>
      <c r="F153" s="619">
        <v>1</v>
      </c>
      <c r="G153" s="619">
        <v>308</v>
      </c>
      <c r="H153" s="619">
        <v>1</v>
      </c>
      <c r="I153" s="619">
        <v>308</v>
      </c>
      <c r="J153" s="619">
        <v>1</v>
      </c>
      <c r="K153" s="619">
        <v>309</v>
      </c>
      <c r="L153" s="619">
        <v>1.0032467532467533</v>
      </c>
      <c r="M153" s="619">
        <v>309</v>
      </c>
      <c r="N153" s="619">
        <v>1</v>
      </c>
      <c r="O153" s="619">
        <v>310</v>
      </c>
      <c r="P153" s="640">
        <v>1.0064935064935066</v>
      </c>
      <c r="Q153" s="620">
        <v>310</v>
      </c>
    </row>
    <row r="154" spans="1:17" ht="14.4" customHeight="1" x14ac:dyDescent="0.3">
      <c r="A154" s="615" t="s">
        <v>5038</v>
      </c>
      <c r="B154" s="616" t="s">
        <v>5039</v>
      </c>
      <c r="C154" s="616" t="s">
        <v>3592</v>
      </c>
      <c r="D154" s="616" t="s">
        <v>5246</v>
      </c>
      <c r="E154" s="616" t="s">
        <v>5247</v>
      </c>
      <c r="F154" s="619"/>
      <c r="G154" s="619"/>
      <c r="H154" s="619"/>
      <c r="I154" s="619"/>
      <c r="J154" s="619">
        <v>10</v>
      </c>
      <c r="K154" s="619">
        <v>310</v>
      </c>
      <c r="L154" s="619"/>
      <c r="M154" s="619">
        <v>31</v>
      </c>
      <c r="N154" s="619">
        <v>5</v>
      </c>
      <c r="O154" s="619">
        <v>155</v>
      </c>
      <c r="P154" s="640"/>
      <c r="Q154" s="620">
        <v>31</v>
      </c>
    </row>
    <row r="155" spans="1:17" ht="14.4" customHeight="1" x14ac:dyDescent="0.3">
      <c r="A155" s="615" t="s">
        <v>5038</v>
      </c>
      <c r="B155" s="616" t="s">
        <v>5039</v>
      </c>
      <c r="C155" s="616" t="s">
        <v>3592</v>
      </c>
      <c r="D155" s="616" t="s">
        <v>5248</v>
      </c>
      <c r="E155" s="616" t="s">
        <v>5249</v>
      </c>
      <c r="F155" s="619">
        <v>1</v>
      </c>
      <c r="G155" s="619">
        <v>26</v>
      </c>
      <c r="H155" s="619">
        <v>1</v>
      </c>
      <c r="I155" s="619">
        <v>26</v>
      </c>
      <c r="J155" s="619"/>
      <c r="K155" s="619"/>
      <c r="L155" s="619"/>
      <c r="M155" s="619"/>
      <c r="N155" s="619">
        <v>1</v>
      </c>
      <c r="O155" s="619">
        <v>26</v>
      </c>
      <c r="P155" s="640">
        <v>1</v>
      </c>
      <c r="Q155" s="620">
        <v>26</v>
      </c>
    </row>
    <row r="156" spans="1:17" ht="14.4" customHeight="1" x14ac:dyDescent="0.3">
      <c r="A156" s="615" t="s">
        <v>5038</v>
      </c>
      <c r="B156" s="616" t="s">
        <v>5039</v>
      </c>
      <c r="C156" s="616" t="s">
        <v>3592</v>
      </c>
      <c r="D156" s="616" t="s">
        <v>5250</v>
      </c>
      <c r="E156" s="616" t="s">
        <v>5251</v>
      </c>
      <c r="F156" s="619"/>
      <c r="G156" s="619"/>
      <c r="H156" s="619"/>
      <c r="I156" s="619"/>
      <c r="J156" s="619"/>
      <c r="K156" s="619"/>
      <c r="L156" s="619"/>
      <c r="M156" s="619"/>
      <c r="N156" s="619">
        <v>1</v>
      </c>
      <c r="O156" s="619">
        <v>355</v>
      </c>
      <c r="P156" s="640"/>
      <c r="Q156" s="620">
        <v>355</v>
      </c>
    </row>
    <row r="157" spans="1:17" ht="14.4" customHeight="1" x14ac:dyDescent="0.3">
      <c r="A157" s="615" t="s">
        <v>5038</v>
      </c>
      <c r="B157" s="616" t="s">
        <v>5039</v>
      </c>
      <c r="C157" s="616" t="s">
        <v>3592</v>
      </c>
      <c r="D157" s="616" t="s">
        <v>5252</v>
      </c>
      <c r="E157" s="616" t="s">
        <v>5253</v>
      </c>
      <c r="F157" s="619"/>
      <c r="G157" s="619"/>
      <c r="H157" s="619"/>
      <c r="I157" s="619"/>
      <c r="J157" s="619">
        <v>2</v>
      </c>
      <c r="K157" s="619">
        <v>378</v>
      </c>
      <c r="L157" s="619"/>
      <c r="M157" s="619">
        <v>189</v>
      </c>
      <c r="N157" s="619"/>
      <c r="O157" s="619"/>
      <c r="P157" s="640"/>
      <c r="Q157" s="620"/>
    </row>
    <row r="158" spans="1:17" ht="14.4" customHeight="1" x14ac:dyDescent="0.3">
      <c r="A158" s="615" t="s">
        <v>5038</v>
      </c>
      <c r="B158" s="616" t="s">
        <v>5039</v>
      </c>
      <c r="C158" s="616" t="s">
        <v>3592</v>
      </c>
      <c r="D158" s="616" t="s">
        <v>5254</v>
      </c>
      <c r="E158" s="616" t="s">
        <v>5255</v>
      </c>
      <c r="F158" s="619"/>
      <c r="G158" s="619"/>
      <c r="H158" s="619"/>
      <c r="I158" s="619"/>
      <c r="J158" s="619">
        <v>8</v>
      </c>
      <c r="K158" s="619">
        <v>2184</v>
      </c>
      <c r="L158" s="619"/>
      <c r="M158" s="619">
        <v>273</v>
      </c>
      <c r="N158" s="619">
        <v>13</v>
      </c>
      <c r="O158" s="619">
        <v>3562</v>
      </c>
      <c r="P158" s="640"/>
      <c r="Q158" s="620">
        <v>274</v>
      </c>
    </row>
    <row r="159" spans="1:17" ht="14.4" customHeight="1" x14ac:dyDescent="0.3">
      <c r="A159" s="615" t="s">
        <v>5038</v>
      </c>
      <c r="B159" s="616" t="s">
        <v>5039</v>
      </c>
      <c r="C159" s="616" t="s">
        <v>3592</v>
      </c>
      <c r="D159" s="616" t="s">
        <v>5256</v>
      </c>
      <c r="E159" s="616" t="s">
        <v>5257</v>
      </c>
      <c r="F159" s="619"/>
      <c r="G159" s="619"/>
      <c r="H159" s="619"/>
      <c r="I159" s="619"/>
      <c r="J159" s="619"/>
      <c r="K159" s="619"/>
      <c r="L159" s="619"/>
      <c r="M159" s="619"/>
      <c r="N159" s="619">
        <v>13</v>
      </c>
      <c r="O159" s="619">
        <v>1729</v>
      </c>
      <c r="P159" s="640"/>
      <c r="Q159" s="620">
        <v>133</v>
      </c>
    </row>
    <row r="160" spans="1:17" ht="14.4" customHeight="1" x14ac:dyDescent="0.3">
      <c r="A160" s="615" t="s">
        <v>5038</v>
      </c>
      <c r="B160" s="616" t="s">
        <v>5039</v>
      </c>
      <c r="C160" s="616" t="s">
        <v>3592</v>
      </c>
      <c r="D160" s="616" t="s">
        <v>5258</v>
      </c>
      <c r="E160" s="616" t="s">
        <v>5259</v>
      </c>
      <c r="F160" s="619"/>
      <c r="G160" s="619"/>
      <c r="H160" s="619"/>
      <c r="I160" s="619"/>
      <c r="J160" s="619"/>
      <c r="K160" s="619"/>
      <c r="L160" s="619"/>
      <c r="M160" s="619"/>
      <c r="N160" s="619">
        <v>421</v>
      </c>
      <c r="O160" s="619">
        <v>15577</v>
      </c>
      <c r="P160" s="640"/>
      <c r="Q160" s="620">
        <v>37</v>
      </c>
    </row>
    <row r="161" spans="1:17" ht="14.4" customHeight="1" x14ac:dyDescent="0.3">
      <c r="A161" s="615" t="s">
        <v>5038</v>
      </c>
      <c r="B161" s="616" t="s">
        <v>5039</v>
      </c>
      <c r="C161" s="616" t="s">
        <v>3592</v>
      </c>
      <c r="D161" s="616" t="s">
        <v>5260</v>
      </c>
      <c r="E161" s="616" t="s">
        <v>5261</v>
      </c>
      <c r="F161" s="619"/>
      <c r="G161" s="619"/>
      <c r="H161" s="619"/>
      <c r="I161" s="619"/>
      <c r="J161" s="619"/>
      <c r="K161" s="619"/>
      <c r="L161" s="619"/>
      <c r="M161" s="619"/>
      <c r="N161" s="619">
        <v>2</v>
      </c>
      <c r="O161" s="619">
        <v>1860</v>
      </c>
      <c r="P161" s="640"/>
      <c r="Q161" s="620">
        <v>930</v>
      </c>
    </row>
    <row r="162" spans="1:17" ht="14.4" customHeight="1" x14ac:dyDescent="0.3">
      <c r="A162" s="615" t="s">
        <v>5038</v>
      </c>
      <c r="B162" s="616" t="s">
        <v>5039</v>
      </c>
      <c r="C162" s="616" t="s">
        <v>3592</v>
      </c>
      <c r="D162" s="616" t="s">
        <v>5262</v>
      </c>
      <c r="E162" s="616" t="s">
        <v>5263</v>
      </c>
      <c r="F162" s="619"/>
      <c r="G162" s="619"/>
      <c r="H162" s="619"/>
      <c r="I162" s="619"/>
      <c r="J162" s="619"/>
      <c r="K162" s="619"/>
      <c r="L162" s="619"/>
      <c r="M162" s="619"/>
      <c r="N162" s="619">
        <v>2</v>
      </c>
      <c r="O162" s="619">
        <v>1864</v>
      </c>
      <c r="P162" s="640"/>
      <c r="Q162" s="620">
        <v>932</v>
      </c>
    </row>
    <row r="163" spans="1:17" ht="14.4" customHeight="1" x14ac:dyDescent="0.3">
      <c r="A163" s="615" t="s">
        <v>5038</v>
      </c>
      <c r="B163" s="616" t="s">
        <v>5039</v>
      </c>
      <c r="C163" s="616" t="s">
        <v>3592</v>
      </c>
      <c r="D163" s="616" t="s">
        <v>5264</v>
      </c>
      <c r="E163" s="616" t="s">
        <v>5265</v>
      </c>
      <c r="F163" s="619"/>
      <c r="G163" s="619"/>
      <c r="H163" s="619"/>
      <c r="I163" s="619"/>
      <c r="J163" s="619"/>
      <c r="K163" s="619"/>
      <c r="L163" s="619"/>
      <c r="M163" s="619"/>
      <c r="N163" s="619">
        <v>9</v>
      </c>
      <c r="O163" s="619">
        <v>837</v>
      </c>
      <c r="P163" s="640"/>
      <c r="Q163" s="620">
        <v>93</v>
      </c>
    </row>
    <row r="164" spans="1:17" ht="14.4" customHeight="1" x14ac:dyDescent="0.3">
      <c r="A164" s="615" t="s">
        <v>5038</v>
      </c>
      <c r="B164" s="616" t="s">
        <v>5039</v>
      </c>
      <c r="C164" s="616" t="s">
        <v>3592</v>
      </c>
      <c r="D164" s="616" t="s">
        <v>5266</v>
      </c>
      <c r="E164" s="616" t="s">
        <v>5267</v>
      </c>
      <c r="F164" s="619"/>
      <c r="G164" s="619"/>
      <c r="H164" s="619"/>
      <c r="I164" s="619"/>
      <c r="J164" s="619"/>
      <c r="K164" s="619"/>
      <c r="L164" s="619"/>
      <c r="M164" s="619"/>
      <c r="N164" s="619">
        <v>8</v>
      </c>
      <c r="O164" s="619">
        <v>7536</v>
      </c>
      <c r="P164" s="640"/>
      <c r="Q164" s="620">
        <v>942</v>
      </c>
    </row>
    <row r="165" spans="1:17" ht="14.4" customHeight="1" x14ac:dyDescent="0.3">
      <c r="A165" s="615" t="s">
        <v>5038</v>
      </c>
      <c r="B165" s="616" t="s">
        <v>5268</v>
      </c>
      <c r="C165" s="616" t="s">
        <v>3592</v>
      </c>
      <c r="D165" s="616" t="s">
        <v>5269</v>
      </c>
      <c r="E165" s="616" t="s">
        <v>5270</v>
      </c>
      <c r="F165" s="619">
        <v>6</v>
      </c>
      <c r="G165" s="619">
        <v>6220</v>
      </c>
      <c r="H165" s="619">
        <v>1</v>
      </c>
      <c r="I165" s="619">
        <v>1036.6666666666667</v>
      </c>
      <c r="J165" s="619">
        <v>15</v>
      </c>
      <c r="K165" s="619">
        <v>15555</v>
      </c>
      <c r="L165" s="619">
        <v>2.5008038585209005</v>
      </c>
      <c r="M165" s="619">
        <v>1037</v>
      </c>
      <c r="N165" s="619">
        <v>14</v>
      </c>
      <c r="O165" s="619">
        <v>14532</v>
      </c>
      <c r="P165" s="640">
        <v>2.3363344051446946</v>
      </c>
      <c r="Q165" s="620">
        <v>1038</v>
      </c>
    </row>
    <row r="166" spans="1:17" ht="14.4" customHeight="1" x14ac:dyDescent="0.3">
      <c r="A166" s="615" t="s">
        <v>5271</v>
      </c>
      <c r="B166" s="616" t="s">
        <v>4734</v>
      </c>
      <c r="C166" s="616" t="s">
        <v>3971</v>
      </c>
      <c r="D166" s="616" t="s">
        <v>5272</v>
      </c>
      <c r="E166" s="616" t="s">
        <v>5273</v>
      </c>
      <c r="F166" s="619">
        <v>0.66</v>
      </c>
      <c r="G166" s="619">
        <v>1763.16</v>
      </c>
      <c r="H166" s="619">
        <v>1</v>
      </c>
      <c r="I166" s="619">
        <v>2671.4545454545455</v>
      </c>
      <c r="J166" s="619">
        <v>1.34</v>
      </c>
      <c r="K166" s="619">
        <v>3424.1</v>
      </c>
      <c r="L166" s="619">
        <v>1.9420245468363619</v>
      </c>
      <c r="M166" s="619">
        <v>2555.2985074626863</v>
      </c>
      <c r="N166" s="619">
        <v>1</v>
      </c>
      <c r="O166" s="619">
        <v>2708.04</v>
      </c>
      <c r="P166" s="640">
        <v>1.5359014496699108</v>
      </c>
      <c r="Q166" s="620">
        <v>2708.04</v>
      </c>
    </row>
    <row r="167" spans="1:17" ht="14.4" customHeight="1" x14ac:dyDescent="0.3">
      <c r="A167" s="615" t="s">
        <v>5271</v>
      </c>
      <c r="B167" s="616" t="s">
        <v>4734</v>
      </c>
      <c r="C167" s="616" t="s">
        <v>3971</v>
      </c>
      <c r="D167" s="616" t="s">
        <v>5274</v>
      </c>
      <c r="E167" s="616" t="s">
        <v>4001</v>
      </c>
      <c r="F167" s="619">
        <v>0.16</v>
      </c>
      <c r="G167" s="619">
        <v>826.98</v>
      </c>
      <c r="H167" s="619">
        <v>1</v>
      </c>
      <c r="I167" s="619">
        <v>5168.625</v>
      </c>
      <c r="J167" s="619">
        <v>0.79</v>
      </c>
      <c r="K167" s="619">
        <v>3905.6899999999996</v>
      </c>
      <c r="L167" s="619">
        <v>4.7228348932259543</v>
      </c>
      <c r="M167" s="619">
        <v>4943.9113924050625</v>
      </c>
      <c r="N167" s="619">
        <v>1.24</v>
      </c>
      <c r="O167" s="619">
        <v>6130.4800000000005</v>
      </c>
      <c r="P167" s="640">
        <v>7.4130934242666093</v>
      </c>
      <c r="Q167" s="620">
        <v>4943.9354838709678</v>
      </c>
    </row>
    <row r="168" spans="1:17" ht="14.4" customHeight="1" x14ac:dyDescent="0.3">
      <c r="A168" s="615" t="s">
        <v>5271</v>
      </c>
      <c r="B168" s="616" t="s">
        <v>4734</v>
      </c>
      <c r="C168" s="616" t="s">
        <v>3971</v>
      </c>
      <c r="D168" s="616" t="s">
        <v>5275</v>
      </c>
      <c r="E168" s="616" t="s">
        <v>5276</v>
      </c>
      <c r="F168" s="619">
        <v>24.27</v>
      </c>
      <c r="G168" s="619">
        <v>24003.690000000002</v>
      </c>
      <c r="H168" s="619">
        <v>1</v>
      </c>
      <c r="I168" s="619">
        <v>989.02719406674919</v>
      </c>
      <c r="J168" s="619">
        <v>21.07</v>
      </c>
      <c r="K168" s="619">
        <v>20044.59</v>
      </c>
      <c r="L168" s="619">
        <v>0.83506285908541555</v>
      </c>
      <c r="M168" s="619">
        <v>951.33317513051736</v>
      </c>
      <c r="N168" s="619">
        <v>20.85</v>
      </c>
      <c r="O168" s="619">
        <v>20947.96</v>
      </c>
      <c r="P168" s="640">
        <v>0.87269748942766701</v>
      </c>
      <c r="Q168" s="620">
        <v>1004.6983213429255</v>
      </c>
    </row>
    <row r="169" spans="1:17" ht="14.4" customHeight="1" x14ac:dyDescent="0.3">
      <c r="A169" s="615" t="s">
        <v>5271</v>
      </c>
      <c r="B169" s="616" t="s">
        <v>4734</v>
      </c>
      <c r="C169" s="616" t="s">
        <v>3971</v>
      </c>
      <c r="D169" s="616" t="s">
        <v>5277</v>
      </c>
      <c r="E169" s="616" t="s">
        <v>4001</v>
      </c>
      <c r="F169" s="619">
        <v>6.3599999999999985</v>
      </c>
      <c r="G169" s="619">
        <v>65642.149999999994</v>
      </c>
      <c r="H169" s="619">
        <v>1</v>
      </c>
      <c r="I169" s="619">
        <v>10321.092767295599</v>
      </c>
      <c r="J169" s="619">
        <v>3.75</v>
      </c>
      <c r="K169" s="619">
        <v>37079.56</v>
      </c>
      <c r="L169" s="619">
        <v>0.56487424619699389</v>
      </c>
      <c r="M169" s="619">
        <v>9887.8826666666664</v>
      </c>
      <c r="N169" s="619">
        <v>4.4799999999999995</v>
      </c>
      <c r="O169" s="619">
        <v>44297.69000000001</v>
      </c>
      <c r="P169" s="640">
        <v>0.67483606189011203</v>
      </c>
      <c r="Q169" s="620">
        <v>9887.8772321428605</v>
      </c>
    </row>
    <row r="170" spans="1:17" ht="14.4" customHeight="1" x14ac:dyDescent="0.3">
      <c r="A170" s="615" t="s">
        <v>5271</v>
      </c>
      <c r="B170" s="616" t="s">
        <v>4734</v>
      </c>
      <c r="C170" s="616" t="s">
        <v>3971</v>
      </c>
      <c r="D170" s="616" t="s">
        <v>4000</v>
      </c>
      <c r="E170" s="616" t="s">
        <v>4001</v>
      </c>
      <c r="F170" s="619">
        <v>0.60000000000000009</v>
      </c>
      <c r="G170" s="619">
        <v>3636.33</v>
      </c>
      <c r="H170" s="619">
        <v>1</v>
      </c>
      <c r="I170" s="619">
        <v>6060.5499999999993</v>
      </c>
      <c r="J170" s="619"/>
      <c r="K170" s="619"/>
      <c r="L170" s="619"/>
      <c r="M170" s="619"/>
      <c r="N170" s="619"/>
      <c r="O170" s="619"/>
      <c r="P170" s="640"/>
      <c r="Q170" s="620"/>
    </row>
    <row r="171" spans="1:17" ht="14.4" customHeight="1" x14ac:dyDescent="0.3">
      <c r="A171" s="615" t="s">
        <v>5271</v>
      </c>
      <c r="B171" s="616" t="s">
        <v>4734</v>
      </c>
      <c r="C171" s="616" t="s">
        <v>3971</v>
      </c>
      <c r="D171" s="616" t="s">
        <v>5278</v>
      </c>
      <c r="E171" s="616" t="s">
        <v>5279</v>
      </c>
      <c r="F171" s="619">
        <v>1</v>
      </c>
      <c r="G171" s="619">
        <v>416.3</v>
      </c>
      <c r="H171" s="619">
        <v>1</v>
      </c>
      <c r="I171" s="619">
        <v>416.3</v>
      </c>
      <c r="J171" s="619">
        <v>2</v>
      </c>
      <c r="K171" s="619">
        <v>796.4</v>
      </c>
      <c r="L171" s="619">
        <v>1.9130434782608694</v>
      </c>
      <c r="M171" s="619">
        <v>398.2</v>
      </c>
      <c r="N171" s="619"/>
      <c r="O171" s="619"/>
      <c r="P171" s="640"/>
      <c r="Q171" s="620"/>
    </row>
    <row r="172" spans="1:17" ht="14.4" customHeight="1" x14ac:dyDescent="0.3">
      <c r="A172" s="615" t="s">
        <v>5271</v>
      </c>
      <c r="B172" s="616" t="s">
        <v>4734</v>
      </c>
      <c r="C172" s="616" t="s">
        <v>3971</v>
      </c>
      <c r="D172" s="616" t="s">
        <v>4019</v>
      </c>
      <c r="E172" s="616" t="s">
        <v>4020</v>
      </c>
      <c r="F172" s="619">
        <v>2.78</v>
      </c>
      <c r="G172" s="619">
        <v>15153.699999999999</v>
      </c>
      <c r="H172" s="619">
        <v>1</v>
      </c>
      <c r="I172" s="619">
        <v>5450.9712230215828</v>
      </c>
      <c r="J172" s="619">
        <v>1.9100000000000001</v>
      </c>
      <c r="K172" s="619">
        <v>8455.57</v>
      </c>
      <c r="L172" s="619">
        <v>0.55798715825178014</v>
      </c>
      <c r="M172" s="619">
        <v>4426.9999999999991</v>
      </c>
      <c r="N172" s="619">
        <v>1.01</v>
      </c>
      <c r="O172" s="619">
        <v>4561.71</v>
      </c>
      <c r="P172" s="640">
        <v>0.30102945155308608</v>
      </c>
      <c r="Q172" s="620">
        <v>4516.5445544554459</v>
      </c>
    </row>
    <row r="173" spans="1:17" ht="14.4" customHeight="1" x14ac:dyDescent="0.3">
      <c r="A173" s="615" t="s">
        <v>5271</v>
      </c>
      <c r="B173" s="616" t="s">
        <v>4734</v>
      </c>
      <c r="C173" s="616" t="s">
        <v>3971</v>
      </c>
      <c r="D173" s="616" t="s">
        <v>5280</v>
      </c>
      <c r="E173" s="616" t="s">
        <v>4020</v>
      </c>
      <c r="F173" s="619">
        <v>3.74</v>
      </c>
      <c r="G173" s="619">
        <v>40846.630000000005</v>
      </c>
      <c r="H173" s="619">
        <v>1</v>
      </c>
      <c r="I173" s="619">
        <v>10921.558823529413</v>
      </c>
      <c r="J173" s="619">
        <v>0.56000000000000005</v>
      </c>
      <c r="K173" s="619">
        <v>4958.2399999999989</v>
      </c>
      <c r="L173" s="619">
        <v>0.12138675822215929</v>
      </c>
      <c r="M173" s="619">
        <v>8853.9999999999964</v>
      </c>
      <c r="N173" s="619">
        <v>0.48</v>
      </c>
      <c r="O173" s="619">
        <v>4254.74</v>
      </c>
      <c r="P173" s="640">
        <v>0.10416379515274575</v>
      </c>
      <c r="Q173" s="620">
        <v>8864.0416666666661</v>
      </c>
    </row>
    <row r="174" spans="1:17" ht="14.4" customHeight="1" x14ac:dyDescent="0.3">
      <c r="A174" s="615" t="s">
        <v>5271</v>
      </c>
      <c r="B174" s="616" t="s">
        <v>4734</v>
      </c>
      <c r="C174" s="616" t="s">
        <v>3971</v>
      </c>
      <c r="D174" s="616" t="s">
        <v>5281</v>
      </c>
      <c r="E174" s="616" t="s">
        <v>5282</v>
      </c>
      <c r="F174" s="619">
        <v>3.2000000000000006</v>
      </c>
      <c r="G174" s="619">
        <v>6341.32</v>
      </c>
      <c r="H174" s="619">
        <v>1</v>
      </c>
      <c r="I174" s="619">
        <v>1981.6624999999995</v>
      </c>
      <c r="J174" s="619">
        <v>3.4</v>
      </c>
      <c r="K174" s="619">
        <v>6627.62</v>
      </c>
      <c r="L174" s="619">
        <v>1.045148328739127</v>
      </c>
      <c r="M174" s="619">
        <v>1949.3</v>
      </c>
      <c r="N174" s="619">
        <v>2.4</v>
      </c>
      <c r="O174" s="619">
        <v>4678.32</v>
      </c>
      <c r="P174" s="640">
        <v>0.7377517614629131</v>
      </c>
      <c r="Q174" s="620">
        <v>1949.3</v>
      </c>
    </row>
    <row r="175" spans="1:17" ht="14.4" customHeight="1" x14ac:dyDescent="0.3">
      <c r="A175" s="615" t="s">
        <v>5271</v>
      </c>
      <c r="B175" s="616" t="s">
        <v>4734</v>
      </c>
      <c r="C175" s="616" t="s">
        <v>3971</v>
      </c>
      <c r="D175" s="616" t="s">
        <v>5283</v>
      </c>
      <c r="E175" s="616" t="s">
        <v>4020</v>
      </c>
      <c r="F175" s="619">
        <v>17.329999999999998</v>
      </c>
      <c r="G175" s="619">
        <v>37854.080000000002</v>
      </c>
      <c r="H175" s="619">
        <v>1</v>
      </c>
      <c r="I175" s="619">
        <v>2184.3092902481249</v>
      </c>
      <c r="J175" s="619">
        <v>19.650000000000002</v>
      </c>
      <c r="K175" s="619">
        <v>34796.219999999994</v>
      </c>
      <c r="L175" s="619">
        <v>0.91921980404754233</v>
      </c>
      <c r="M175" s="619">
        <v>1770.7999999999995</v>
      </c>
      <c r="N175" s="619">
        <v>21.5</v>
      </c>
      <c r="O175" s="619">
        <v>38774.049999999996</v>
      </c>
      <c r="P175" s="640">
        <v>1.0243030605947891</v>
      </c>
      <c r="Q175" s="620">
        <v>1803.4441860465115</v>
      </c>
    </row>
    <row r="176" spans="1:17" ht="14.4" customHeight="1" x14ac:dyDescent="0.3">
      <c r="A176" s="615" t="s">
        <v>5271</v>
      </c>
      <c r="B176" s="616" t="s">
        <v>4734</v>
      </c>
      <c r="C176" s="616" t="s">
        <v>3971</v>
      </c>
      <c r="D176" s="616" t="s">
        <v>5284</v>
      </c>
      <c r="E176" s="616" t="s">
        <v>5285</v>
      </c>
      <c r="F176" s="619">
        <v>1.2</v>
      </c>
      <c r="G176" s="619">
        <v>455.18</v>
      </c>
      <c r="H176" s="619">
        <v>1</v>
      </c>
      <c r="I176" s="619">
        <v>379.31666666666666</v>
      </c>
      <c r="J176" s="619">
        <v>1.5999999999999999</v>
      </c>
      <c r="K176" s="619">
        <v>828.16</v>
      </c>
      <c r="L176" s="619">
        <v>1.8194121007074124</v>
      </c>
      <c r="M176" s="619">
        <v>517.6</v>
      </c>
      <c r="N176" s="619">
        <v>0.78</v>
      </c>
      <c r="O176" s="619">
        <v>403.72</v>
      </c>
      <c r="P176" s="640">
        <v>0.88694582363021224</v>
      </c>
      <c r="Q176" s="620">
        <v>517.58974358974365</v>
      </c>
    </row>
    <row r="177" spans="1:17" ht="14.4" customHeight="1" x14ac:dyDescent="0.3">
      <c r="A177" s="615" t="s">
        <v>5271</v>
      </c>
      <c r="B177" s="616" t="s">
        <v>4734</v>
      </c>
      <c r="C177" s="616" t="s">
        <v>3971</v>
      </c>
      <c r="D177" s="616" t="s">
        <v>5286</v>
      </c>
      <c r="E177" s="616" t="s">
        <v>5287</v>
      </c>
      <c r="F177" s="619">
        <v>0.25</v>
      </c>
      <c r="G177" s="619">
        <v>236.20000000000002</v>
      </c>
      <c r="H177" s="619">
        <v>1</v>
      </c>
      <c r="I177" s="619">
        <v>944.80000000000007</v>
      </c>
      <c r="J177" s="619">
        <v>0.2</v>
      </c>
      <c r="K177" s="619">
        <v>180.76</v>
      </c>
      <c r="L177" s="619">
        <v>0.76528365791701936</v>
      </c>
      <c r="M177" s="619">
        <v>903.8</v>
      </c>
      <c r="N177" s="619">
        <v>0.25</v>
      </c>
      <c r="O177" s="619">
        <v>225.95</v>
      </c>
      <c r="P177" s="640">
        <v>0.95660457239627428</v>
      </c>
      <c r="Q177" s="620">
        <v>903.8</v>
      </c>
    </row>
    <row r="178" spans="1:17" ht="14.4" customHeight="1" x14ac:dyDescent="0.3">
      <c r="A178" s="615" t="s">
        <v>5271</v>
      </c>
      <c r="B178" s="616" t="s">
        <v>4734</v>
      </c>
      <c r="C178" s="616" t="s">
        <v>3971</v>
      </c>
      <c r="D178" s="616" t="s">
        <v>5288</v>
      </c>
      <c r="E178" s="616" t="s">
        <v>4020</v>
      </c>
      <c r="F178" s="619">
        <v>0.04</v>
      </c>
      <c r="G178" s="619">
        <v>1572.7</v>
      </c>
      <c r="H178" s="619">
        <v>1</v>
      </c>
      <c r="I178" s="619">
        <v>39317.5</v>
      </c>
      <c r="J178" s="619">
        <v>0.69</v>
      </c>
      <c r="K178" s="619">
        <v>23339.18</v>
      </c>
      <c r="L178" s="619">
        <v>14.840198384943092</v>
      </c>
      <c r="M178" s="619">
        <v>33824.89855072464</v>
      </c>
      <c r="N178" s="619">
        <v>0.98</v>
      </c>
      <c r="O178" s="619">
        <v>31823.520000000004</v>
      </c>
      <c r="P178" s="640">
        <v>20.234958987728113</v>
      </c>
      <c r="Q178" s="620">
        <v>32472.979591836738</v>
      </c>
    </row>
    <row r="179" spans="1:17" ht="14.4" customHeight="1" x14ac:dyDescent="0.3">
      <c r="A179" s="615" t="s">
        <v>5271</v>
      </c>
      <c r="B179" s="616" t="s">
        <v>4734</v>
      </c>
      <c r="C179" s="616" t="s">
        <v>4140</v>
      </c>
      <c r="D179" s="616" t="s">
        <v>5289</v>
      </c>
      <c r="E179" s="616" t="s">
        <v>5290</v>
      </c>
      <c r="F179" s="619">
        <v>5</v>
      </c>
      <c r="G179" s="619">
        <v>2947.95</v>
      </c>
      <c r="H179" s="619">
        <v>1</v>
      </c>
      <c r="I179" s="619">
        <v>589.58999999999992</v>
      </c>
      <c r="J179" s="619"/>
      <c r="K179" s="619"/>
      <c r="L179" s="619"/>
      <c r="M179" s="619"/>
      <c r="N179" s="619">
        <v>2</v>
      </c>
      <c r="O179" s="619">
        <v>1179.18</v>
      </c>
      <c r="P179" s="640">
        <v>0.4</v>
      </c>
      <c r="Q179" s="620">
        <v>589.59</v>
      </c>
    </row>
    <row r="180" spans="1:17" ht="14.4" customHeight="1" x14ac:dyDescent="0.3">
      <c r="A180" s="615" t="s">
        <v>5271</v>
      </c>
      <c r="B180" s="616" t="s">
        <v>4734</v>
      </c>
      <c r="C180" s="616" t="s">
        <v>4140</v>
      </c>
      <c r="D180" s="616" t="s">
        <v>5291</v>
      </c>
      <c r="E180" s="616" t="s">
        <v>5292</v>
      </c>
      <c r="F180" s="619"/>
      <c r="G180" s="619"/>
      <c r="H180" s="619"/>
      <c r="I180" s="619"/>
      <c r="J180" s="619">
        <v>1</v>
      </c>
      <c r="K180" s="619">
        <v>1707.1</v>
      </c>
      <c r="L180" s="619"/>
      <c r="M180" s="619">
        <v>1707.1</v>
      </c>
      <c r="N180" s="619">
        <v>1</v>
      </c>
      <c r="O180" s="619">
        <v>1707.1</v>
      </c>
      <c r="P180" s="640"/>
      <c r="Q180" s="620">
        <v>1707.1</v>
      </c>
    </row>
    <row r="181" spans="1:17" ht="14.4" customHeight="1" x14ac:dyDescent="0.3">
      <c r="A181" s="615" t="s">
        <v>5271</v>
      </c>
      <c r="B181" s="616" t="s">
        <v>4734</v>
      </c>
      <c r="C181" s="616" t="s">
        <v>4140</v>
      </c>
      <c r="D181" s="616" t="s">
        <v>5293</v>
      </c>
      <c r="E181" s="616" t="s">
        <v>5294</v>
      </c>
      <c r="F181" s="619"/>
      <c r="G181" s="619"/>
      <c r="H181" s="619"/>
      <c r="I181" s="619"/>
      <c r="J181" s="619">
        <v>1</v>
      </c>
      <c r="K181" s="619">
        <v>1447.28</v>
      </c>
      <c r="L181" s="619"/>
      <c r="M181" s="619">
        <v>1447.28</v>
      </c>
      <c r="N181" s="619"/>
      <c r="O181" s="619"/>
      <c r="P181" s="640"/>
      <c r="Q181" s="620"/>
    </row>
    <row r="182" spans="1:17" ht="14.4" customHeight="1" x14ac:dyDescent="0.3">
      <c r="A182" s="615" t="s">
        <v>5271</v>
      </c>
      <c r="B182" s="616" t="s">
        <v>4734</v>
      </c>
      <c r="C182" s="616" t="s">
        <v>4140</v>
      </c>
      <c r="D182" s="616" t="s">
        <v>5295</v>
      </c>
      <c r="E182" s="616" t="s">
        <v>5296</v>
      </c>
      <c r="F182" s="619">
        <v>4</v>
      </c>
      <c r="G182" s="619">
        <v>3889.28</v>
      </c>
      <c r="H182" s="619">
        <v>1</v>
      </c>
      <c r="I182" s="619">
        <v>972.32</v>
      </c>
      <c r="J182" s="619">
        <v>13</v>
      </c>
      <c r="K182" s="619">
        <v>12640.16</v>
      </c>
      <c r="L182" s="619">
        <v>3.25</v>
      </c>
      <c r="M182" s="619">
        <v>972.31999999999994</v>
      </c>
      <c r="N182" s="619">
        <v>10</v>
      </c>
      <c r="O182" s="619">
        <v>9723.2000000000007</v>
      </c>
      <c r="P182" s="640">
        <v>2.5</v>
      </c>
      <c r="Q182" s="620">
        <v>972.32</v>
      </c>
    </row>
    <row r="183" spans="1:17" ht="14.4" customHeight="1" x14ac:dyDescent="0.3">
      <c r="A183" s="615" t="s">
        <v>5271</v>
      </c>
      <c r="B183" s="616" t="s">
        <v>4734</v>
      </c>
      <c r="C183" s="616" t="s">
        <v>4140</v>
      </c>
      <c r="D183" s="616" t="s">
        <v>5297</v>
      </c>
      <c r="E183" s="616" t="s">
        <v>5296</v>
      </c>
      <c r="F183" s="619">
        <v>2</v>
      </c>
      <c r="G183" s="619">
        <v>2816.84</v>
      </c>
      <c r="H183" s="619">
        <v>1</v>
      </c>
      <c r="I183" s="619">
        <v>1408.42</v>
      </c>
      <c r="J183" s="619"/>
      <c r="K183" s="619"/>
      <c r="L183" s="619"/>
      <c r="M183" s="619"/>
      <c r="N183" s="619">
        <v>1</v>
      </c>
      <c r="O183" s="619">
        <v>1408.42</v>
      </c>
      <c r="P183" s="640">
        <v>0.5</v>
      </c>
      <c r="Q183" s="620">
        <v>1408.42</v>
      </c>
    </row>
    <row r="184" spans="1:17" ht="14.4" customHeight="1" x14ac:dyDescent="0.3">
      <c r="A184" s="615" t="s">
        <v>5271</v>
      </c>
      <c r="B184" s="616" t="s">
        <v>4734</v>
      </c>
      <c r="C184" s="616" t="s">
        <v>4140</v>
      </c>
      <c r="D184" s="616" t="s">
        <v>5298</v>
      </c>
      <c r="E184" s="616" t="s">
        <v>5296</v>
      </c>
      <c r="F184" s="619">
        <v>30</v>
      </c>
      <c r="G184" s="619">
        <v>51219.3</v>
      </c>
      <c r="H184" s="619">
        <v>1</v>
      </c>
      <c r="I184" s="619">
        <v>1707.3100000000002</v>
      </c>
      <c r="J184" s="619">
        <v>22</v>
      </c>
      <c r="K184" s="619">
        <v>37560.82</v>
      </c>
      <c r="L184" s="619">
        <v>0.73333333333333328</v>
      </c>
      <c r="M184" s="619">
        <v>1707.31</v>
      </c>
      <c r="N184" s="619">
        <v>30</v>
      </c>
      <c r="O184" s="619">
        <v>51219.3</v>
      </c>
      <c r="P184" s="640">
        <v>1</v>
      </c>
      <c r="Q184" s="620">
        <v>1707.3100000000002</v>
      </c>
    </row>
    <row r="185" spans="1:17" ht="14.4" customHeight="1" x14ac:dyDescent="0.3">
      <c r="A185" s="615" t="s">
        <v>5271</v>
      </c>
      <c r="B185" s="616" t="s">
        <v>4734</v>
      </c>
      <c r="C185" s="616" t="s">
        <v>4140</v>
      </c>
      <c r="D185" s="616" t="s">
        <v>5299</v>
      </c>
      <c r="E185" s="616" t="s">
        <v>5296</v>
      </c>
      <c r="F185" s="619">
        <v>9</v>
      </c>
      <c r="G185" s="619">
        <v>18596.7</v>
      </c>
      <c r="H185" s="619">
        <v>1</v>
      </c>
      <c r="I185" s="619">
        <v>2066.3000000000002</v>
      </c>
      <c r="J185" s="619">
        <v>3</v>
      </c>
      <c r="K185" s="619">
        <v>6198.9000000000005</v>
      </c>
      <c r="L185" s="619">
        <v>0.33333333333333337</v>
      </c>
      <c r="M185" s="619">
        <v>2066.3000000000002</v>
      </c>
      <c r="N185" s="619">
        <v>7</v>
      </c>
      <c r="O185" s="619">
        <v>14464.099999999999</v>
      </c>
      <c r="P185" s="640">
        <v>0.77777777777777768</v>
      </c>
      <c r="Q185" s="620">
        <v>2066.2999999999997</v>
      </c>
    </row>
    <row r="186" spans="1:17" ht="14.4" customHeight="1" x14ac:dyDescent="0.3">
      <c r="A186" s="615" t="s">
        <v>5271</v>
      </c>
      <c r="B186" s="616" t="s">
        <v>4734</v>
      </c>
      <c r="C186" s="616" t="s">
        <v>4140</v>
      </c>
      <c r="D186" s="616" t="s">
        <v>5300</v>
      </c>
      <c r="E186" s="616" t="s">
        <v>5301</v>
      </c>
      <c r="F186" s="619"/>
      <c r="G186" s="619"/>
      <c r="H186" s="619"/>
      <c r="I186" s="619"/>
      <c r="J186" s="619">
        <v>1</v>
      </c>
      <c r="K186" s="619">
        <v>1932.09</v>
      </c>
      <c r="L186" s="619"/>
      <c r="M186" s="619">
        <v>1932.09</v>
      </c>
      <c r="N186" s="619">
        <v>3</v>
      </c>
      <c r="O186" s="619">
        <v>5796.2699999999995</v>
      </c>
      <c r="P186" s="640"/>
      <c r="Q186" s="620">
        <v>1932.09</v>
      </c>
    </row>
    <row r="187" spans="1:17" ht="14.4" customHeight="1" x14ac:dyDescent="0.3">
      <c r="A187" s="615" t="s">
        <v>5271</v>
      </c>
      <c r="B187" s="616" t="s">
        <v>4734</v>
      </c>
      <c r="C187" s="616" t="s">
        <v>4140</v>
      </c>
      <c r="D187" s="616" t="s">
        <v>5302</v>
      </c>
      <c r="E187" s="616" t="s">
        <v>5303</v>
      </c>
      <c r="F187" s="619">
        <v>30</v>
      </c>
      <c r="G187" s="619">
        <v>30832.799999999996</v>
      </c>
      <c r="H187" s="619">
        <v>1</v>
      </c>
      <c r="I187" s="619">
        <v>1027.7599999999998</v>
      </c>
      <c r="J187" s="619">
        <v>19</v>
      </c>
      <c r="K187" s="619">
        <v>19527.439999999999</v>
      </c>
      <c r="L187" s="619">
        <v>0.63333333333333341</v>
      </c>
      <c r="M187" s="619">
        <v>1027.76</v>
      </c>
      <c r="N187" s="619">
        <v>22</v>
      </c>
      <c r="O187" s="619">
        <v>22610.719999999998</v>
      </c>
      <c r="P187" s="640">
        <v>0.73333333333333339</v>
      </c>
      <c r="Q187" s="620">
        <v>1027.76</v>
      </c>
    </row>
    <row r="188" spans="1:17" ht="14.4" customHeight="1" x14ac:dyDescent="0.3">
      <c r="A188" s="615" t="s">
        <v>5271</v>
      </c>
      <c r="B188" s="616" t="s">
        <v>4734</v>
      </c>
      <c r="C188" s="616" t="s">
        <v>4140</v>
      </c>
      <c r="D188" s="616" t="s">
        <v>5304</v>
      </c>
      <c r="E188" s="616" t="s">
        <v>5303</v>
      </c>
      <c r="F188" s="619">
        <v>8</v>
      </c>
      <c r="G188" s="619">
        <v>17134.8</v>
      </c>
      <c r="H188" s="619">
        <v>1</v>
      </c>
      <c r="I188" s="619">
        <v>2141.85</v>
      </c>
      <c r="J188" s="619">
        <v>10</v>
      </c>
      <c r="K188" s="619">
        <v>21418.5</v>
      </c>
      <c r="L188" s="619">
        <v>1.25</v>
      </c>
      <c r="M188" s="619">
        <v>2141.85</v>
      </c>
      <c r="N188" s="619">
        <v>11</v>
      </c>
      <c r="O188" s="619">
        <v>23560.35</v>
      </c>
      <c r="P188" s="640">
        <v>1.375</v>
      </c>
      <c r="Q188" s="620">
        <v>2141.85</v>
      </c>
    </row>
    <row r="189" spans="1:17" ht="14.4" customHeight="1" x14ac:dyDescent="0.3">
      <c r="A189" s="615" t="s">
        <v>5271</v>
      </c>
      <c r="B189" s="616" t="s">
        <v>4734</v>
      </c>
      <c r="C189" s="616" t="s">
        <v>4140</v>
      </c>
      <c r="D189" s="616" t="s">
        <v>5305</v>
      </c>
      <c r="E189" s="616" t="s">
        <v>5306</v>
      </c>
      <c r="F189" s="619">
        <v>1</v>
      </c>
      <c r="G189" s="619">
        <v>466.78</v>
      </c>
      <c r="H189" s="619">
        <v>1</v>
      </c>
      <c r="I189" s="619">
        <v>466.78</v>
      </c>
      <c r="J189" s="619"/>
      <c r="K189" s="619"/>
      <c r="L189" s="619"/>
      <c r="M189" s="619"/>
      <c r="N189" s="619"/>
      <c r="O189" s="619"/>
      <c r="P189" s="640"/>
      <c r="Q189" s="620"/>
    </row>
    <row r="190" spans="1:17" ht="14.4" customHeight="1" x14ac:dyDescent="0.3">
      <c r="A190" s="615" t="s">
        <v>5271</v>
      </c>
      <c r="B190" s="616" t="s">
        <v>4734</v>
      </c>
      <c r="C190" s="616" t="s">
        <v>4140</v>
      </c>
      <c r="D190" s="616" t="s">
        <v>5307</v>
      </c>
      <c r="E190" s="616" t="s">
        <v>5308</v>
      </c>
      <c r="F190" s="619"/>
      <c r="G190" s="619"/>
      <c r="H190" s="619"/>
      <c r="I190" s="619"/>
      <c r="J190" s="619"/>
      <c r="K190" s="619"/>
      <c r="L190" s="619"/>
      <c r="M190" s="619"/>
      <c r="N190" s="619">
        <v>1</v>
      </c>
      <c r="O190" s="619">
        <v>17350</v>
      </c>
      <c r="P190" s="640"/>
      <c r="Q190" s="620">
        <v>17350</v>
      </c>
    </row>
    <row r="191" spans="1:17" ht="14.4" customHeight="1" x14ac:dyDescent="0.3">
      <c r="A191" s="615" t="s">
        <v>5271</v>
      </c>
      <c r="B191" s="616" t="s">
        <v>4734</v>
      </c>
      <c r="C191" s="616" t="s">
        <v>4140</v>
      </c>
      <c r="D191" s="616" t="s">
        <v>5309</v>
      </c>
      <c r="E191" s="616" t="s">
        <v>5310</v>
      </c>
      <c r="F191" s="619"/>
      <c r="G191" s="619"/>
      <c r="H191" s="619"/>
      <c r="I191" s="619"/>
      <c r="J191" s="619"/>
      <c r="K191" s="619"/>
      <c r="L191" s="619"/>
      <c r="M191" s="619"/>
      <c r="N191" s="619">
        <v>4</v>
      </c>
      <c r="O191" s="619">
        <v>34146.199999999997</v>
      </c>
      <c r="P191" s="640"/>
      <c r="Q191" s="620">
        <v>8536.5499999999993</v>
      </c>
    </row>
    <row r="192" spans="1:17" ht="14.4" customHeight="1" x14ac:dyDescent="0.3">
      <c r="A192" s="615" t="s">
        <v>5271</v>
      </c>
      <c r="B192" s="616" t="s">
        <v>4734</v>
      </c>
      <c r="C192" s="616" t="s">
        <v>4140</v>
      </c>
      <c r="D192" s="616" t="s">
        <v>5311</v>
      </c>
      <c r="E192" s="616" t="s">
        <v>5312</v>
      </c>
      <c r="F192" s="619"/>
      <c r="G192" s="619"/>
      <c r="H192" s="619"/>
      <c r="I192" s="619"/>
      <c r="J192" s="619"/>
      <c r="K192" s="619"/>
      <c r="L192" s="619"/>
      <c r="M192" s="619"/>
      <c r="N192" s="619">
        <v>1</v>
      </c>
      <c r="O192" s="619">
        <v>11772</v>
      </c>
      <c r="P192" s="640"/>
      <c r="Q192" s="620">
        <v>11772</v>
      </c>
    </row>
    <row r="193" spans="1:17" ht="14.4" customHeight="1" x14ac:dyDescent="0.3">
      <c r="A193" s="615" t="s">
        <v>5271</v>
      </c>
      <c r="B193" s="616" t="s">
        <v>4734</v>
      </c>
      <c r="C193" s="616" t="s">
        <v>4140</v>
      </c>
      <c r="D193" s="616" t="s">
        <v>5313</v>
      </c>
      <c r="E193" s="616" t="s">
        <v>5314</v>
      </c>
      <c r="F193" s="619"/>
      <c r="G193" s="619"/>
      <c r="H193" s="619"/>
      <c r="I193" s="619"/>
      <c r="J193" s="619"/>
      <c r="K193" s="619"/>
      <c r="L193" s="619"/>
      <c r="M193" s="619"/>
      <c r="N193" s="619">
        <v>2</v>
      </c>
      <c r="O193" s="619">
        <v>110794.4</v>
      </c>
      <c r="P193" s="640"/>
      <c r="Q193" s="620">
        <v>55397.2</v>
      </c>
    </row>
    <row r="194" spans="1:17" ht="14.4" customHeight="1" x14ac:dyDescent="0.3">
      <c r="A194" s="615" t="s">
        <v>5271</v>
      </c>
      <c r="B194" s="616" t="s">
        <v>4734</v>
      </c>
      <c r="C194" s="616" t="s">
        <v>4140</v>
      </c>
      <c r="D194" s="616" t="s">
        <v>5315</v>
      </c>
      <c r="E194" s="616" t="s">
        <v>5316</v>
      </c>
      <c r="F194" s="619">
        <v>2</v>
      </c>
      <c r="G194" s="619">
        <v>5166</v>
      </c>
      <c r="H194" s="619">
        <v>1</v>
      </c>
      <c r="I194" s="619">
        <v>2583</v>
      </c>
      <c r="J194" s="619"/>
      <c r="K194" s="619"/>
      <c r="L194" s="619"/>
      <c r="M194" s="619"/>
      <c r="N194" s="619"/>
      <c r="O194" s="619"/>
      <c r="P194" s="640"/>
      <c r="Q194" s="620"/>
    </row>
    <row r="195" spans="1:17" ht="14.4" customHeight="1" x14ac:dyDescent="0.3">
      <c r="A195" s="615" t="s">
        <v>5271</v>
      </c>
      <c r="B195" s="616" t="s">
        <v>4734</v>
      </c>
      <c r="C195" s="616" t="s">
        <v>4140</v>
      </c>
      <c r="D195" s="616" t="s">
        <v>5317</v>
      </c>
      <c r="E195" s="616" t="s">
        <v>5318</v>
      </c>
      <c r="F195" s="619">
        <v>5</v>
      </c>
      <c r="G195" s="619">
        <v>15016.9</v>
      </c>
      <c r="H195" s="619">
        <v>1</v>
      </c>
      <c r="I195" s="619">
        <v>3003.38</v>
      </c>
      <c r="J195" s="619">
        <v>1</v>
      </c>
      <c r="K195" s="619">
        <v>3003.38</v>
      </c>
      <c r="L195" s="619">
        <v>0.2</v>
      </c>
      <c r="M195" s="619">
        <v>3003.38</v>
      </c>
      <c r="N195" s="619">
        <v>4</v>
      </c>
      <c r="O195" s="619">
        <v>12013.52</v>
      </c>
      <c r="P195" s="640">
        <v>0.8</v>
      </c>
      <c r="Q195" s="620">
        <v>3003.38</v>
      </c>
    </row>
    <row r="196" spans="1:17" ht="14.4" customHeight="1" x14ac:dyDescent="0.3">
      <c r="A196" s="615" t="s">
        <v>5271</v>
      </c>
      <c r="B196" s="616" t="s">
        <v>4734</v>
      </c>
      <c r="C196" s="616" t="s">
        <v>4140</v>
      </c>
      <c r="D196" s="616" t="s">
        <v>5319</v>
      </c>
      <c r="E196" s="616" t="s">
        <v>5320</v>
      </c>
      <c r="F196" s="619">
        <v>1</v>
      </c>
      <c r="G196" s="619">
        <v>2236.5</v>
      </c>
      <c r="H196" s="619">
        <v>1</v>
      </c>
      <c r="I196" s="619">
        <v>2236.5</v>
      </c>
      <c r="J196" s="619">
        <v>1</v>
      </c>
      <c r="K196" s="619">
        <v>2236.5</v>
      </c>
      <c r="L196" s="619">
        <v>1</v>
      </c>
      <c r="M196" s="619">
        <v>2236.5</v>
      </c>
      <c r="N196" s="619">
        <v>4</v>
      </c>
      <c r="O196" s="619">
        <v>8946</v>
      </c>
      <c r="P196" s="640">
        <v>4</v>
      </c>
      <c r="Q196" s="620">
        <v>2236.5</v>
      </c>
    </row>
    <row r="197" spans="1:17" ht="14.4" customHeight="1" x14ac:dyDescent="0.3">
      <c r="A197" s="615" t="s">
        <v>5271</v>
      </c>
      <c r="B197" s="616" t="s">
        <v>4734</v>
      </c>
      <c r="C197" s="616" t="s">
        <v>4140</v>
      </c>
      <c r="D197" s="616" t="s">
        <v>5321</v>
      </c>
      <c r="E197" s="616" t="s">
        <v>5322</v>
      </c>
      <c r="F197" s="619"/>
      <c r="G197" s="619"/>
      <c r="H197" s="619"/>
      <c r="I197" s="619"/>
      <c r="J197" s="619">
        <v>1</v>
      </c>
      <c r="K197" s="619">
        <v>3991.04</v>
      </c>
      <c r="L197" s="619"/>
      <c r="M197" s="619">
        <v>3991.04</v>
      </c>
      <c r="N197" s="619"/>
      <c r="O197" s="619"/>
      <c r="P197" s="640"/>
      <c r="Q197" s="620"/>
    </row>
    <row r="198" spans="1:17" ht="14.4" customHeight="1" x14ac:dyDescent="0.3">
      <c r="A198" s="615" t="s">
        <v>5271</v>
      </c>
      <c r="B198" s="616" t="s">
        <v>4734</v>
      </c>
      <c r="C198" s="616" t="s">
        <v>4140</v>
      </c>
      <c r="D198" s="616" t="s">
        <v>5323</v>
      </c>
      <c r="E198" s="616" t="s">
        <v>5324</v>
      </c>
      <c r="F198" s="619">
        <v>30</v>
      </c>
      <c r="G198" s="619">
        <v>206723.4</v>
      </c>
      <c r="H198" s="619">
        <v>1</v>
      </c>
      <c r="I198" s="619">
        <v>6890.78</v>
      </c>
      <c r="J198" s="619">
        <v>23</v>
      </c>
      <c r="K198" s="619">
        <v>158487.94</v>
      </c>
      <c r="L198" s="619">
        <v>0.76666666666666672</v>
      </c>
      <c r="M198" s="619">
        <v>6890.78</v>
      </c>
      <c r="N198" s="619">
        <v>34</v>
      </c>
      <c r="O198" s="619">
        <v>234286.52</v>
      </c>
      <c r="P198" s="640">
        <v>1.1333333333333333</v>
      </c>
      <c r="Q198" s="620">
        <v>6890.78</v>
      </c>
    </row>
    <row r="199" spans="1:17" ht="14.4" customHeight="1" x14ac:dyDescent="0.3">
      <c r="A199" s="615" t="s">
        <v>5271</v>
      </c>
      <c r="B199" s="616" t="s">
        <v>4734</v>
      </c>
      <c r="C199" s="616" t="s">
        <v>4140</v>
      </c>
      <c r="D199" s="616" t="s">
        <v>4284</v>
      </c>
      <c r="E199" s="616" t="s">
        <v>4285</v>
      </c>
      <c r="F199" s="619"/>
      <c r="G199" s="619"/>
      <c r="H199" s="619"/>
      <c r="I199" s="619"/>
      <c r="J199" s="619">
        <v>1</v>
      </c>
      <c r="K199" s="619">
        <v>19196.8</v>
      </c>
      <c r="L199" s="619"/>
      <c r="M199" s="619">
        <v>19196.8</v>
      </c>
      <c r="N199" s="619">
        <v>1</v>
      </c>
      <c r="O199" s="619">
        <v>19196.8</v>
      </c>
      <c r="P199" s="640"/>
      <c r="Q199" s="620">
        <v>19196.8</v>
      </c>
    </row>
    <row r="200" spans="1:17" ht="14.4" customHeight="1" x14ac:dyDescent="0.3">
      <c r="A200" s="615" t="s">
        <v>5271</v>
      </c>
      <c r="B200" s="616" t="s">
        <v>4734</v>
      </c>
      <c r="C200" s="616" t="s">
        <v>4140</v>
      </c>
      <c r="D200" s="616" t="s">
        <v>5325</v>
      </c>
      <c r="E200" s="616" t="s">
        <v>5326</v>
      </c>
      <c r="F200" s="619">
        <v>5</v>
      </c>
      <c r="G200" s="619">
        <v>20689.45</v>
      </c>
      <c r="H200" s="619">
        <v>1</v>
      </c>
      <c r="I200" s="619">
        <v>4137.8900000000003</v>
      </c>
      <c r="J200" s="619">
        <v>2</v>
      </c>
      <c r="K200" s="619">
        <v>8275.7800000000007</v>
      </c>
      <c r="L200" s="619">
        <v>0.4</v>
      </c>
      <c r="M200" s="619">
        <v>4137.8900000000003</v>
      </c>
      <c r="N200" s="619">
        <v>3</v>
      </c>
      <c r="O200" s="619">
        <v>12413.670000000002</v>
      </c>
      <c r="P200" s="640">
        <v>0.60000000000000009</v>
      </c>
      <c r="Q200" s="620">
        <v>4137.8900000000003</v>
      </c>
    </row>
    <row r="201" spans="1:17" ht="14.4" customHeight="1" x14ac:dyDescent="0.3">
      <c r="A201" s="615" t="s">
        <v>5271</v>
      </c>
      <c r="B201" s="616" t="s">
        <v>4734</v>
      </c>
      <c r="C201" s="616" t="s">
        <v>4140</v>
      </c>
      <c r="D201" s="616" t="s">
        <v>5327</v>
      </c>
      <c r="E201" s="616" t="s">
        <v>5328</v>
      </c>
      <c r="F201" s="619">
        <v>1</v>
      </c>
      <c r="G201" s="619">
        <v>1123.73</v>
      </c>
      <c r="H201" s="619">
        <v>1</v>
      </c>
      <c r="I201" s="619">
        <v>1123.73</v>
      </c>
      <c r="J201" s="619">
        <v>1</v>
      </c>
      <c r="K201" s="619">
        <v>1123.73</v>
      </c>
      <c r="L201" s="619">
        <v>1</v>
      </c>
      <c r="M201" s="619">
        <v>1123.73</v>
      </c>
      <c r="N201" s="619"/>
      <c r="O201" s="619"/>
      <c r="P201" s="640"/>
      <c r="Q201" s="620"/>
    </row>
    <row r="202" spans="1:17" ht="14.4" customHeight="1" x14ac:dyDescent="0.3">
      <c r="A202" s="615" t="s">
        <v>5271</v>
      </c>
      <c r="B202" s="616" t="s">
        <v>4734</v>
      </c>
      <c r="C202" s="616" t="s">
        <v>4140</v>
      </c>
      <c r="D202" s="616" t="s">
        <v>5329</v>
      </c>
      <c r="E202" s="616" t="s">
        <v>5330</v>
      </c>
      <c r="F202" s="619">
        <v>4</v>
      </c>
      <c r="G202" s="619">
        <v>68292.2</v>
      </c>
      <c r="H202" s="619">
        <v>1</v>
      </c>
      <c r="I202" s="619">
        <v>17073.05</v>
      </c>
      <c r="J202" s="619">
        <v>1</v>
      </c>
      <c r="K202" s="619">
        <v>17073.05</v>
      </c>
      <c r="L202" s="619">
        <v>0.25</v>
      </c>
      <c r="M202" s="619">
        <v>17073.05</v>
      </c>
      <c r="N202" s="619"/>
      <c r="O202" s="619"/>
      <c r="P202" s="640"/>
      <c r="Q202" s="620"/>
    </row>
    <row r="203" spans="1:17" ht="14.4" customHeight="1" x14ac:dyDescent="0.3">
      <c r="A203" s="615" t="s">
        <v>5271</v>
      </c>
      <c r="B203" s="616" t="s">
        <v>4734</v>
      </c>
      <c r="C203" s="616" t="s">
        <v>4140</v>
      </c>
      <c r="D203" s="616" t="s">
        <v>5331</v>
      </c>
      <c r="E203" s="616" t="s">
        <v>5332</v>
      </c>
      <c r="F203" s="619">
        <v>10</v>
      </c>
      <c r="G203" s="619">
        <v>10027.999999999998</v>
      </c>
      <c r="H203" s="619">
        <v>1</v>
      </c>
      <c r="I203" s="619">
        <v>1002.7999999999998</v>
      </c>
      <c r="J203" s="619">
        <v>8</v>
      </c>
      <c r="K203" s="619">
        <v>8022.4000000000005</v>
      </c>
      <c r="L203" s="619">
        <v>0.80000000000000016</v>
      </c>
      <c r="M203" s="619">
        <v>1002.8000000000001</v>
      </c>
      <c r="N203" s="619">
        <v>18</v>
      </c>
      <c r="O203" s="619">
        <v>18050.399999999998</v>
      </c>
      <c r="P203" s="640">
        <v>1.8</v>
      </c>
      <c r="Q203" s="620">
        <v>1002.7999999999998</v>
      </c>
    </row>
    <row r="204" spans="1:17" ht="14.4" customHeight="1" x14ac:dyDescent="0.3">
      <c r="A204" s="615" t="s">
        <v>5271</v>
      </c>
      <c r="B204" s="616" t="s">
        <v>4734</v>
      </c>
      <c r="C204" s="616" t="s">
        <v>4140</v>
      </c>
      <c r="D204" s="616" t="s">
        <v>5333</v>
      </c>
      <c r="E204" s="616" t="s">
        <v>5334</v>
      </c>
      <c r="F204" s="619">
        <v>9</v>
      </c>
      <c r="G204" s="619">
        <v>68850</v>
      </c>
      <c r="H204" s="619">
        <v>1</v>
      </c>
      <c r="I204" s="619">
        <v>7650</v>
      </c>
      <c r="J204" s="619">
        <v>8</v>
      </c>
      <c r="K204" s="619">
        <v>61200</v>
      </c>
      <c r="L204" s="619">
        <v>0.88888888888888884</v>
      </c>
      <c r="M204" s="619">
        <v>7650</v>
      </c>
      <c r="N204" s="619">
        <v>14</v>
      </c>
      <c r="O204" s="619">
        <v>107100</v>
      </c>
      <c r="P204" s="640">
        <v>1.5555555555555556</v>
      </c>
      <c r="Q204" s="620">
        <v>7650</v>
      </c>
    </row>
    <row r="205" spans="1:17" ht="14.4" customHeight="1" x14ac:dyDescent="0.3">
      <c r="A205" s="615" t="s">
        <v>5271</v>
      </c>
      <c r="B205" s="616" t="s">
        <v>4734</v>
      </c>
      <c r="C205" s="616" t="s">
        <v>4140</v>
      </c>
      <c r="D205" s="616" t="s">
        <v>5335</v>
      </c>
      <c r="E205" s="616" t="s">
        <v>5336</v>
      </c>
      <c r="F205" s="619">
        <v>3</v>
      </c>
      <c r="G205" s="619">
        <v>39853.56</v>
      </c>
      <c r="H205" s="619">
        <v>1</v>
      </c>
      <c r="I205" s="619">
        <v>13284.519999999999</v>
      </c>
      <c r="J205" s="619">
        <v>2</v>
      </c>
      <c r="K205" s="619">
        <v>26569.040000000001</v>
      </c>
      <c r="L205" s="619">
        <v>0.66666666666666674</v>
      </c>
      <c r="M205" s="619">
        <v>13284.52</v>
      </c>
      <c r="N205" s="619"/>
      <c r="O205" s="619"/>
      <c r="P205" s="640"/>
      <c r="Q205" s="620"/>
    </row>
    <row r="206" spans="1:17" ht="14.4" customHeight="1" x14ac:dyDescent="0.3">
      <c r="A206" s="615" t="s">
        <v>5271</v>
      </c>
      <c r="B206" s="616" t="s">
        <v>4734</v>
      </c>
      <c r="C206" s="616" t="s">
        <v>4140</v>
      </c>
      <c r="D206" s="616" t="s">
        <v>5337</v>
      </c>
      <c r="E206" s="616" t="s">
        <v>5338</v>
      </c>
      <c r="F206" s="619">
        <v>5</v>
      </c>
      <c r="G206" s="619">
        <v>10854.849999999999</v>
      </c>
      <c r="H206" s="619">
        <v>1</v>
      </c>
      <c r="I206" s="619">
        <v>2170.9699999999998</v>
      </c>
      <c r="J206" s="619">
        <v>1</v>
      </c>
      <c r="K206" s="619">
        <v>2170.9699999999998</v>
      </c>
      <c r="L206" s="619">
        <v>0.2</v>
      </c>
      <c r="M206" s="619">
        <v>2170.9699999999998</v>
      </c>
      <c r="N206" s="619">
        <v>4</v>
      </c>
      <c r="O206" s="619">
        <v>8683.8799999999992</v>
      </c>
      <c r="P206" s="640">
        <v>0.8</v>
      </c>
      <c r="Q206" s="620">
        <v>2170.9699999999998</v>
      </c>
    </row>
    <row r="207" spans="1:17" ht="14.4" customHeight="1" x14ac:dyDescent="0.3">
      <c r="A207" s="615" t="s">
        <v>5271</v>
      </c>
      <c r="B207" s="616" t="s">
        <v>4734</v>
      </c>
      <c r="C207" s="616" t="s">
        <v>4140</v>
      </c>
      <c r="D207" s="616" t="s">
        <v>5339</v>
      </c>
      <c r="E207" s="616" t="s">
        <v>5340</v>
      </c>
      <c r="F207" s="619">
        <v>6</v>
      </c>
      <c r="G207" s="619">
        <v>4782</v>
      </c>
      <c r="H207" s="619">
        <v>1</v>
      </c>
      <c r="I207" s="619">
        <v>797</v>
      </c>
      <c r="J207" s="619">
        <v>3</v>
      </c>
      <c r="K207" s="619">
        <v>2391</v>
      </c>
      <c r="L207" s="619">
        <v>0.5</v>
      </c>
      <c r="M207" s="619">
        <v>797</v>
      </c>
      <c r="N207" s="619">
        <v>8</v>
      </c>
      <c r="O207" s="619">
        <v>6376</v>
      </c>
      <c r="P207" s="640">
        <v>1.3333333333333333</v>
      </c>
      <c r="Q207" s="620">
        <v>797</v>
      </c>
    </row>
    <row r="208" spans="1:17" ht="14.4" customHeight="1" x14ac:dyDescent="0.3">
      <c r="A208" s="615" t="s">
        <v>5271</v>
      </c>
      <c r="B208" s="616" t="s">
        <v>4734</v>
      </c>
      <c r="C208" s="616" t="s">
        <v>4140</v>
      </c>
      <c r="D208" s="616" t="s">
        <v>5341</v>
      </c>
      <c r="E208" s="616" t="s">
        <v>5342</v>
      </c>
      <c r="F208" s="619">
        <v>2</v>
      </c>
      <c r="G208" s="619">
        <v>20145.88</v>
      </c>
      <c r="H208" s="619">
        <v>1</v>
      </c>
      <c r="I208" s="619">
        <v>10072.94</v>
      </c>
      <c r="J208" s="619">
        <v>2</v>
      </c>
      <c r="K208" s="619">
        <v>20145.88</v>
      </c>
      <c r="L208" s="619">
        <v>1</v>
      </c>
      <c r="M208" s="619">
        <v>10072.94</v>
      </c>
      <c r="N208" s="619">
        <v>1</v>
      </c>
      <c r="O208" s="619">
        <v>10072.94</v>
      </c>
      <c r="P208" s="640">
        <v>0.5</v>
      </c>
      <c r="Q208" s="620">
        <v>10072.94</v>
      </c>
    </row>
    <row r="209" spans="1:17" ht="14.4" customHeight="1" x14ac:dyDescent="0.3">
      <c r="A209" s="615" t="s">
        <v>5271</v>
      </c>
      <c r="B209" s="616" t="s">
        <v>4734</v>
      </c>
      <c r="C209" s="616" t="s">
        <v>4140</v>
      </c>
      <c r="D209" s="616" t="s">
        <v>5343</v>
      </c>
      <c r="E209" s="616" t="s">
        <v>5344</v>
      </c>
      <c r="F209" s="619">
        <v>3</v>
      </c>
      <c r="G209" s="619">
        <v>8923.08</v>
      </c>
      <c r="H209" s="619">
        <v>1</v>
      </c>
      <c r="I209" s="619">
        <v>2974.36</v>
      </c>
      <c r="J209" s="619">
        <v>4</v>
      </c>
      <c r="K209" s="619">
        <v>11897.44</v>
      </c>
      <c r="L209" s="619">
        <v>1.3333333333333335</v>
      </c>
      <c r="M209" s="619">
        <v>2974.36</v>
      </c>
      <c r="N209" s="619">
        <v>1</v>
      </c>
      <c r="O209" s="619">
        <v>2974.36</v>
      </c>
      <c r="P209" s="640">
        <v>0.33333333333333337</v>
      </c>
      <c r="Q209" s="620">
        <v>2974.36</v>
      </c>
    </row>
    <row r="210" spans="1:17" ht="14.4" customHeight="1" x14ac:dyDescent="0.3">
      <c r="A210" s="615" t="s">
        <v>5271</v>
      </c>
      <c r="B210" s="616" t="s">
        <v>4734</v>
      </c>
      <c r="C210" s="616" t="s">
        <v>4140</v>
      </c>
      <c r="D210" s="616" t="s">
        <v>4310</v>
      </c>
      <c r="E210" s="616" t="s">
        <v>4311</v>
      </c>
      <c r="F210" s="619"/>
      <c r="G210" s="619"/>
      <c r="H210" s="619"/>
      <c r="I210" s="619"/>
      <c r="J210" s="619">
        <v>1</v>
      </c>
      <c r="K210" s="619">
        <v>3360</v>
      </c>
      <c r="L210" s="619"/>
      <c r="M210" s="619">
        <v>3360</v>
      </c>
      <c r="N210" s="619"/>
      <c r="O210" s="619"/>
      <c r="P210" s="640"/>
      <c r="Q210" s="620"/>
    </row>
    <row r="211" spans="1:17" ht="14.4" customHeight="1" x14ac:dyDescent="0.3">
      <c r="A211" s="615" t="s">
        <v>5271</v>
      </c>
      <c r="B211" s="616" t="s">
        <v>4734</v>
      </c>
      <c r="C211" s="616" t="s">
        <v>4140</v>
      </c>
      <c r="D211" s="616" t="s">
        <v>5345</v>
      </c>
      <c r="E211" s="616" t="s">
        <v>5346</v>
      </c>
      <c r="F211" s="619">
        <v>4</v>
      </c>
      <c r="G211" s="619">
        <v>21036.92</v>
      </c>
      <c r="H211" s="619">
        <v>1</v>
      </c>
      <c r="I211" s="619">
        <v>5259.23</v>
      </c>
      <c r="J211" s="619">
        <v>11</v>
      </c>
      <c r="K211" s="619">
        <v>57851.53</v>
      </c>
      <c r="L211" s="619">
        <v>2.75</v>
      </c>
      <c r="M211" s="619">
        <v>5259.23</v>
      </c>
      <c r="N211" s="619">
        <v>9</v>
      </c>
      <c r="O211" s="619">
        <v>47333.07</v>
      </c>
      <c r="P211" s="640">
        <v>2.25</v>
      </c>
      <c r="Q211" s="620">
        <v>5259.23</v>
      </c>
    </row>
    <row r="212" spans="1:17" ht="14.4" customHeight="1" x14ac:dyDescent="0.3">
      <c r="A212" s="615" t="s">
        <v>5271</v>
      </c>
      <c r="B212" s="616" t="s">
        <v>4734</v>
      </c>
      <c r="C212" s="616" t="s">
        <v>4140</v>
      </c>
      <c r="D212" s="616" t="s">
        <v>5347</v>
      </c>
      <c r="E212" s="616" t="s">
        <v>5348</v>
      </c>
      <c r="F212" s="619"/>
      <c r="G212" s="619"/>
      <c r="H212" s="619"/>
      <c r="I212" s="619"/>
      <c r="J212" s="619"/>
      <c r="K212" s="619"/>
      <c r="L212" s="619"/>
      <c r="M212" s="619"/>
      <c r="N212" s="619">
        <v>1</v>
      </c>
      <c r="O212" s="619">
        <v>1497.44</v>
      </c>
      <c r="P212" s="640"/>
      <c r="Q212" s="620">
        <v>1497.44</v>
      </c>
    </row>
    <row r="213" spans="1:17" ht="14.4" customHeight="1" x14ac:dyDescent="0.3">
      <c r="A213" s="615" t="s">
        <v>5271</v>
      </c>
      <c r="B213" s="616" t="s">
        <v>4734</v>
      </c>
      <c r="C213" s="616" t="s">
        <v>4140</v>
      </c>
      <c r="D213" s="616" t="s">
        <v>5349</v>
      </c>
      <c r="E213" s="616" t="s">
        <v>5350</v>
      </c>
      <c r="F213" s="619"/>
      <c r="G213" s="619"/>
      <c r="H213" s="619"/>
      <c r="I213" s="619"/>
      <c r="J213" s="619"/>
      <c r="K213" s="619"/>
      <c r="L213" s="619"/>
      <c r="M213" s="619"/>
      <c r="N213" s="619">
        <v>1</v>
      </c>
      <c r="O213" s="619">
        <v>4041.82</v>
      </c>
      <c r="P213" s="640"/>
      <c r="Q213" s="620">
        <v>4041.82</v>
      </c>
    </row>
    <row r="214" spans="1:17" ht="14.4" customHeight="1" x14ac:dyDescent="0.3">
      <c r="A214" s="615" t="s">
        <v>5271</v>
      </c>
      <c r="B214" s="616" t="s">
        <v>4734</v>
      </c>
      <c r="C214" s="616" t="s">
        <v>4140</v>
      </c>
      <c r="D214" s="616" t="s">
        <v>5351</v>
      </c>
      <c r="E214" s="616" t="s">
        <v>5352</v>
      </c>
      <c r="F214" s="619">
        <v>1</v>
      </c>
      <c r="G214" s="619">
        <v>605.65</v>
      </c>
      <c r="H214" s="619">
        <v>1</v>
      </c>
      <c r="I214" s="619">
        <v>605.65</v>
      </c>
      <c r="J214" s="619">
        <v>4</v>
      </c>
      <c r="K214" s="619">
        <v>2422.6</v>
      </c>
      <c r="L214" s="619">
        <v>4</v>
      </c>
      <c r="M214" s="619">
        <v>605.65</v>
      </c>
      <c r="N214" s="619">
        <v>2</v>
      </c>
      <c r="O214" s="619">
        <v>1211.3</v>
      </c>
      <c r="P214" s="640">
        <v>2</v>
      </c>
      <c r="Q214" s="620">
        <v>605.65</v>
      </c>
    </row>
    <row r="215" spans="1:17" ht="14.4" customHeight="1" x14ac:dyDescent="0.3">
      <c r="A215" s="615" t="s">
        <v>5271</v>
      </c>
      <c r="B215" s="616" t="s">
        <v>4734</v>
      </c>
      <c r="C215" s="616" t="s">
        <v>4140</v>
      </c>
      <c r="D215" s="616" t="s">
        <v>5353</v>
      </c>
      <c r="E215" s="616" t="s">
        <v>5354</v>
      </c>
      <c r="F215" s="619">
        <v>2</v>
      </c>
      <c r="G215" s="619">
        <v>34763.980000000003</v>
      </c>
      <c r="H215" s="619">
        <v>1</v>
      </c>
      <c r="I215" s="619">
        <v>17381.990000000002</v>
      </c>
      <c r="J215" s="619">
        <v>3</v>
      </c>
      <c r="K215" s="619">
        <v>52145.97</v>
      </c>
      <c r="L215" s="619">
        <v>1.5</v>
      </c>
      <c r="M215" s="619">
        <v>17381.990000000002</v>
      </c>
      <c r="N215" s="619"/>
      <c r="O215" s="619"/>
      <c r="P215" s="640"/>
      <c r="Q215" s="620"/>
    </row>
    <row r="216" spans="1:17" ht="14.4" customHeight="1" x14ac:dyDescent="0.3">
      <c r="A216" s="615" t="s">
        <v>5271</v>
      </c>
      <c r="B216" s="616" t="s">
        <v>4734</v>
      </c>
      <c r="C216" s="616" t="s">
        <v>4140</v>
      </c>
      <c r="D216" s="616" t="s">
        <v>5355</v>
      </c>
      <c r="E216" s="616" t="s">
        <v>5356</v>
      </c>
      <c r="F216" s="619">
        <v>4</v>
      </c>
      <c r="G216" s="619">
        <v>3324.64</v>
      </c>
      <c r="H216" s="619">
        <v>1</v>
      </c>
      <c r="I216" s="619">
        <v>831.16</v>
      </c>
      <c r="J216" s="619">
        <v>6</v>
      </c>
      <c r="K216" s="619">
        <v>4986.96</v>
      </c>
      <c r="L216" s="619">
        <v>1.5</v>
      </c>
      <c r="M216" s="619">
        <v>831.16</v>
      </c>
      <c r="N216" s="619">
        <v>3</v>
      </c>
      <c r="O216" s="619">
        <v>2493.48</v>
      </c>
      <c r="P216" s="640">
        <v>0.75</v>
      </c>
      <c r="Q216" s="620">
        <v>831.16</v>
      </c>
    </row>
    <row r="217" spans="1:17" ht="14.4" customHeight="1" x14ac:dyDescent="0.3">
      <c r="A217" s="615" t="s">
        <v>5271</v>
      </c>
      <c r="B217" s="616" t="s">
        <v>4734</v>
      </c>
      <c r="C217" s="616" t="s">
        <v>4140</v>
      </c>
      <c r="D217" s="616" t="s">
        <v>5357</v>
      </c>
      <c r="E217" s="616" t="s">
        <v>5356</v>
      </c>
      <c r="F217" s="619">
        <v>11</v>
      </c>
      <c r="G217" s="619">
        <v>9768.659999999998</v>
      </c>
      <c r="H217" s="619">
        <v>1</v>
      </c>
      <c r="I217" s="619">
        <v>888.05999999999983</v>
      </c>
      <c r="J217" s="619">
        <v>18</v>
      </c>
      <c r="K217" s="619">
        <v>15985.079999999998</v>
      </c>
      <c r="L217" s="619">
        <v>1.6363636363636365</v>
      </c>
      <c r="M217" s="619">
        <v>888.06</v>
      </c>
      <c r="N217" s="619">
        <v>10</v>
      </c>
      <c r="O217" s="619">
        <v>8880.6</v>
      </c>
      <c r="P217" s="640">
        <v>0.90909090909090928</v>
      </c>
      <c r="Q217" s="620">
        <v>888.06000000000006</v>
      </c>
    </row>
    <row r="218" spans="1:17" ht="14.4" customHeight="1" x14ac:dyDescent="0.3">
      <c r="A218" s="615" t="s">
        <v>5271</v>
      </c>
      <c r="B218" s="616" t="s">
        <v>4734</v>
      </c>
      <c r="C218" s="616" t="s">
        <v>4140</v>
      </c>
      <c r="D218" s="616" t="s">
        <v>5358</v>
      </c>
      <c r="E218" s="616" t="s">
        <v>5359</v>
      </c>
      <c r="F218" s="619">
        <v>8</v>
      </c>
      <c r="G218" s="619">
        <v>7104.48</v>
      </c>
      <c r="H218" s="619">
        <v>1</v>
      </c>
      <c r="I218" s="619">
        <v>888.06</v>
      </c>
      <c r="J218" s="619">
        <v>7</v>
      </c>
      <c r="K218" s="619">
        <v>6216.42</v>
      </c>
      <c r="L218" s="619">
        <v>0.87500000000000011</v>
      </c>
      <c r="M218" s="619">
        <v>888.06000000000006</v>
      </c>
      <c r="N218" s="619">
        <v>3</v>
      </c>
      <c r="O218" s="619">
        <v>2664.18</v>
      </c>
      <c r="P218" s="640">
        <v>0.375</v>
      </c>
      <c r="Q218" s="620">
        <v>888.06</v>
      </c>
    </row>
    <row r="219" spans="1:17" ht="14.4" customHeight="1" x14ac:dyDescent="0.3">
      <c r="A219" s="615" t="s">
        <v>5271</v>
      </c>
      <c r="B219" s="616" t="s">
        <v>4734</v>
      </c>
      <c r="C219" s="616" t="s">
        <v>4140</v>
      </c>
      <c r="D219" s="616" t="s">
        <v>5360</v>
      </c>
      <c r="E219" s="616" t="s">
        <v>5361</v>
      </c>
      <c r="F219" s="619">
        <v>2</v>
      </c>
      <c r="G219" s="619">
        <v>1662.32</v>
      </c>
      <c r="H219" s="619">
        <v>1</v>
      </c>
      <c r="I219" s="619">
        <v>831.16</v>
      </c>
      <c r="J219" s="619">
        <v>3</v>
      </c>
      <c r="K219" s="619">
        <v>2493.48</v>
      </c>
      <c r="L219" s="619">
        <v>1.5</v>
      </c>
      <c r="M219" s="619">
        <v>831.16</v>
      </c>
      <c r="N219" s="619"/>
      <c r="O219" s="619"/>
      <c r="P219" s="640"/>
      <c r="Q219" s="620"/>
    </row>
    <row r="220" spans="1:17" ht="14.4" customHeight="1" x14ac:dyDescent="0.3">
      <c r="A220" s="615" t="s">
        <v>5271</v>
      </c>
      <c r="B220" s="616" t="s">
        <v>4734</v>
      </c>
      <c r="C220" s="616" t="s">
        <v>4140</v>
      </c>
      <c r="D220" s="616" t="s">
        <v>5362</v>
      </c>
      <c r="E220" s="616" t="s">
        <v>5363</v>
      </c>
      <c r="F220" s="619"/>
      <c r="G220" s="619"/>
      <c r="H220" s="619"/>
      <c r="I220" s="619"/>
      <c r="J220" s="619"/>
      <c r="K220" s="619"/>
      <c r="L220" s="619"/>
      <c r="M220" s="619"/>
      <c r="N220" s="619">
        <v>2</v>
      </c>
      <c r="O220" s="619">
        <v>2187.7600000000002</v>
      </c>
      <c r="P220" s="640"/>
      <c r="Q220" s="620">
        <v>1093.8800000000001</v>
      </c>
    </row>
    <row r="221" spans="1:17" ht="14.4" customHeight="1" x14ac:dyDescent="0.3">
      <c r="A221" s="615" t="s">
        <v>5271</v>
      </c>
      <c r="B221" s="616" t="s">
        <v>4734</v>
      </c>
      <c r="C221" s="616" t="s">
        <v>4140</v>
      </c>
      <c r="D221" s="616" t="s">
        <v>5364</v>
      </c>
      <c r="E221" s="616" t="s">
        <v>5365</v>
      </c>
      <c r="F221" s="619">
        <v>6</v>
      </c>
      <c r="G221" s="619">
        <v>23392.799999999999</v>
      </c>
      <c r="H221" s="619">
        <v>1</v>
      </c>
      <c r="I221" s="619">
        <v>3898.7999999999997</v>
      </c>
      <c r="J221" s="619">
        <v>4</v>
      </c>
      <c r="K221" s="619">
        <v>15595.2</v>
      </c>
      <c r="L221" s="619">
        <v>0.66666666666666674</v>
      </c>
      <c r="M221" s="619">
        <v>3898.8</v>
      </c>
      <c r="N221" s="619"/>
      <c r="O221" s="619"/>
      <c r="P221" s="640"/>
      <c r="Q221" s="620"/>
    </row>
    <row r="222" spans="1:17" ht="14.4" customHeight="1" x14ac:dyDescent="0.3">
      <c r="A222" s="615" t="s">
        <v>5271</v>
      </c>
      <c r="B222" s="616" t="s">
        <v>4734</v>
      </c>
      <c r="C222" s="616" t="s">
        <v>4140</v>
      </c>
      <c r="D222" s="616" t="s">
        <v>5366</v>
      </c>
      <c r="E222" s="616" t="s">
        <v>5367</v>
      </c>
      <c r="F222" s="619"/>
      <c r="G222" s="619"/>
      <c r="H222" s="619"/>
      <c r="I222" s="619"/>
      <c r="J222" s="619"/>
      <c r="K222" s="619"/>
      <c r="L222" s="619"/>
      <c r="M222" s="619"/>
      <c r="N222" s="619">
        <v>3</v>
      </c>
      <c r="O222" s="619">
        <v>66000</v>
      </c>
      <c r="P222" s="640"/>
      <c r="Q222" s="620">
        <v>22000</v>
      </c>
    </row>
    <row r="223" spans="1:17" ht="14.4" customHeight="1" x14ac:dyDescent="0.3">
      <c r="A223" s="615" t="s">
        <v>5271</v>
      </c>
      <c r="B223" s="616" t="s">
        <v>4734</v>
      </c>
      <c r="C223" s="616" t="s">
        <v>4140</v>
      </c>
      <c r="D223" s="616" t="s">
        <v>5368</v>
      </c>
      <c r="E223" s="616" t="s">
        <v>5369</v>
      </c>
      <c r="F223" s="619">
        <v>4</v>
      </c>
      <c r="G223" s="619">
        <v>5891.52</v>
      </c>
      <c r="H223" s="619">
        <v>1</v>
      </c>
      <c r="I223" s="619">
        <v>1472.88</v>
      </c>
      <c r="J223" s="619"/>
      <c r="K223" s="619"/>
      <c r="L223" s="619"/>
      <c r="M223" s="619"/>
      <c r="N223" s="619"/>
      <c r="O223" s="619"/>
      <c r="P223" s="640"/>
      <c r="Q223" s="620"/>
    </row>
    <row r="224" spans="1:17" ht="14.4" customHeight="1" x14ac:dyDescent="0.3">
      <c r="A224" s="615" t="s">
        <v>5271</v>
      </c>
      <c r="B224" s="616" t="s">
        <v>4734</v>
      </c>
      <c r="C224" s="616" t="s">
        <v>4140</v>
      </c>
      <c r="D224" s="616" t="s">
        <v>5370</v>
      </c>
      <c r="E224" s="616" t="s">
        <v>5371</v>
      </c>
      <c r="F224" s="619">
        <v>8</v>
      </c>
      <c r="G224" s="619">
        <v>10497.119999999999</v>
      </c>
      <c r="H224" s="619">
        <v>1</v>
      </c>
      <c r="I224" s="619">
        <v>1312.1399999999999</v>
      </c>
      <c r="J224" s="619">
        <v>7</v>
      </c>
      <c r="K224" s="619">
        <v>9184.98</v>
      </c>
      <c r="L224" s="619">
        <v>0.875</v>
      </c>
      <c r="M224" s="619">
        <v>1312.1399999999999</v>
      </c>
      <c r="N224" s="619">
        <v>1</v>
      </c>
      <c r="O224" s="619">
        <v>1312.14</v>
      </c>
      <c r="P224" s="640">
        <v>0.12500000000000003</v>
      </c>
      <c r="Q224" s="620">
        <v>1312.14</v>
      </c>
    </row>
    <row r="225" spans="1:17" ht="14.4" customHeight="1" x14ac:dyDescent="0.3">
      <c r="A225" s="615" t="s">
        <v>5271</v>
      </c>
      <c r="B225" s="616" t="s">
        <v>4734</v>
      </c>
      <c r="C225" s="616" t="s">
        <v>4140</v>
      </c>
      <c r="D225" s="616" t="s">
        <v>5372</v>
      </c>
      <c r="E225" s="616" t="s">
        <v>5373</v>
      </c>
      <c r="F225" s="619">
        <v>26</v>
      </c>
      <c r="G225" s="619">
        <v>94759.079999999987</v>
      </c>
      <c r="H225" s="619">
        <v>1</v>
      </c>
      <c r="I225" s="619">
        <v>3644.5799999999995</v>
      </c>
      <c r="J225" s="619">
        <v>23</v>
      </c>
      <c r="K225" s="619">
        <v>83825.34</v>
      </c>
      <c r="L225" s="619">
        <v>0.88461538461538469</v>
      </c>
      <c r="M225" s="619">
        <v>3644.58</v>
      </c>
      <c r="N225" s="619">
        <v>22</v>
      </c>
      <c r="O225" s="619">
        <v>80180.760000000009</v>
      </c>
      <c r="P225" s="640">
        <v>0.84615384615384637</v>
      </c>
      <c r="Q225" s="620">
        <v>3644.5800000000004</v>
      </c>
    </row>
    <row r="226" spans="1:17" ht="14.4" customHeight="1" x14ac:dyDescent="0.3">
      <c r="A226" s="615" t="s">
        <v>5271</v>
      </c>
      <c r="B226" s="616" t="s">
        <v>4734</v>
      </c>
      <c r="C226" s="616" t="s">
        <v>4140</v>
      </c>
      <c r="D226" s="616" t="s">
        <v>5374</v>
      </c>
      <c r="E226" s="616" t="s">
        <v>5375</v>
      </c>
      <c r="F226" s="619">
        <v>1</v>
      </c>
      <c r="G226" s="619">
        <v>81091.31</v>
      </c>
      <c r="H226" s="619">
        <v>1</v>
      </c>
      <c r="I226" s="619">
        <v>81091.31</v>
      </c>
      <c r="J226" s="619"/>
      <c r="K226" s="619"/>
      <c r="L226" s="619"/>
      <c r="M226" s="619"/>
      <c r="N226" s="619"/>
      <c r="O226" s="619"/>
      <c r="P226" s="640"/>
      <c r="Q226" s="620"/>
    </row>
    <row r="227" spans="1:17" ht="14.4" customHeight="1" x14ac:dyDescent="0.3">
      <c r="A227" s="615" t="s">
        <v>5271</v>
      </c>
      <c r="B227" s="616" t="s">
        <v>4734</v>
      </c>
      <c r="C227" s="616" t="s">
        <v>4140</v>
      </c>
      <c r="D227" s="616" t="s">
        <v>5376</v>
      </c>
      <c r="E227" s="616" t="s">
        <v>5377</v>
      </c>
      <c r="F227" s="619">
        <v>29</v>
      </c>
      <c r="G227" s="619">
        <v>35316.94</v>
      </c>
      <c r="H227" s="619">
        <v>1</v>
      </c>
      <c r="I227" s="619">
        <v>1217.8255172413794</v>
      </c>
      <c r="J227" s="619">
        <v>20</v>
      </c>
      <c r="K227" s="619">
        <v>22926.6</v>
      </c>
      <c r="L227" s="619">
        <v>0.64916722683222261</v>
      </c>
      <c r="M227" s="619">
        <v>1146.33</v>
      </c>
      <c r="N227" s="619">
        <v>26</v>
      </c>
      <c r="O227" s="619">
        <v>29804.58</v>
      </c>
      <c r="P227" s="640">
        <v>0.84391739488188955</v>
      </c>
      <c r="Q227" s="620">
        <v>1146.3300000000002</v>
      </c>
    </row>
    <row r="228" spans="1:17" ht="14.4" customHeight="1" x14ac:dyDescent="0.3">
      <c r="A228" s="615" t="s">
        <v>5271</v>
      </c>
      <c r="B228" s="616" t="s">
        <v>4734</v>
      </c>
      <c r="C228" s="616" t="s">
        <v>4140</v>
      </c>
      <c r="D228" s="616" t="s">
        <v>5378</v>
      </c>
      <c r="E228" s="616" t="s">
        <v>5379</v>
      </c>
      <c r="F228" s="619">
        <v>2</v>
      </c>
      <c r="G228" s="619">
        <v>160000</v>
      </c>
      <c r="H228" s="619">
        <v>1</v>
      </c>
      <c r="I228" s="619">
        <v>80000</v>
      </c>
      <c r="J228" s="619">
        <v>2</v>
      </c>
      <c r="K228" s="619">
        <v>160000</v>
      </c>
      <c r="L228" s="619">
        <v>1</v>
      </c>
      <c r="M228" s="619">
        <v>80000</v>
      </c>
      <c r="N228" s="619"/>
      <c r="O228" s="619"/>
      <c r="P228" s="640"/>
      <c r="Q228" s="620"/>
    </row>
    <row r="229" spans="1:17" ht="14.4" customHeight="1" x14ac:dyDescent="0.3">
      <c r="A229" s="615" t="s">
        <v>5271</v>
      </c>
      <c r="B229" s="616" t="s">
        <v>4734</v>
      </c>
      <c r="C229" s="616" t="s">
        <v>4140</v>
      </c>
      <c r="D229" s="616" t="s">
        <v>5380</v>
      </c>
      <c r="E229" s="616" t="s">
        <v>5381</v>
      </c>
      <c r="F229" s="619">
        <v>14</v>
      </c>
      <c r="G229" s="619">
        <v>5027.4000000000005</v>
      </c>
      <c r="H229" s="619">
        <v>1</v>
      </c>
      <c r="I229" s="619">
        <v>359.1</v>
      </c>
      <c r="J229" s="619">
        <v>15</v>
      </c>
      <c r="K229" s="619">
        <v>5386.5</v>
      </c>
      <c r="L229" s="619">
        <v>1.0714285714285714</v>
      </c>
      <c r="M229" s="619">
        <v>359.1</v>
      </c>
      <c r="N229" s="619">
        <v>12</v>
      </c>
      <c r="O229" s="619">
        <v>4309.2</v>
      </c>
      <c r="P229" s="640">
        <v>0.85714285714285698</v>
      </c>
      <c r="Q229" s="620">
        <v>359.09999999999997</v>
      </c>
    </row>
    <row r="230" spans="1:17" ht="14.4" customHeight="1" x14ac:dyDescent="0.3">
      <c r="A230" s="615" t="s">
        <v>5271</v>
      </c>
      <c r="B230" s="616" t="s">
        <v>4734</v>
      </c>
      <c r="C230" s="616" t="s">
        <v>4140</v>
      </c>
      <c r="D230" s="616" t="s">
        <v>5382</v>
      </c>
      <c r="E230" s="616" t="s">
        <v>5383</v>
      </c>
      <c r="F230" s="619">
        <v>3</v>
      </c>
      <c r="G230" s="619">
        <v>50495.069999999992</v>
      </c>
      <c r="H230" s="619">
        <v>1</v>
      </c>
      <c r="I230" s="619">
        <v>16831.689999999999</v>
      </c>
      <c r="J230" s="619">
        <v>10</v>
      </c>
      <c r="K230" s="619">
        <v>168316.9</v>
      </c>
      <c r="L230" s="619">
        <v>3.3333333333333339</v>
      </c>
      <c r="M230" s="619">
        <v>16831.689999999999</v>
      </c>
      <c r="N230" s="619">
        <v>5</v>
      </c>
      <c r="O230" s="619">
        <v>84158.45</v>
      </c>
      <c r="P230" s="640">
        <v>1.666666666666667</v>
      </c>
      <c r="Q230" s="620">
        <v>16831.689999999999</v>
      </c>
    </row>
    <row r="231" spans="1:17" ht="14.4" customHeight="1" x14ac:dyDescent="0.3">
      <c r="A231" s="615" t="s">
        <v>5271</v>
      </c>
      <c r="B231" s="616" t="s">
        <v>4734</v>
      </c>
      <c r="C231" s="616" t="s">
        <v>4140</v>
      </c>
      <c r="D231" s="616" t="s">
        <v>5384</v>
      </c>
      <c r="E231" s="616" t="s">
        <v>5385</v>
      </c>
      <c r="F231" s="619">
        <v>1</v>
      </c>
      <c r="G231" s="619">
        <v>10645.01</v>
      </c>
      <c r="H231" s="619">
        <v>1</v>
      </c>
      <c r="I231" s="619">
        <v>10645.01</v>
      </c>
      <c r="J231" s="619">
        <v>1</v>
      </c>
      <c r="K231" s="619">
        <v>10645.01</v>
      </c>
      <c r="L231" s="619">
        <v>1</v>
      </c>
      <c r="M231" s="619">
        <v>10645.01</v>
      </c>
      <c r="N231" s="619"/>
      <c r="O231" s="619"/>
      <c r="P231" s="640"/>
      <c r="Q231" s="620"/>
    </row>
    <row r="232" spans="1:17" ht="14.4" customHeight="1" x14ac:dyDescent="0.3">
      <c r="A232" s="615" t="s">
        <v>5271</v>
      </c>
      <c r="B232" s="616" t="s">
        <v>4734</v>
      </c>
      <c r="C232" s="616" t="s">
        <v>4140</v>
      </c>
      <c r="D232" s="616" t="s">
        <v>5386</v>
      </c>
      <c r="E232" s="616" t="s">
        <v>5387</v>
      </c>
      <c r="F232" s="619"/>
      <c r="G232" s="619"/>
      <c r="H232" s="619"/>
      <c r="I232" s="619"/>
      <c r="J232" s="619">
        <v>1</v>
      </c>
      <c r="K232" s="619">
        <v>5200.68</v>
      </c>
      <c r="L232" s="619"/>
      <c r="M232" s="619">
        <v>5200.68</v>
      </c>
      <c r="N232" s="619">
        <v>3</v>
      </c>
      <c r="O232" s="619">
        <v>15602.04</v>
      </c>
      <c r="P232" s="640"/>
      <c r="Q232" s="620">
        <v>5200.68</v>
      </c>
    </row>
    <row r="233" spans="1:17" ht="14.4" customHeight="1" x14ac:dyDescent="0.3">
      <c r="A233" s="615" t="s">
        <v>5271</v>
      </c>
      <c r="B233" s="616" t="s">
        <v>4734</v>
      </c>
      <c r="C233" s="616" t="s">
        <v>4140</v>
      </c>
      <c r="D233" s="616" t="s">
        <v>5388</v>
      </c>
      <c r="E233" s="616" t="s">
        <v>5389</v>
      </c>
      <c r="F233" s="619">
        <v>2</v>
      </c>
      <c r="G233" s="619">
        <v>64358.18</v>
      </c>
      <c r="H233" s="619">
        <v>1</v>
      </c>
      <c r="I233" s="619">
        <v>32179.09</v>
      </c>
      <c r="J233" s="619">
        <v>10</v>
      </c>
      <c r="K233" s="619">
        <v>270304.33999999997</v>
      </c>
      <c r="L233" s="619">
        <v>4.1999997513913536</v>
      </c>
      <c r="M233" s="619">
        <v>27030.433999999997</v>
      </c>
      <c r="N233" s="619">
        <v>2</v>
      </c>
      <c r="O233" s="619">
        <v>51486.54</v>
      </c>
      <c r="P233" s="640">
        <v>0.79999993784783852</v>
      </c>
      <c r="Q233" s="620">
        <v>25743.27</v>
      </c>
    </row>
    <row r="234" spans="1:17" ht="14.4" customHeight="1" x14ac:dyDescent="0.3">
      <c r="A234" s="615" t="s">
        <v>5271</v>
      </c>
      <c r="B234" s="616" t="s">
        <v>4734</v>
      </c>
      <c r="C234" s="616" t="s">
        <v>4140</v>
      </c>
      <c r="D234" s="616" t="s">
        <v>5390</v>
      </c>
      <c r="E234" s="616" t="s">
        <v>5391</v>
      </c>
      <c r="F234" s="619">
        <v>12</v>
      </c>
      <c r="G234" s="619">
        <v>79045.56</v>
      </c>
      <c r="H234" s="619">
        <v>1</v>
      </c>
      <c r="I234" s="619">
        <v>6587.13</v>
      </c>
      <c r="J234" s="619">
        <v>16</v>
      </c>
      <c r="K234" s="619">
        <v>105394.07999999999</v>
      </c>
      <c r="L234" s="619">
        <v>1.3333333333333333</v>
      </c>
      <c r="M234" s="619">
        <v>6587.1299999999992</v>
      </c>
      <c r="N234" s="619">
        <v>17</v>
      </c>
      <c r="O234" s="619">
        <v>111981.21</v>
      </c>
      <c r="P234" s="640">
        <v>1.4166666666666667</v>
      </c>
      <c r="Q234" s="620">
        <v>6587.13</v>
      </c>
    </row>
    <row r="235" spans="1:17" ht="14.4" customHeight="1" x14ac:dyDescent="0.3">
      <c r="A235" s="615" t="s">
        <v>5271</v>
      </c>
      <c r="B235" s="616" t="s">
        <v>4734</v>
      </c>
      <c r="C235" s="616" t="s">
        <v>4140</v>
      </c>
      <c r="D235" s="616" t="s">
        <v>5392</v>
      </c>
      <c r="E235" s="616" t="s">
        <v>5393</v>
      </c>
      <c r="F235" s="619">
        <v>4</v>
      </c>
      <c r="G235" s="619">
        <v>7366.48</v>
      </c>
      <c r="H235" s="619">
        <v>1</v>
      </c>
      <c r="I235" s="619">
        <v>1841.62</v>
      </c>
      <c r="J235" s="619">
        <v>2</v>
      </c>
      <c r="K235" s="619">
        <v>3683.24</v>
      </c>
      <c r="L235" s="619">
        <v>0.5</v>
      </c>
      <c r="M235" s="619">
        <v>1841.62</v>
      </c>
      <c r="N235" s="619">
        <v>4</v>
      </c>
      <c r="O235" s="619">
        <v>7366.48</v>
      </c>
      <c r="P235" s="640">
        <v>1</v>
      </c>
      <c r="Q235" s="620">
        <v>1841.62</v>
      </c>
    </row>
    <row r="236" spans="1:17" ht="14.4" customHeight="1" x14ac:dyDescent="0.3">
      <c r="A236" s="615" t="s">
        <v>5271</v>
      </c>
      <c r="B236" s="616" t="s">
        <v>4734</v>
      </c>
      <c r="C236" s="616" t="s">
        <v>4140</v>
      </c>
      <c r="D236" s="616" t="s">
        <v>5394</v>
      </c>
      <c r="E236" s="616" t="s">
        <v>5395</v>
      </c>
      <c r="F236" s="619">
        <v>1</v>
      </c>
      <c r="G236" s="619">
        <v>31629.82</v>
      </c>
      <c r="H236" s="619">
        <v>1</v>
      </c>
      <c r="I236" s="619">
        <v>31629.82</v>
      </c>
      <c r="J236" s="619"/>
      <c r="K236" s="619"/>
      <c r="L236" s="619"/>
      <c r="M236" s="619"/>
      <c r="N236" s="619"/>
      <c r="O236" s="619"/>
      <c r="P236" s="640"/>
      <c r="Q236" s="620"/>
    </row>
    <row r="237" spans="1:17" ht="14.4" customHeight="1" x14ac:dyDescent="0.3">
      <c r="A237" s="615" t="s">
        <v>5271</v>
      </c>
      <c r="B237" s="616" t="s">
        <v>4734</v>
      </c>
      <c r="C237" s="616" t="s">
        <v>4140</v>
      </c>
      <c r="D237" s="616" t="s">
        <v>5396</v>
      </c>
      <c r="E237" s="616" t="s">
        <v>5397</v>
      </c>
      <c r="F237" s="619">
        <v>1</v>
      </c>
      <c r="G237" s="619">
        <v>15954.82</v>
      </c>
      <c r="H237" s="619">
        <v>1</v>
      </c>
      <c r="I237" s="619">
        <v>15954.82</v>
      </c>
      <c r="J237" s="619"/>
      <c r="K237" s="619"/>
      <c r="L237" s="619"/>
      <c r="M237" s="619"/>
      <c r="N237" s="619"/>
      <c r="O237" s="619"/>
      <c r="P237" s="640"/>
      <c r="Q237" s="620"/>
    </row>
    <row r="238" spans="1:17" ht="14.4" customHeight="1" x14ac:dyDescent="0.3">
      <c r="A238" s="615" t="s">
        <v>5271</v>
      </c>
      <c r="B238" s="616" t="s">
        <v>4734</v>
      </c>
      <c r="C238" s="616" t="s">
        <v>4140</v>
      </c>
      <c r="D238" s="616" t="s">
        <v>5398</v>
      </c>
      <c r="E238" s="616" t="s">
        <v>5399</v>
      </c>
      <c r="F238" s="619">
        <v>1</v>
      </c>
      <c r="G238" s="619">
        <v>25375.88</v>
      </c>
      <c r="H238" s="619">
        <v>1</v>
      </c>
      <c r="I238" s="619">
        <v>25375.88</v>
      </c>
      <c r="J238" s="619">
        <v>1</v>
      </c>
      <c r="K238" s="619">
        <v>20300.7</v>
      </c>
      <c r="L238" s="619">
        <v>0.79999984236999855</v>
      </c>
      <c r="M238" s="619">
        <v>20300.7</v>
      </c>
      <c r="N238" s="619"/>
      <c r="O238" s="619"/>
      <c r="P238" s="640"/>
      <c r="Q238" s="620"/>
    </row>
    <row r="239" spans="1:17" ht="14.4" customHeight="1" x14ac:dyDescent="0.3">
      <c r="A239" s="615" t="s">
        <v>5271</v>
      </c>
      <c r="B239" s="616" t="s">
        <v>4734</v>
      </c>
      <c r="C239" s="616" t="s">
        <v>4140</v>
      </c>
      <c r="D239" s="616" t="s">
        <v>5400</v>
      </c>
      <c r="E239" s="616" t="s">
        <v>5401</v>
      </c>
      <c r="F239" s="619">
        <v>2</v>
      </c>
      <c r="G239" s="619">
        <v>52999.64</v>
      </c>
      <c r="H239" s="619">
        <v>1</v>
      </c>
      <c r="I239" s="619">
        <v>26499.82</v>
      </c>
      <c r="J239" s="619">
        <v>2</v>
      </c>
      <c r="K239" s="619">
        <v>52999.64</v>
      </c>
      <c r="L239" s="619">
        <v>1</v>
      </c>
      <c r="M239" s="619">
        <v>26499.82</v>
      </c>
      <c r="N239" s="619"/>
      <c r="O239" s="619"/>
      <c r="P239" s="640"/>
      <c r="Q239" s="620"/>
    </row>
    <row r="240" spans="1:17" ht="14.4" customHeight="1" x14ac:dyDescent="0.3">
      <c r="A240" s="615" t="s">
        <v>5271</v>
      </c>
      <c r="B240" s="616" t="s">
        <v>4734</v>
      </c>
      <c r="C240" s="616" t="s">
        <v>4140</v>
      </c>
      <c r="D240" s="616" t="s">
        <v>5402</v>
      </c>
      <c r="E240" s="616" t="s">
        <v>5403</v>
      </c>
      <c r="F240" s="619">
        <v>1</v>
      </c>
      <c r="G240" s="619">
        <v>79864.77</v>
      </c>
      <c r="H240" s="619">
        <v>1</v>
      </c>
      <c r="I240" s="619">
        <v>79864.77</v>
      </c>
      <c r="J240" s="619"/>
      <c r="K240" s="619"/>
      <c r="L240" s="619"/>
      <c r="M240" s="619"/>
      <c r="N240" s="619"/>
      <c r="O240" s="619"/>
      <c r="P240" s="640"/>
      <c r="Q240" s="620"/>
    </row>
    <row r="241" spans="1:17" ht="14.4" customHeight="1" x14ac:dyDescent="0.3">
      <c r="A241" s="615" t="s">
        <v>5271</v>
      </c>
      <c r="B241" s="616" t="s">
        <v>4734</v>
      </c>
      <c r="C241" s="616" t="s">
        <v>4140</v>
      </c>
      <c r="D241" s="616" t="s">
        <v>5404</v>
      </c>
      <c r="E241" s="616" t="s">
        <v>5405</v>
      </c>
      <c r="F241" s="619">
        <v>1</v>
      </c>
      <c r="G241" s="619">
        <v>122627</v>
      </c>
      <c r="H241" s="619">
        <v>1</v>
      </c>
      <c r="I241" s="619">
        <v>122627</v>
      </c>
      <c r="J241" s="619"/>
      <c r="K241" s="619"/>
      <c r="L241" s="619"/>
      <c r="M241" s="619"/>
      <c r="N241" s="619"/>
      <c r="O241" s="619"/>
      <c r="P241" s="640"/>
      <c r="Q241" s="620"/>
    </row>
    <row r="242" spans="1:17" ht="14.4" customHeight="1" x14ac:dyDescent="0.3">
      <c r="A242" s="615" t="s">
        <v>5271</v>
      </c>
      <c r="B242" s="616" t="s">
        <v>4734</v>
      </c>
      <c r="C242" s="616" t="s">
        <v>4140</v>
      </c>
      <c r="D242" s="616" t="s">
        <v>5404</v>
      </c>
      <c r="E242" s="616" t="s">
        <v>5406</v>
      </c>
      <c r="F242" s="619">
        <v>1</v>
      </c>
      <c r="G242" s="619">
        <v>122627</v>
      </c>
      <c r="H242" s="619">
        <v>1</v>
      </c>
      <c r="I242" s="619">
        <v>122627</v>
      </c>
      <c r="J242" s="619"/>
      <c r="K242" s="619"/>
      <c r="L242" s="619"/>
      <c r="M242" s="619"/>
      <c r="N242" s="619"/>
      <c r="O242" s="619"/>
      <c r="P242" s="640"/>
      <c r="Q242" s="620"/>
    </row>
    <row r="243" spans="1:17" ht="14.4" customHeight="1" x14ac:dyDescent="0.3">
      <c r="A243" s="615" t="s">
        <v>5271</v>
      </c>
      <c r="B243" s="616" t="s">
        <v>4734</v>
      </c>
      <c r="C243" s="616" t="s">
        <v>4140</v>
      </c>
      <c r="D243" s="616" t="s">
        <v>5407</v>
      </c>
      <c r="E243" s="616" t="s">
        <v>5408</v>
      </c>
      <c r="F243" s="619">
        <v>2</v>
      </c>
      <c r="G243" s="619">
        <v>148822</v>
      </c>
      <c r="H243" s="619">
        <v>1</v>
      </c>
      <c r="I243" s="619">
        <v>74411</v>
      </c>
      <c r="J243" s="619"/>
      <c r="K243" s="619"/>
      <c r="L243" s="619"/>
      <c r="M243" s="619"/>
      <c r="N243" s="619"/>
      <c r="O243" s="619"/>
      <c r="P243" s="640"/>
      <c r="Q243" s="620"/>
    </row>
    <row r="244" spans="1:17" ht="14.4" customHeight="1" x14ac:dyDescent="0.3">
      <c r="A244" s="615" t="s">
        <v>5271</v>
      </c>
      <c r="B244" s="616" t="s">
        <v>4734</v>
      </c>
      <c r="C244" s="616" t="s">
        <v>4140</v>
      </c>
      <c r="D244" s="616" t="s">
        <v>5407</v>
      </c>
      <c r="E244" s="616" t="s">
        <v>5409</v>
      </c>
      <c r="F244" s="619">
        <v>2</v>
      </c>
      <c r="G244" s="619">
        <v>148822</v>
      </c>
      <c r="H244" s="619">
        <v>1</v>
      </c>
      <c r="I244" s="619">
        <v>74411</v>
      </c>
      <c r="J244" s="619">
        <v>3</v>
      </c>
      <c r="K244" s="619">
        <v>223233</v>
      </c>
      <c r="L244" s="619">
        <v>1.5</v>
      </c>
      <c r="M244" s="619">
        <v>74411</v>
      </c>
      <c r="N244" s="619"/>
      <c r="O244" s="619"/>
      <c r="P244" s="640"/>
      <c r="Q244" s="620"/>
    </row>
    <row r="245" spans="1:17" ht="14.4" customHeight="1" x14ac:dyDescent="0.3">
      <c r="A245" s="615" t="s">
        <v>5271</v>
      </c>
      <c r="B245" s="616" t="s">
        <v>4734</v>
      </c>
      <c r="C245" s="616" t="s">
        <v>4140</v>
      </c>
      <c r="D245" s="616" t="s">
        <v>5410</v>
      </c>
      <c r="E245" s="616" t="s">
        <v>5411</v>
      </c>
      <c r="F245" s="619"/>
      <c r="G245" s="619"/>
      <c r="H245" s="619"/>
      <c r="I245" s="619"/>
      <c r="J245" s="619">
        <v>1</v>
      </c>
      <c r="K245" s="619">
        <v>13065.54</v>
      </c>
      <c r="L245" s="619"/>
      <c r="M245" s="619">
        <v>13065.54</v>
      </c>
      <c r="N245" s="619"/>
      <c r="O245" s="619"/>
      <c r="P245" s="640"/>
      <c r="Q245" s="620"/>
    </row>
    <row r="246" spans="1:17" ht="14.4" customHeight="1" x14ac:dyDescent="0.3">
      <c r="A246" s="615" t="s">
        <v>5271</v>
      </c>
      <c r="B246" s="616" t="s">
        <v>4734</v>
      </c>
      <c r="C246" s="616" t="s">
        <v>4140</v>
      </c>
      <c r="D246" s="616" t="s">
        <v>5412</v>
      </c>
      <c r="E246" s="616" t="s">
        <v>5413</v>
      </c>
      <c r="F246" s="619">
        <v>2</v>
      </c>
      <c r="G246" s="619">
        <v>8720</v>
      </c>
      <c r="H246" s="619">
        <v>1</v>
      </c>
      <c r="I246" s="619">
        <v>4360</v>
      </c>
      <c r="J246" s="619">
        <v>5</v>
      </c>
      <c r="K246" s="619">
        <v>21800</v>
      </c>
      <c r="L246" s="619">
        <v>2.5</v>
      </c>
      <c r="M246" s="619">
        <v>4360</v>
      </c>
      <c r="N246" s="619">
        <v>20</v>
      </c>
      <c r="O246" s="619">
        <v>87200</v>
      </c>
      <c r="P246" s="640">
        <v>10</v>
      </c>
      <c r="Q246" s="620">
        <v>4360</v>
      </c>
    </row>
    <row r="247" spans="1:17" ht="14.4" customHeight="1" x14ac:dyDescent="0.3">
      <c r="A247" s="615" t="s">
        <v>5271</v>
      </c>
      <c r="B247" s="616" t="s">
        <v>4734</v>
      </c>
      <c r="C247" s="616" t="s">
        <v>4140</v>
      </c>
      <c r="D247" s="616" t="s">
        <v>5414</v>
      </c>
      <c r="E247" s="616" t="s">
        <v>5415</v>
      </c>
      <c r="F247" s="619"/>
      <c r="G247" s="619"/>
      <c r="H247" s="619"/>
      <c r="I247" s="619"/>
      <c r="J247" s="619"/>
      <c r="K247" s="619"/>
      <c r="L247" s="619"/>
      <c r="M247" s="619"/>
      <c r="N247" s="619">
        <v>1</v>
      </c>
      <c r="O247" s="619">
        <v>19969</v>
      </c>
      <c r="P247" s="640"/>
      <c r="Q247" s="620">
        <v>19969</v>
      </c>
    </row>
    <row r="248" spans="1:17" ht="14.4" customHeight="1" x14ac:dyDescent="0.3">
      <c r="A248" s="615" t="s">
        <v>5271</v>
      </c>
      <c r="B248" s="616" t="s">
        <v>4734</v>
      </c>
      <c r="C248" s="616" t="s">
        <v>4140</v>
      </c>
      <c r="D248" s="616" t="s">
        <v>5416</v>
      </c>
      <c r="E248" s="616" t="s">
        <v>5417</v>
      </c>
      <c r="F248" s="619">
        <v>4</v>
      </c>
      <c r="G248" s="619">
        <v>132501.04</v>
      </c>
      <c r="H248" s="619">
        <v>1</v>
      </c>
      <c r="I248" s="619">
        <v>33125.26</v>
      </c>
      <c r="J248" s="619">
        <v>1</v>
      </c>
      <c r="K248" s="619">
        <v>33125.26</v>
      </c>
      <c r="L248" s="619">
        <v>0.25</v>
      </c>
      <c r="M248" s="619">
        <v>33125.26</v>
      </c>
      <c r="N248" s="619">
        <v>3</v>
      </c>
      <c r="O248" s="619">
        <v>79500.63</v>
      </c>
      <c r="P248" s="640">
        <v>0.60000004528266349</v>
      </c>
      <c r="Q248" s="620">
        <v>26500.210000000003</v>
      </c>
    </row>
    <row r="249" spans="1:17" ht="14.4" customHeight="1" x14ac:dyDescent="0.3">
      <c r="A249" s="615" t="s">
        <v>5271</v>
      </c>
      <c r="B249" s="616" t="s">
        <v>4734</v>
      </c>
      <c r="C249" s="616" t="s">
        <v>4140</v>
      </c>
      <c r="D249" s="616" t="s">
        <v>5418</v>
      </c>
      <c r="E249" s="616" t="s">
        <v>5419</v>
      </c>
      <c r="F249" s="619">
        <v>1</v>
      </c>
      <c r="G249" s="619">
        <v>380.86</v>
      </c>
      <c r="H249" s="619">
        <v>1</v>
      </c>
      <c r="I249" s="619">
        <v>380.86</v>
      </c>
      <c r="J249" s="619">
        <v>2</v>
      </c>
      <c r="K249" s="619">
        <v>761.72</v>
      </c>
      <c r="L249" s="619">
        <v>2</v>
      </c>
      <c r="M249" s="619">
        <v>380.86</v>
      </c>
      <c r="N249" s="619">
        <v>2</v>
      </c>
      <c r="O249" s="619">
        <v>761.72</v>
      </c>
      <c r="P249" s="640">
        <v>2</v>
      </c>
      <c r="Q249" s="620">
        <v>380.86</v>
      </c>
    </row>
    <row r="250" spans="1:17" ht="14.4" customHeight="1" x14ac:dyDescent="0.3">
      <c r="A250" s="615" t="s">
        <v>5271</v>
      </c>
      <c r="B250" s="616" t="s">
        <v>4734</v>
      </c>
      <c r="C250" s="616" t="s">
        <v>4140</v>
      </c>
      <c r="D250" s="616" t="s">
        <v>5420</v>
      </c>
      <c r="E250" s="616" t="s">
        <v>5421</v>
      </c>
      <c r="F250" s="619">
        <v>1</v>
      </c>
      <c r="G250" s="619">
        <v>38086.36</v>
      </c>
      <c r="H250" s="619">
        <v>1</v>
      </c>
      <c r="I250" s="619">
        <v>38086.36</v>
      </c>
      <c r="J250" s="619"/>
      <c r="K250" s="619"/>
      <c r="L250" s="619"/>
      <c r="M250" s="619"/>
      <c r="N250" s="619"/>
      <c r="O250" s="619"/>
      <c r="P250" s="640"/>
      <c r="Q250" s="620"/>
    </row>
    <row r="251" spans="1:17" ht="14.4" customHeight="1" x14ac:dyDescent="0.3">
      <c r="A251" s="615" t="s">
        <v>5271</v>
      </c>
      <c r="B251" s="616" t="s">
        <v>4734</v>
      </c>
      <c r="C251" s="616" t="s">
        <v>4140</v>
      </c>
      <c r="D251" s="616" t="s">
        <v>5422</v>
      </c>
      <c r="E251" s="616" t="s">
        <v>5423</v>
      </c>
      <c r="F251" s="619">
        <v>3</v>
      </c>
      <c r="G251" s="619">
        <v>9535.89</v>
      </c>
      <c r="H251" s="619">
        <v>1</v>
      </c>
      <c r="I251" s="619">
        <v>3178.6299999999997</v>
      </c>
      <c r="J251" s="619">
        <v>10</v>
      </c>
      <c r="K251" s="619">
        <v>31786.3</v>
      </c>
      <c r="L251" s="619">
        <v>3.3333333333333335</v>
      </c>
      <c r="M251" s="619">
        <v>3178.63</v>
      </c>
      <c r="N251" s="619">
        <v>1</v>
      </c>
      <c r="O251" s="619">
        <v>3178.63</v>
      </c>
      <c r="P251" s="640">
        <v>0.33333333333333337</v>
      </c>
      <c r="Q251" s="620">
        <v>3178.63</v>
      </c>
    </row>
    <row r="252" spans="1:17" ht="14.4" customHeight="1" x14ac:dyDescent="0.3">
      <c r="A252" s="615" t="s">
        <v>5271</v>
      </c>
      <c r="B252" s="616" t="s">
        <v>4734</v>
      </c>
      <c r="C252" s="616" t="s">
        <v>4140</v>
      </c>
      <c r="D252" s="616" t="s">
        <v>5424</v>
      </c>
      <c r="E252" s="616" t="s">
        <v>5425</v>
      </c>
      <c r="F252" s="619"/>
      <c r="G252" s="619"/>
      <c r="H252" s="619"/>
      <c r="I252" s="619"/>
      <c r="J252" s="619">
        <v>1</v>
      </c>
      <c r="K252" s="619">
        <v>114255.88</v>
      </c>
      <c r="L252" s="619"/>
      <c r="M252" s="619">
        <v>114255.88</v>
      </c>
      <c r="N252" s="619"/>
      <c r="O252" s="619"/>
      <c r="P252" s="640"/>
      <c r="Q252" s="620"/>
    </row>
    <row r="253" spans="1:17" ht="14.4" customHeight="1" x14ac:dyDescent="0.3">
      <c r="A253" s="615" t="s">
        <v>5271</v>
      </c>
      <c r="B253" s="616" t="s">
        <v>4734</v>
      </c>
      <c r="C253" s="616" t="s">
        <v>4140</v>
      </c>
      <c r="D253" s="616" t="s">
        <v>5426</v>
      </c>
      <c r="E253" s="616" t="s">
        <v>5427</v>
      </c>
      <c r="F253" s="619"/>
      <c r="G253" s="619"/>
      <c r="H253" s="619"/>
      <c r="I253" s="619"/>
      <c r="J253" s="619"/>
      <c r="K253" s="619"/>
      <c r="L253" s="619"/>
      <c r="M253" s="619"/>
      <c r="N253" s="619">
        <v>1</v>
      </c>
      <c r="O253" s="619">
        <v>17527.810000000001</v>
      </c>
      <c r="P253" s="640"/>
      <c r="Q253" s="620">
        <v>17527.810000000001</v>
      </c>
    </row>
    <row r="254" spans="1:17" ht="14.4" customHeight="1" x14ac:dyDescent="0.3">
      <c r="A254" s="615" t="s">
        <v>5271</v>
      </c>
      <c r="B254" s="616" t="s">
        <v>4734</v>
      </c>
      <c r="C254" s="616" t="s">
        <v>4140</v>
      </c>
      <c r="D254" s="616" t="s">
        <v>5428</v>
      </c>
      <c r="E254" s="616" t="s">
        <v>5429</v>
      </c>
      <c r="F254" s="619"/>
      <c r="G254" s="619"/>
      <c r="H254" s="619"/>
      <c r="I254" s="619"/>
      <c r="J254" s="619">
        <v>2</v>
      </c>
      <c r="K254" s="619">
        <v>620</v>
      </c>
      <c r="L254" s="619"/>
      <c r="M254" s="619">
        <v>310</v>
      </c>
      <c r="N254" s="619"/>
      <c r="O254" s="619"/>
      <c r="P254" s="640"/>
      <c r="Q254" s="620"/>
    </row>
    <row r="255" spans="1:17" ht="14.4" customHeight="1" x14ac:dyDescent="0.3">
      <c r="A255" s="615" t="s">
        <v>5271</v>
      </c>
      <c r="B255" s="616" t="s">
        <v>4734</v>
      </c>
      <c r="C255" s="616" t="s">
        <v>4140</v>
      </c>
      <c r="D255" s="616" t="s">
        <v>5430</v>
      </c>
      <c r="E255" s="616" t="s">
        <v>5431</v>
      </c>
      <c r="F255" s="619"/>
      <c r="G255" s="619"/>
      <c r="H255" s="619"/>
      <c r="I255" s="619"/>
      <c r="J255" s="619"/>
      <c r="K255" s="619"/>
      <c r="L255" s="619"/>
      <c r="M255" s="619"/>
      <c r="N255" s="619">
        <v>1</v>
      </c>
      <c r="O255" s="619">
        <v>33448</v>
      </c>
      <c r="P255" s="640"/>
      <c r="Q255" s="620">
        <v>33448</v>
      </c>
    </row>
    <row r="256" spans="1:17" ht="14.4" customHeight="1" x14ac:dyDescent="0.3">
      <c r="A256" s="615" t="s">
        <v>5271</v>
      </c>
      <c r="B256" s="616" t="s">
        <v>4734</v>
      </c>
      <c r="C256" s="616" t="s">
        <v>4140</v>
      </c>
      <c r="D256" s="616" t="s">
        <v>5432</v>
      </c>
      <c r="E256" s="616" t="s">
        <v>5433</v>
      </c>
      <c r="F256" s="619"/>
      <c r="G256" s="619"/>
      <c r="H256" s="619"/>
      <c r="I256" s="619"/>
      <c r="J256" s="619"/>
      <c r="K256" s="619"/>
      <c r="L256" s="619"/>
      <c r="M256" s="619"/>
      <c r="N256" s="619">
        <v>1</v>
      </c>
      <c r="O256" s="619">
        <v>44071.360000000001</v>
      </c>
      <c r="P256" s="640"/>
      <c r="Q256" s="620">
        <v>44071.360000000001</v>
      </c>
    </row>
    <row r="257" spans="1:17" ht="14.4" customHeight="1" x14ac:dyDescent="0.3">
      <c r="A257" s="615" t="s">
        <v>5271</v>
      </c>
      <c r="B257" s="616" t="s">
        <v>4734</v>
      </c>
      <c r="C257" s="616" t="s">
        <v>4140</v>
      </c>
      <c r="D257" s="616" t="s">
        <v>5434</v>
      </c>
      <c r="E257" s="616" t="s">
        <v>5435</v>
      </c>
      <c r="F257" s="619"/>
      <c r="G257" s="619"/>
      <c r="H257" s="619"/>
      <c r="I257" s="619"/>
      <c r="J257" s="619"/>
      <c r="K257" s="619"/>
      <c r="L257" s="619"/>
      <c r="M257" s="619"/>
      <c r="N257" s="619">
        <v>1</v>
      </c>
      <c r="O257" s="619">
        <v>34650</v>
      </c>
      <c r="P257" s="640"/>
      <c r="Q257" s="620">
        <v>34650</v>
      </c>
    </row>
    <row r="258" spans="1:17" ht="14.4" customHeight="1" x14ac:dyDescent="0.3">
      <c r="A258" s="615" t="s">
        <v>5271</v>
      </c>
      <c r="B258" s="616" t="s">
        <v>4734</v>
      </c>
      <c r="C258" s="616" t="s">
        <v>4140</v>
      </c>
      <c r="D258" s="616" t="s">
        <v>5436</v>
      </c>
      <c r="E258" s="616" t="s">
        <v>5437</v>
      </c>
      <c r="F258" s="619"/>
      <c r="G258" s="619"/>
      <c r="H258" s="619"/>
      <c r="I258" s="619"/>
      <c r="J258" s="619"/>
      <c r="K258" s="619"/>
      <c r="L258" s="619"/>
      <c r="M258" s="619"/>
      <c r="N258" s="619">
        <v>1</v>
      </c>
      <c r="O258" s="619">
        <v>1261.46</v>
      </c>
      <c r="P258" s="640"/>
      <c r="Q258" s="620">
        <v>1261.46</v>
      </c>
    </row>
    <row r="259" spans="1:17" ht="14.4" customHeight="1" x14ac:dyDescent="0.3">
      <c r="A259" s="615" t="s">
        <v>5271</v>
      </c>
      <c r="B259" s="616" t="s">
        <v>4734</v>
      </c>
      <c r="C259" s="616" t="s">
        <v>4140</v>
      </c>
      <c r="D259" s="616" t="s">
        <v>5438</v>
      </c>
      <c r="E259" s="616" t="s">
        <v>5439</v>
      </c>
      <c r="F259" s="619"/>
      <c r="G259" s="619"/>
      <c r="H259" s="619"/>
      <c r="I259" s="619"/>
      <c r="J259" s="619"/>
      <c r="K259" s="619"/>
      <c r="L259" s="619"/>
      <c r="M259" s="619"/>
      <c r="N259" s="619">
        <v>1</v>
      </c>
      <c r="O259" s="619">
        <v>2746.99</v>
      </c>
      <c r="P259" s="640"/>
      <c r="Q259" s="620">
        <v>2746.99</v>
      </c>
    </row>
    <row r="260" spans="1:17" ht="14.4" customHeight="1" x14ac:dyDescent="0.3">
      <c r="A260" s="615" t="s">
        <v>5271</v>
      </c>
      <c r="B260" s="616" t="s">
        <v>4734</v>
      </c>
      <c r="C260" s="616" t="s">
        <v>3592</v>
      </c>
      <c r="D260" s="616" t="s">
        <v>5440</v>
      </c>
      <c r="E260" s="616" t="s">
        <v>5441</v>
      </c>
      <c r="F260" s="619"/>
      <c r="G260" s="619"/>
      <c r="H260" s="619"/>
      <c r="I260" s="619"/>
      <c r="J260" s="619">
        <v>1</v>
      </c>
      <c r="K260" s="619">
        <v>207</v>
      </c>
      <c r="L260" s="619"/>
      <c r="M260" s="619">
        <v>207</v>
      </c>
      <c r="N260" s="619">
        <v>1</v>
      </c>
      <c r="O260" s="619">
        <v>213</v>
      </c>
      <c r="P260" s="640"/>
      <c r="Q260" s="620">
        <v>213</v>
      </c>
    </row>
    <row r="261" spans="1:17" ht="14.4" customHeight="1" x14ac:dyDescent="0.3">
      <c r="A261" s="615" t="s">
        <v>5271</v>
      </c>
      <c r="B261" s="616" t="s">
        <v>4734</v>
      </c>
      <c r="C261" s="616" t="s">
        <v>3592</v>
      </c>
      <c r="D261" s="616" t="s">
        <v>5442</v>
      </c>
      <c r="E261" s="616" t="s">
        <v>5443</v>
      </c>
      <c r="F261" s="619">
        <v>2</v>
      </c>
      <c r="G261" s="619">
        <v>302</v>
      </c>
      <c r="H261" s="619">
        <v>1</v>
      </c>
      <c r="I261" s="619">
        <v>151</v>
      </c>
      <c r="J261" s="619">
        <v>2</v>
      </c>
      <c r="K261" s="619">
        <v>302</v>
      </c>
      <c r="L261" s="619">
        <v>1</v>
      </c>
      <c r="M261" s="619">
        <v>151</v>
      </c>
      <c r="N261" s="619">
        <v>3</v>
      </c>
      <c r="O261" s="619">
        <v>465</v>
      </c>
      <c r="P261" s="640">
        <v>1.5397350993377483</v>
      </c>
      <c r="Q261" s="620">
        <v>155</v>
      </c>
    </row>
    <row r="262" spans="1:17" ht="14.4" customHeight="1" x14ac:dyDescent="0.3">
      <c r="A262" s="615" t="s">
        <v>5271</v>
      </c>
      <c r="B262" s="616" t="s">
        <v>4734</v>
      </c>
      <c r="C262" s="616" t="s">
        <v>3592</v>
      </c>
      <c r="D262" s="616" t="s">
        <v>5444</v>
      </c>
      <c r="E262" s="616" t="s">
        <v>5445</v>
      </c>
      <c r="F262" s="619">
        <v>3</v>
      </c>
      <c r="G262" s="619">
        <v>549</v>
      </c>
      <c r="H262" s="619">
        <v>1</v>
      </c>
      <c r="I262" s="619">
        <v>183</v>
      </c>
      <c r="J262" s="619">
        <v>2</v>
      </c>
      <c r="K262" s="619">
        <v>366</v>
      </c>
      <c r="L262" s="619">
        <v>0.66666666666666663</v>
      </c>
      <c r="M262" s="619">
        <v>183</v>
      </c>
      <c r="N262" s="619">
        <v>3</v>
      </c>
      <c r="O262" s="619">
        <v>561</v>
      </c>
      <c r="P262" s="640">
        <v>1.0218579234972678</v>
      </c>
      <c r="Q262" s="620">
        <v>187</v>
      </c>
    </row>
    <row r="263" spans="1:17" ht="14.4" customHeight="1" x14ac:dyDescent="0.3">
      <c r="A263" s="615" t="s">
        <v>5271</v>
      </c>
      <c r="B263" s="616" t="s">
        <v>4734</v>
      </c>
      <c r="C263" s="616" t="s">
        <v>3592</v>
      </c>
      <c r="D263" s="616" t="s">
        <v>5446</v>
      </c>
      <c r="E263" s="616" t="s">
        <v>5447</v>
      </c>
      <c r="F263" s="619">
        <v>39</v>
      </c>
      <c r="G263" s="619">
        <v>4870</v>
      </c>
      <c r="H263" s="619">
        <v>1</v>
      </c>
      <c r="I263" s="619">
        <v>124.87179487179488</v>
      </c>
      <c r="J263" s="619">
        <v>33</v>
      </c>
      <c r="K263" s="619">
        <v>4125</v>
      </c>
      <c r="L263" s="619">
        <v>0.84702258726899382</v>
      </c>
      <c r="M263" s="619">
        <v>125</v>
      </c>
      <c r="N263" s="619">
        <v>57</v>
      </c>
      <c r="O263" s="619">
        <v>7296</v>
      </c>
      <c r="P263" s="640">
        <v>1.4981519507186858</v>
      </c>
      <c r="Q263" s="620">
        <v>128</v>
      </c>
    </row>
    <row r="264" spans="1:17" ht="14.4" customHeight="1" x14ac:dyDescent="0.3">
      <c r="A264" s="615" t="s">
        <v>5271</v>
      </c>
      <c r="B264" s="616" t="s">
        <v>4734</v>
      </c>
      <c r="C264" s="616" t="s">
        <v>3592</v>
      </c>
      <c r="D264" s="616" t="s">
        <v>5448</v>
      </c>
      <c r="E264" s="616" t="s">
        <v>5449</v>
      </c>
      <c r="F264" s="619">
        <v>77</v>
      </c>
      <c r="G264" s="619">
        <v>16764</v>
      </c>
      <c r="H264" s="619">
        <v>1</v>
      </c>
      <c r="I264" s="619">
        <v>217.71428571428572</v>
      </c>
      <c r="J264" s="619">
        <v>93</v>
      </c>
      <c r="K264" s="619">
        <v>20367</v>
      </c>
      <c r="L264" s="619">
        <v>1.2149248389405869</v>
      </c>
      <c r="M264" s="619">
        <v>219</v>
      </c>
      <c r="N264" s="619">
        <v>133</v>
      </c>
      <c r="O264" s="619">
        <v>29659</v>
      </c>
      <c r="P264" s="640">
        <v>1.7692078262944404</v>
      </c>
      <c r="Q264" s="620">
        <v>223</v>
      </c>
    </row>
    <row r="265" spans="1:17" ht="14.4" customHeight="1" x14ac:dyDescent="0.3">
      <c r="A265" s="615" t="s">
        <v>5271</v>
      </c>
      <c r="B265" s="616" t="s">
        <v>4734</v>
      </c>
      <c r="C265" s="616" t="s">
        <v>3592</v>
      </c>
      <c r="D265" s="616" t="s">
        <v>5450</v>
      </c>
      <c r="E265" s="616" t="s">
        <v>5451</v>
      </c>
      <c r="F265" s="619"/>
      <c r="G265" s="619"/>
      <c r="H265" s="619"/>
      <c r="I265" s="619"/>
      <c r="J265" s="619">
        <v>1</v>
      </c>
      <c r="K265" s="619">
        <v>219</v>
      </c>
      <c r="L265" s="619"/>
      <c r="M265" s="619">
        <v>219</v>
      </c>
      <c r="N265" s="619"/>
      <c r="O265" s="619"/>
      <c r="P265" s="640"/>
      <c r="Q265" s="620"/>
    </row>
    <row r="266" spans="1:17" ht="14.4" customHeight="1" x14ac:dyDescent="0.3">
      <c r="A266" s="615" t="s">
        <v>5271</v>
      </c>
      <c r="B266" s="616" t="s">
        <v>4734</v>
      </c>
      <c r="C266" s="616" t="s">
        <v>3592</v>
      </c>
      <c r="D266" s="616" t="s">
        <v>5452</v>
      </c>
      <c r="E266" s="616" t="s">
        <v>5453</v>
      </c>
      <c r="F266" s="619">
        <v>69</v>
      </c>
      <c r="G266" s="619">
        <v>15168</v>
      </c>
      <c r="H266" s="619">
        <v>1</v>
      </c>
      <c r="I266" s="619">
        <v>219.82608695652175</v>
      </c>
      <c r="J266" s="619">
        <v>94</v>
      </c>
      <c r="K266" s="619">
        <v>20774</v>
      </c>
      <c r="L266" s="619">
        <v>1.3695938818565401</v>
      </c>
      <c r="M266" s="619">
        <v>221</v>
      </c>
      <c r="N266" s="619">
        <v>81</v>
      </c>
      <c r="O266" s="619">
        <v>18225</v>
      </c>
      <c r="P266" s="640">
        <v>1.2015427215189873</v>
      </c>
      <c r="Q266" s="620">
        <v>225</v>
      </c>
    </row>
    <row r="267" spans="1:17" ht="14.4" customHeight="1" x14ac:dyDescent="0.3">
      <c r="A267" s="615" t="s">
        <v>5271</v>
      </c>
      <c r="B267" s="616" t="s">
        <v>4734</v>
      </c>
      <c r="C267" s="616" t="s">
        <v>3592</v>
      </c>
      <c r="D267" s="616" t="s">
        <v>5454</v>
      </c>
      <c r="E267" s="616" t="s">
        <v>5455</v>
      </c>
      <c r="F267" s="619">
        <v>19</v>
      </c>
      <c r="G267" s="619">
        <v>11625</v>
      </c>
      <c r="H267" s="619">
        <v>1</v>
      </c>
      <c r="I267" s="619">
        <v>611.84210526315792</v>
      </c>
      <c r="J267" s="619">
        <v>15</v>
      </c>
      <c r="K267" s="619">
        <v>9195</v>
      </c>
      <c r="L267" s="619">
        <v>0.79096774193548391</v>
      </c>
      <c r="M267" s="619">
        <v>613</v>
      </c>
      <c r="N267" s="619">
        <v>4</v>
      </c>
      <c r="O267" s="619">
        <v>2500</v>
      </c>
      <c r="P267" s="640">
        <v>0.21505376344086022</v>
      </c>
      <c r="Q267" s="620">
        <v>625</v>
      </c>
    </row>
    <row r="268" spans="1:17" ht="14.4" customHeight="1" x14ac:dyDescent="0.3">
      <c r="A268" s="615" t="s">
        <v>5271</v>
      </c>
      <c r="B268" s="616" t="s">
        <v>4734</v>
      </c>
      <c r="C268" s="616" t="s">
        <v>3592</v>
      </c>
      <c r="D268" s="616" t="s">
        <v>5456</v>
      </c>
      <c r="E268" s="616" t="s">
        <v>5457</v>
      </c>
      <c r="F268" s="619"/>
      <c r="G268" s="619"/>
      <c r="H268" s="619"/>
      <c r="I268" s="619"/>
      <c r="J268" s="619">
        <v>1</v>
      </c>
      <c r="K268" s="619">
        <v>1026</v>
      </c>
      <c r="L268" s="619"/>
      <c r="M268" s="619">
        <v>1026</v>
      </c>
      <c r="N268" s="619"/>
      <c r="O268" s="619"/>
      <c r="P268" s="640"/>
      <c r="Q268" s="620"/>
    </row>
    <row r="269" spans="1:17" ht="14.4" customHeight="1" x14ac:dyDescent="0.3">
      <c r="A269" s="615" t="s">
        <v>5271</v>
      </c>
      <c r="B269" s="616" t="s">
        <v>4734</v>
      </c>
      <c r="C269" s="616" t="s">
        <v>3592</v>
      </c>
      <c r="D269" s="616" t="s">
        <v>4735</v>
      </c>
      <c r="E269" s="616" t="s">
        <v>4736</v>
      </c>
      <c r="F269" s="619"/>
      <c r="G269" s="619"/>
      <c r="H269" s="619"/>
      <c r="I269" s="619"/>
      <c r="J269" s="619">
        <v>1</v>
      </c>
      <c r="K269" s="619">
        <v>259</v>
      </c>
      <c r="L269" s="619"/>
      <c r="M269" s="619">
        <v>259</v>
      </c>
      <c r="N269" s="619"/>
      <c r="O269" s="619"/>
      <c r="P269" s="640"/>
      <c r="Q269" s="620"/>
    </row>
    <row r="270" spans="1:17" ht="14.4" customHeight="1" x14ac:dyDescent="0.3">
      <c r="A270" s="615" t="s">
        <v>5271</v>
      </c>
      <c r="B270" s="616" t="s">
        <v>4734</v>
      </c>
      <c r="C270" s="616" t="s">
        <v>3592</v>
      </c>
      <c r="D270" s="616" t="s">
        <v>4737</v>
      </c>
      <c r="E270" s="616" t="s">
        <v>4738</v>
      </c>
      <c r="F270" s="619">
        <v>5</v>
      </c>
      <c r="G270" s="619">
        <v>1639</v>
      </c>
      <c r="H270" s="619">
        <v>1</v>
      </c>
      <c r="I270" s="619">
        <v>327.8</v>
      </c>
      <c r="J270" s="619"/>
      <c r="K270" s="619"/>
      <c r="L270" s="619"/>
      <c r="M270" s="619"/>
      <c r="N270" s="619"/>
      <c r="O270" s="619"/>
      <c r="P270" s="640"/>
      <c r="Q270" s="620"/>
    </row>
    <row r="271" spans="1:17" ht="14.4" customHeight="1" x14ac:dyDescent="0.3">
      <c r="A271" s="615" t="s">
        <v>5271</v>
      </c>
      <c r="B271" s="616" t="s">
        <v>4734</v>
      </c>
      <c r="C271" s="616" t="s">
        <v>3592</v>
      </c>
      <c r="D271" s="616" t="s">
        <v>5458</v>
      </c>
      <c r="E271" s="616" t="s">
        <v>5459</v>
      </c>
      <c r="F271" s="619">
        <v>1</v>
      </c>
      <c r="G271" s="619">
        <v>13717</v>
      </c>
      <c r="H271" s="619">
        <v>1</v>
      </c>
      <c r="I271" s="619">
        <v>13717</v>
      </c>
      <c r="J271" s="619"/>
      <c r="K271" s="619"/>
      <c r="L271" s="619"/>
      <c r="M271" s="619"/>
      <c r="N271" s="619"/>
      <c r="O271" s="619"/>
      <c r="P271" s="640"/>
      <c r="Q271" s="620"/>
    </row>
    <row r="272" spans="1:17" ht="14.4" customHeight="1" x14ac:dyDescent="0.3">
      <c r="A272" s="615" t="s">
        <v>5271</v>
      </c>
      <c r="B272" s="616" t="s">
        <v>4734</v>
      </c>
      <c r="C272" s="616" t="s">
        <v>3592</v>
      </c>
      <c r="D272" s="616" t="s">
        <v>5460</v>
      </c>
      <c r="E272" s="616" t="s">
        <v>5461</v>
      </c>
      <c r="F272" s="619">
        <v>17</v>
      </c>
      <c r="G272" s="619">
        <v>70247</v>
      </c>
      <c r="H272" s="619">
        <v>1</v>
      </c>
      <c r="I272" s="619">
        <v>4132.1764705882351</v>
      </c>
      <c r="J272" s="619">
        <v>19</v>
      </c>
      <c r="K272" s="619">
        <v>78641</v>
      </c>
      <c r="L272" s="619">
        <v>1.1194926473728415</v>
      </c>
      <c r="M272" s="619">
        <v>4139</v>
      </c>
      <c r="N272" s="619">
        <v>13</v>
      </c>
      <c r="O272" s="619">
        <v>54132</v>
      </c>
      <c r="P272" s="640">
        <v>0.77059518555952566</v>
      </c>
      <c r="Q272" s="620">
        <v>4164</v>
      </c>
    </row>
    <row r="273" spans="1:17" ht="14.4" customHeight="1" x14ac:dyDescent="0.3">
      <c r="A273" s="615" t="s">
        <v>5271</v>
      </c>
      <c r="B273" s="616" t="s">
        <v>4734</v>
      </c>
      <c r="C273" s="616" t="s">
        <v>3592</v>
      </c>
      <c r="D273" s="616" t="s">
        <v>4739</v>
      </c>
      <c r="E273" s="616" t="s">
        <v>4740</v>
      </c>
      <c r="F273" s="619">
        <v>5</v>
      </c>
      <c r="G273" s="619">
        <v>1394</v>
      </c>
      <c r="H273" s="619">
        <v>1</v>
      </c>
      <c r="I273" s="619">
        <v>278.8</v>
      </c>
      <c r="J273" s="619">
        <v>5</v>
      </c>
      <c r="K273" s="619">
        <v>1395</v>
      </c>
      <c r="L273" s="619">
        <v>1.0007173601147776</v>
      </c>
      <c r="M273" s="619">
        <v>279</v>
      </c>
      <c r="N273" s="619">
        <v>3</v>
      </c>
      <c r="O273" s="619">
        <v>849</v>
      </c>
      <c r="P273" s="640">
        <v>0.60903873744619796</v>
      </c>
      <c r="Q273" s="620">
        <v>283</v>
      </c>
    </row>
    <row r="274" spans="1:17" ht="14.4" customHeight="1" x14ac:dyDescent="0.3">
      <c r="A274" s="615" t="s">
        <v>5271</v>
      </c>
      <c r="B274" s="616" t="s">
        <v>4734</v>
      </c>
      <c r="C274" s="616" t="s">
        <v>3592</v>
      </c>
      <c r="D274" s="616" t="s">
        <v>5462</v>
      </c>
      <c r="E274" s="616" t="s">
        <v>5463</v>
      </c>
      <c r="F274" s="619">
        <v>6</v>
      </c>
      <c r="G274" s="619">
        <v>37550</v>
      </c>
      <c r="H274" s="619">
        <v>1</v>
      </c>
      <c r="I274" s="619">
        <v>6258.333333333333</v>
      </c>
      <c r="J274" s="619">
        <v>2</v>
      </c>
      <c r="K274" s="619">
        <v>12528</v>
      </c>
      <c r="L274" s="619">
        <v>0.33363515312916114</v>
      </c>
      <c r="M274" s="619">
        <v>6264</v>
      </c>
      <c r="N274" s="619">
        <v>4</v>
      </c>
      <c r="O274" s="619">
        <v>25276</v>
      </c>
      <c r="P274" s="640">
        <v>0.67312916111850862</v>
      </c>
      <c r="Q274" s="620">
        <v>6319</v>
      </c>
    </row>
    <row r="275" spans="1:17" ht="14.4" customHeight="1" x14ac:dyDescent="0.3">
      <c r="A275" s="615" t="s">
        <v>5271</v>
      </c>
      <c r="B275" s="616" t="s">
        <v>4734</v>
      </c>
      <c r="C275" s="616" t="s">
        <v>3592</v>
      </c>
      <c r="D275" s="616" t="s">
        <v>5464</v>
      </c>
      <c r="E275" s="616" t="s">
        <v>5465</v>
      </c>
      <c r="F275" s="619">
        <v>4</v>
      </c>
      <c r="G275" s="619">
        <v>6076</v>
      </c>
      <c r="H275" s="619">
        <v>1</v>
      </c>
      <c r="I275" s="619">
        <v>1519</v>
      </c>
      <c r="J275" s="619">
        <v>2</v>
      </c>
      <c r="K275" s="619">
        <v>3054</v>
      </c>
      <c r="L275" s="619">
        <v>0.50263331138907175</v>
      </c>
      <c r="M275" s="619">
        <v>1527</v>
      </c>
      <c r="N275" s="619"/>
      <c r="O275" s="619"/>
      <c r="P275" s="640"/>
      <c r="Q275" s="620"/>
    </row>
    <row r="276" spans="1:17" ht="14.4" customHeight="1" x14ac:dyDescent="0.3">
      <c r="A276" s="615" t="s">
        <v>5271</v>
      </c>
      <c r="B276" s="616" t="s">
        <v>4734</v>
      </c>
      <c r="C276" s="616" t="s">
        <v>3592</v>
      </c>
      <c r="D276" s="616" t="s">
        <v>5466</v>
      </c>
      <c r="E276" s="616" t="s">
        <v>5467</v>
      </c>
      <c r="F276" s="619">
        <v>7</v>
      </c>
      <c r="G276" s="619">
        <v>105407</v>
      </c>
      <c r="H276" s="619">
        <v>1</v>
      </c>
      <c r="I276" s="619">
        <v>15058.142857142857</v>
      </c>
      <c r="J276" s="619">
        <v>3</v>
      </c>
      <c r="K276" s="619">
        <v>45216</v>
      </c>
      <c r="L276" s="619">
        <v>0.42896581820941682</v>
      </c>
      <c r="M276" s="619">
        <v>15072</v>
      </c>
      <c r="N276" s="619">
        <v>3</v>
      </c>
      <c r="O276" s="619">
        <v>45780</v>
      </c>
      <c r="P276" s="640">
        <v>0.4343165064938761</v>
      </c>
      <c r="Q276" s="620">
        <v>15260</v>
      </c>
    </row>
    <row r="277" spans="1:17" ht="14.4" customHeight="1" x14ac:dyDescent="0.3">
      <c r="A277" s="615" t="s">
        <v>5271</v>
      </c>
      <c r="B277" s="616" t="s">
        <v>4734</v>
      </c>
      <c r="C277" s="616" t="s">
        <v>3592</v>
      </c>
      <c r="D277" s="616" t="s">
        <v>5468</v>
      </c>
      <c r="E277" s="616" t="s">
        <v>5469</v>
      </c>
      <c r="F277" s="619">
        <v>72</v>
      </c>
      <c r="G277" s="619">
        <v>274944</v>
      </c>
      <c r="H277" s="619">
        <v>1</v>
      </c>
      <c r="I277" s="619">
        <v>3818.6666666666665</v>
      </c>
      <c r="J277" s="619">
        <v>66</v>
      </c>
      <c r="K277" s="619">
        <v>252384</v>
      </c>
      <c r="L277" s="619">
        <v>0.91794692737430172</v>
      </c>
      <c r="M277" s="619">
        <v>3824</v>
      </c>
      <c r="N277" s="619">
        <v>74</v>
      </c>
      <c r="O277" s="619">
        <v>285640</v>
      </c>
      <c r="P277" s="640">
        <v>1.0389024674115457</v>
      </c>
      <c r="Q277" s="620">
        <v>3860</v>
      </c>
    </row>
    <row r="278" spans="1:17" ht="14.4" customHeight="1" x14ac:dyDescent="0.3">
      <c r="A278" s="615" t="s">
        <v>5271</v>
      </c>
      <c r="B278" s="616" t="s">
        <v>4734</v>
      </c>
      <c r="C278" s="616" t="s">
        <v>3592</v>
      </c>
      <c r="D278" s="616" t="s">
        <v>5470</v>
      </c>
      <c r="E278" s="616" t="s">
        <v>5471</v>
      </c>
      <c r="F278" s="619">
        <v>12</v>
      </c>
      <c r="G278" s="619">
        <v>61872</v>
      </c>
      <c r="H278" s="619">
        <v>1</v>
      </c>
      <c r="I278" s="619">
        <v>5156</v>
      </c>
      <c r="J278" s="619">
        <v>3</v>
      </c>
      <c r="K278" s="619">
        <v>15486</v>
      </c>
      <c r="L278" s="619">
        <v>0.25029092319627616</v>
      </c>
      <c r="M278" s="619">
        <v>5162</v>
      </c>
      <c r="N278" s="619">
        <v>2</v>
      </c>
      <c r="O278" s="619">
        <v>10420</v>
      </c>
      <c r="P278" s="640">
        <v>0.16841220584432376</v>
      </c>
      <c r="Q278" s="620">
        <v>5210</v>
      </c>
    </row>
    <row r="279" spans="1:17" ht="14.4" customHeight="1" x14ac:dyDescent="0.3">
      <c r="A279" s="615" t="s">
        <v>5271</v>
      </c>
      <c r="B279" s="616" t="s">
        <v>4734</v>
      </c>
      <c r="C279" s="616" t="s">
        <v>3592</v>
      </c>
      <c r="D279" s="616" t="s">
        <v>5472</v>
      </c>
      <c r="E279" s="616" t="s">
        <v>5473</v>
      </c>
      <c r="F279" s="619">
        <v>45</v>
      </c>
      <c r="G279" s="619">
        <v>352952</v>
      </c>
      <c r="H279" s="619">
        <v>1</v>
      </c>
      <c r="I279" s="619">
        <v>7843.3777777777777</v>
      </c>
      <c r="J279" s="619">
        <v>31</v>
      </c>
      <c r="K279" s="619">
        <v>243443</v>
      </c>
      <c r="L279" s="619">
        <v>0.68973401482354546</v>
      </c>
      <c r="M279" s="619">
        <v>7853</v>
      </c>
      <c r="N279" s="619">
        <v>51</v>
      </c>
      <c r="O279" s="619">
        <v>404175</v>
      </c>
      <c r="P279" s="640">
        <v>1.1451273827602619</v>
      </c>
      <c r="Q279" s="620">
        <v>7925</v>
      </c>
    </row>
    <row r="280" spans="1:17" ht="14.4" customHeight="1" x14ac:dyDescent="0.3">
      <c r="A280" s="615" t="s">
        <v>5271</v>
      </c>
      <c r="B280" s="616" t="s">
        <v>4734</v>
      </c>
      <c r="C280" s="616" t="s">
        <v>3592</v>
      </c>
      <c r="D280" s="616" t="s">
        <v>5474</v>
      </c>
      <c r="E280" s="616" t="s">
        <v>5475</v>
      </c>
      <c r="F280" s="619">
        <v>1</v>
      </c>
      <c r="G280" s="619">
        <v>918</v>
      </c>
      <c r="H280" s="619">
        <v>1</v>
      </c>
      <c r="I280" s="619">
        <v>918</v>
      </c>
      <c r="J280" s="619"/>
      <c r="K280" s="619"/>
      <c r="L280" s="619"/>
      <c r="M280" s="619"/>
      <c r="N280" s="619"/>
      <c r="O280" s="619"/>
      <c r="P280" s="640"/>
      <c r="Q280" s="620"/>
    </row>
    <row r="281" spans="1:17" ht="14.4" customHeight="1" x14ac:dyDescent="0.3">
      <c r="A281" s="615" t="s">
        <v>5271</v>
      </c>
      <c r="B281" s="616" t="s">
        <v>4734</v>
      </c>
      <c r="C281" s="616" t="s">
        <v>3592</v>
      </c>
      <c r="D281" s="616" t="s">
        <v>5476</v>
      </c>
      <c r="E281" s="616" t="s">
        <v>5477</v>
      </c>
      <c r="F281" s="619">
        <v>6</v>
      </c>
      <c r="G281" s="619">
        <v>9972</v>
      </c>
      <c r="H281" s="619">
        <v>1</v>
      </c>
      <c r="I281" s="619">
        <v>1662</v>
      </c>
      <c r="J281" s="619">
        <v>1</v>
      </c>
      <c r="K281" s="619">
        <v>1666</v>
      </c>
      <c r="L281" s="619">
        <v>0.16706778981147213</v>
      </c>
      <c r="M281" s="619">
        <v>1666</v>
      </c>
      <c r="N281" s="619">
        <v>4</v>
      </c>
      <c r="O281" s="619">
        <v>6808</v>
      </c>
      <c r="P281" s="640">
        <v>0.68271159245888491</v>
      </c>
      <c r="Q281" s="620">
        <v>1702</v>
      </c>
    </row>
    <row r="282" spans="1:17" ht="14.4" customHeight="1" x14ac:dyDescent="0.3">
      <c r="A282" s="615" t="s">
        <v>5271</v>
      </c>
      <c r="B282" s="616" t="s">
        <v>4734</v>
      </c>
      <c r="C282" s="616" t="s">
        <v>3592</v>
      </c>
      <c r="D282" s="616" t="s">
        <v>5478</v>
      </c>
      <c r="E282" s="616" t="s">
        <v>5479</v>
      </c>
      <c r="F282" s="619"/>
      <c r="G282" s="619"/>
      <c r="H282" s="619"/>
      <c r="I282" s="619"/>
      <c r="J282" s="619">
        <v>1</v>
      </c>
      <c r="K282" s="619">
        <v>1046</v>
      </c>
      <c r="L282" s="619"/>
      <c r="M282" s="619">
        <v>1046</v>
      </c>
      <c r="N282" s="619"/>
      <c r="O282" s="619"/>
      <c r="P282" s="640"/>
      <c r="Q282" s="620"/>
    </row>
    <row r="283" spans="1:17" ht="14.4" customHeight="1" x14ac:dyDescent="0.3">
      <c r="A283" s="615" t="s">
        <v>5271</v>
      </c>
      <c r="B283" s="616" t="s">
        <v>4734</v>
      </c>
      <c r="C283" s="616" t="s">
        <v>3592</v>
      </c>
      <c r="D283" s="616" t="s">
        <v>5480</v>
      </c>
      <c r="E283" s="616" t="s">
        <v>5481</v>
      </c>
      <c r="F283" s="619">
        <v>61</v>
      </c>
      <c r="G283" s="619">
        <v>78038</v>
      </c>
      <c r="H283" s="619">
        <v>1</v>
      </c>
      <c r="I283" s="619">
        <v>1279.311475409836</v>
      </c>
      <c r="J283" s="619">
        <v>56</v>
      </c>
      <c r="K283" s="619">
        <v>71736</v>
      </c>
      <c r="L283" s="619">
        <v>0.91924447064250747</v>
      </c>
      <c r="M283" s="619">
        <v>1281</v>
      </c>
      <c r="N283" s="619">
        <v>56</v>
      </c>
      <c r="O283" s="619">
        <v>72408</v>
      </c>
      <c r="P283" s="640">
        <v>0.92785566006304621</v>
      </c>
      <c r="Q283" s="620">
        <v>1293</v>
      </c>
    </row>
    <row r="284" spans="1:17" ht="14.4" customHeight="1" x14ac:dyDescent="0.3">
      <c r="A284" s="615" t="s">
        <v>5271</v>
      </c>
      <c r="B284" s="616" t="s">
        <v>4734</v>
      </c>
      <c r="C284" s="616" t="s">
        <v>3592</v>
      </c>
      <c r="D284" s="616" t="s">
        <v>5482</v>
      </c>
      <c r="E284" s="616" t="s">
        <v>5483</v>
      </c>
      <c r="F284" s="619">
        <v>55</v>
      </c>
      <c r="G284" s="619">
        <v>64106</v>
      </c>
      <c r="H284" s="619">
        <v>1</v>
      </c>
      <c r="I284" s="619">
        <v>1165.5636363636363</v>
      </c>
      <c r="J284" s="619">
        <v>47</v>
      </c>
      <c r="K284" s="619">
        <v>54849</v>
      </c>
      <c r="L284" s="619">
        <v>0.8555985399182604</v>
      </c>
      <c r="M284" s="619">
        <v>1167</v>
      </c>
      <c r="N284" s="619">
        <v>43</v>
      </c>
      <c r="O284" s="619">
        <v>50611</v>
      </c>
      <c r="P284" s="640">
        <v>0.78948928337441115</v>
      </c>
      <c r="Q284" s="620">
        <v>1177</v>
      </c>
    </row>
    <row r="285" spans="1:17" ht="14.4" customHeight="1" x14ac:dyDescent="0.3">
      <c r="A285" s="615" t="s">
        <v>5271</v>
      </c>
      <c r="B285" s="616" t="s">
        <v>4734</v>
      </c>
      <c r="C285" s="616" t="s">
        <v>3592</v>
      </c>
      <c r="D285" s="616" t="s">
        <v>5484</v>
      </c>
      <c r="E285" s="616" t="s">
        <v>5485</v>
      </c>
      <c r="F285" s="619">
        <v>6</v>
      </c>
      <c r="G285" s="619">
        <v>30444</v>
      </c>
      <c r="H285" s="619">
        <v>1</v>
      </c>
      <c r="I285" s="619">
        <v>5074</v>
      </c>
      <c r="J285" s="619">
        <v>6</v>
      </c>
      <c r="K285" s="619">
        <v>30456</v>
      </c>
      <c r="L285" s="619">
        <v>1.0003941663381948</v>
      </c>
      <c r="M285" s="619">
        <v>5076</v>
      </c>
      <c r="N285" s="619">
        <v>9</v>
      </c>
      <c r="O285" s="619">
        <v>46413</v>
      </c>
      <c r="P285" s="640">
        <v>1.5245368545526212</v>
      </c>
      <c r="Q285" s="620">
        <v>5157</v>
      </c>
    </row>
    <row r="286" spans="1:17" ht="14.4" customHeight="1" x14ac:dyDescent="0.3">
      <c r="A286" s="615" t="s">
        <v>5271</v>
      </c>
      <c r="B286" s="616" t="s">
        <v>4734</v>
      </c>
      <c r="C286" s="616" t="s">
        <v>3592</v>
      </c>
      <c r="D286" s="616" t="s">
        <v>5486</v>
      </c>
      <c r="E286" s="616" t="s">
        <v>5487</v>
      </c>
      <c r="F286" s="619"/>
      <c r="G286" s="619"/>
      <c r="H286" s="619"/>
      <c r="I286" s="619"/>
      <c r="J286" s="619"/>
      <c r="K286" s="619"/>
      <c r="L286" s="619"/>
      <c r="M286" s="619"/>
      <c r="N286" s="619">
        <v>1</v>
      </c>
      <c r="O286" s="619">
        <v>5620</v>
      </c>
      <c r="P286" s="640"/>
      <c r="Q286" s="620">
        <v>5620</v>
      </c>
    </row>
    <row r="287" spans="1:17" ht="14.4" customHeight="1" x14ac:dyDescent="0.3">
      <c r="A287" s="615" t="s">
        <v>5271</v>
      </c>
      <c r="B287" s="616" t="s">
        <v>4734</v>
      </c>
      <c r="C287" s="616" t="s">
        <v>3592</v>
      </c>
      <c r="D287" s="616" t="s">
        <v>5488</v>
      </c>
      <c r="E287" s="616" t="s">
        <v>5489</v>
      </c>
      <c r="F287" s="619">
        <v>4</v>
      </c>
      <c r="G287" s="619">
        <v>2996</v>
      </c>
      <c r="H287" s="619">
        <v>1</v>
      </c>
      <c r="I287" s="619">
        <v>749</v>
      </c>
      <c r="J287" s="619">
        <v>3</v>
      </c>
      <c r="K287" s="619">
        <v>2256</v>
      </c>
      <c r="L287" s="619">
        <v>0.75300400534045397</v>
      </c>
      <c r="M287" s="619">
        <v>752</v>
      </c>
      <c r="N287" s="619">
        <v>5</v>
      </c>
      <c r="O287" s="619">
        <v>4000</v>
      </c>
      <c r="P287" s="640">
        <v>1.3351134846461949</v>
      </c>
      <c r="Q287" s="620">
        <v>800</v>
      </c>
    </row>
    <row r="288" spans="1:17" ht="14.4" customHeight="1" x14ac:dyDescent="0.3">
      <c r="A288" s="615" t="s">
        <v>5271</v>
      </c>
      <c r="B288" s="616" t="s">
        <v>4734</v>
      </c>
      <c r="C288" s="616" t="s">
        <v>3592</v>
      </c>
      <c r="D288" s="616" t="s">
        <v>5490</v>
      </c>
      <c r="E288" s="616" t="s">
        <v>5491</v>
      </c>
      <c r="F288" s="619">
        <v>979</v>
      </c>
      <c r="G288" s="619">
        <v>170110</v>
      </c>
      <c r="H288" s="619">
        <v>1</v>
      </c>
      <c r="I288" s="619">
        <v>173.75893769152196</v>
      </c>
      <c r="J288" s="619">
        <v>891</v>
      </c>
      <c r="K288" s="619">
        <v>155925</v>
      </c>
      <c r="L288" s="619">
        <v>0.9166127799659044</v>
      </c>
      <c r="M288" s="619">
        <v>175</v>
      </c>
      <c r="N288" s="619">
        <v>975</v>
      </c>
      <c r="O288" s="619">
        <v>172575</v>
      </c>
      <c r="P288" s="640">
        <v>1.0144906237140674</v>
      </c>
      <c r="Q288" s="620">
        <v>177</v>
      </c>
    </row>
    <row r="289" spans="1:17" ht="14.4" customHeight="1" x14ac:dyDescent="0.3">
      <c r="A289" s="615" t="s">
        <v>5271</v>
      </c>
      <c r="B289" s="616" t="s">
        <v>4734</v>
      </c>
      <c r="C289" s="616" t="s">
        <v>3592</v>
      </c>
      <c r="D289" s="616" t="s">
        <v>5492</v>
      </c>
      <c r="E289" s="616" t="s">
        <v>5493</v>
      </c>
      <c r="F289" s="619">
        <v>60</v>
      </c>
      <c r="G289" s="619">
        <v>119910</v>
      </c>
      <c r="H289" s="619">
        <v>1</v>
      </c>
      <c r="I289" s="619">
        <v>1998.5</v>
      </c>
      <c r="J289" s="619">
        <v>68</v>
      </c>
      <c r="K289" s="619">
        <v>136068</v>
      </c>
      <c r="L289" s="619">
        <v>1.1347510632974731</v>
      </c>
      <c r="M289" s="619">
        <v>2001</v>
      </c>
      <c r="N289" s="619">
        <v>76</v>
      </c>
      <c r="O289" s="619">
        <v>155648</v>
      </c>
      <c r="P289" s="640">
        <v>1.2980401968142774</v>
      </c>
      <c r="Q289" s="620">
        <v>2048</v>
      </c>
    </row>
    <row r="290" spans="1:17" ht="14.4" customHeight="1" x14ac:dyDescent="0.3">
      <c r="A290" s="615" t="s">
        <v>5271</v>
      </c>
      <c r="B290" s="616" t="s">
        <v>4734</v>
      </c>
      <c r="C290" s="616" t="s">
        <v>3592</v>
      </c>
      <c r="D290" s="616" t="s">
        <v>5494</v>
      </c>
      <c r="E290" s="616" t="s">
        <v>5495</v>
      </c>
      <c r="F290" s="619">
        <v>1</v>
      </c>
      <c r="G290" s="619">
        <v>2695</v>
      </c>
      <c r="H290" s="619">
        <v>1</v>
      </c>
      <c r="I290" s="619">
        <v>2695</v>
      </c>
      <c r="J290" s="619">
        <v>3</v>
      </c>
      <c r="K290" s="619">
        <v>8088</v>
      </c>
      <c r="L290" s="619">
        <v>3.0011131725417441</v>
      </c>
      <c r="M290" s="619">
        <v>2696</v>
      </c>
      <c r="N290" s="619">
        <v>2</v>
      </c>
      <c r="O290" s="619">
        <v>5472</v>
      </c>
      <c r="P290" s="640">
        <v>2.0304267161410019</v>
      </c>
      <c r="Q290" s="620">
        <v>2736</v>
      </c>
    </row>
    <row r="291" spans="1:17" ht="14.4" customHeight="1" x14ac:dyDescent="0.3">
      <c r="A291" s="615" t="s">
        <v>5271</v>
      </c>
      <c r="B291" s="616" t="s">
        <v>4734</v>
      </c>
      <c r="C291" s="616" t="s">
        <v>3592</v>
      </c>
      <c r="D291" s="616" t="s">
        <v>5496</v>
      </c>
      <c r="E291" s="616" t="s">
        <v>5497</v>
      </c>
      <c r="F291" s="619">
        <v>2</v>
      </c>
      <c r="G291" s="619">
        <v>10366</v>
      </c>
      <c r="H291" s="619">
        <v>1</v>
      </c>
      <c r="I291" s="619">
        <v>5183</v>
      </c>
      <c r="J291" s="619">
        <v>1</v>
      </c>
      <c r="K291" s="619">
        <v>5188</v>
      </c>
      <c r="L291" s="619">
        <v>0.50048234613158404</v>
      </c>
      <c r="M291" s="619">
        <v>5188</v>
      </c>
      <c r="N291" s="619"/>
      <c r="O291" s="619"/>
      <c r="P291" s="640"/>
      <c r="Q291" s="620"/>
    </row>
    <row r="292" spans="1:17" ht="14.4" customHeight="1" x14ac:dyDescent="0.3">
      <c r="A292" s="615" t="s">
        <v>5271</v>
      </c>
      <c r="B292" s="616" t="s">
        <v>4734</v>
      </c>
      <c r="C292" s="616" t="s">
        <v>3592</v>
      </c>
      <c r="D292" s="616" t="s">
        <v>5498</v>
      </c>
      <c r="E292" s="616" t="s">
        <v>5499</v>
      </c>
      <c r="F292" s="619">
        <v>12</v>
      </c>
      <c r="G292" s="619">
        <v>7932</v>
      </c>
      <c r="H292" s="619">
        <v>1</v>
      </c>
      <c r="I292" s="619">
        <v>661</v>
      </c>
      <c r="J292" s="619">
        <v>11</v>
      </c>
      <c r="K292" s="619">
        <v>7282</v>
      </c>
      <c r="L292" s="619">
        <v>0.91805345436207764</v>
      </c>
      <c r="M292" s="619">
        <v>662</v>
      </c>
      <c r="N292" s="619">
        <v>3</v>
      </c>
      <c r="O292" s="619">
        <v>2022</v>
      </c>
      <c r="P292" s="640">
        <v>0.25491679273827533</v>
      </c>
      <c r="Q292" s="620">
        <v>674</v>
      </c>
    </row>
    <row r="293" spans="1:17" ht="14.4" customHeight="1" x14ac:dyDescent="0.3">
      <c r="A293" s="615" t="s">
        <v>5271</v>
      </c>
      <c r="B293" s="616" t="s">
        <v>4734</v>
      </c>
      <c r="C293" s="616" t="s">
        <v>3592</v>
      </c>
      <c r="D293" s="616" t="s">
        <v>5500</v>
      </c>
      <c r="E293" s="616" t="s">
        <v>5501</v>
      </c>
      <c r="F293" s="619">
        <v>8</v>
      </c>
      <c r="G293" s="619">
        <v>16638</v>
      </c>
      <c r="H293" s="619">
        <v>1</v>
      </c>
      <c r="I293" s="619">
        <v>2079.75</v>
      </c>
      <c r="J293" s="619">
        <v>12</v>
      </c>
      <c r="K293" s="619">
        <v>24984</v>
      </c>
      <c r="L293" s="619">
        <v>1.5016227912008655</v>
      </c>
      <c r="M293" s="619">
        <v>2082</v>
      </c>
      <c r="N293" s="619">
        <v>5</v>
      </c>
      <c r="O293" s="619">
        <v>10565</v>
      </c>
      <c r="P293" s="640">
        <v>0.63499218656088474</v>
      </c>
      <c r="Q293" s="620">
        <v>2113</v>
      </c>
    </row>
    <row r="294" spans="1:17" ht="14.4" customHeight="1" x14ac:dyDescent="0.3">
      <c r="A294" s="615" t="s">
        <v>5271</v>
      </c>
      <c r="B294" s="616" t="s">
        <v>4734</v>
      </c>
      <c r="C294" s="616" t="s">
        <v>3592</v>
      </c>
      <c r="D294" s="616" t="s">
        <v>5502</v>
      </c>
      <c r="E294" s="616" t="s">
        <v>5503</v>
      </c>
      <c r="F294" s="619">
        <v>6</v>
      </c>
      <c r="G294" s="619">
        <v>905</v>
      </c>
      <c r="H294" s="619">
        <v>1</v>
      </c>
      <c r="I294" s="619">
        <v>150.83333333333334</v>
      </c>
      <c r="J294" s="619">
        <v>11</v>
      </c>
      <c r="K294" s="619">
        <v>1661</v>
      </c>
      <c r="L294" s="619">
        <v>1.8353591160220994</v>
      </c>
      <c r="M294" s="619">
        <v>151</v>
      </c>
      <c r="N294" s="619">
        <v>20</v>
      </c>
      <c r="O294" s="619">
        <v>3100</v>
      </c>
      <c r="P294" s="640">
        <v>3.4254143646408841</v>
      </c>
      <c r="Q294" s="620">
        <v>155</v>
      </c>
    </row>
    <row r="295" spans="1:17" ht="14.4" customHeight="1" x14ac:dyDescent="0.3">
      <c r="A295" s="615" t="s">
        <v>5271</v>
      </c>
      <c r="B295" s="616" t="s">
        <v>4734</v>
      </c>
      <c r="C295" s="616" t="s">
        <v>3592</v>
      </c>
      <c r="D295" s="616" t="s">
        <v>5504</v>
      </c>
      <c r="E295" s="616" t="s">
        <v>5505</v>
      </c>
      <c r="F295" s="619">
        <v>2</v>
      </c>
      <c r="G295" s="619">
        <v>388</v>
      </c>
      <c r="H295" s="619">
        <v>1</v>
      </c>
      <c r="I295" s="619">
        <v>194</v>
      </c>
      <c r="J295" s="619">
        <v>4</v>
      </c>
      <c r="K295" s="619">
        <v>780</v>
      </c>
      <c r="L295" s="619">
        <v>2.0103092783505154</v>
      </c>
      <c r="M295" s="619">
        <v>195</v>
      </c>
      <c r="N295" s="619">
        <v>3</v>
      </c>
      <c r="O295" s="619">
        <v>597</v>
      </c>
      <c r="P295" s="640">
        <v>1.5386597938144331</v>
      </c>
      <c r="Q295" s="620">
        <v>199</v>
      </c>
    </row>
    <row r="296" spans="1:17" ht="14.4" customHeight="1" x14ac:dyDescent="0.3">
      <c r="A296" s="615" t="s">
        <v>5271</v>
      </c>
      <c r="B296" s="616" t="s">
        <v>4734</v>
      </c>
      <c r="C296" s="616" t="s">
        <v>3592</v>
      </c>
      <c r="D296" s="616" t="s">
        <v>5506</v>
      </c>
      <c r="E296" s="616" t="s">
        <v>5507</v>
      </c>
      <c r="F296" s="619">
        <v>281</v>
      </c>
      <c r="G296" s="619">
        <v>55865</v>
      </c>
      <c r="H296" s="619">
        <v>1</v>
      </c>
      <c r="I296" s="619">
        <v>198.80782918149467</v>
      </c>
      <c r="J296" s="619">
        <v>333</v>
      </c>
      <c r="K296" s="619">
        <v>66600</v>
      </c>
      <c r="L296" s="619">
        <v>1.1921596706345654</v>
      </c>
      <c r="M296" s="619">
        <v>200</v>
      </c>
      <c r="N296" s="619">
        <v>546</v>
      </c>
      <c r="O296" s="619">
        <v>111384</v>
      </c>
      <c r="P296" s="640">
        <v>1.9938064978072139</v>
      </c>
      <c r="Q296" s="620">
        <v>204</v>
      </c>
    </row>
    <row r="297" spans="1:17" ht="14.4" customHeight="1" x14ac:dyDescent="0.3">
      <c r="A297" s="615" t="s">
        <v>5271</v>
      </c>
      <c r="B297" s="616" t="s">
        <v>4734</v>
      </c>
      <c r="C297" s="616" t="s">
        <v>3592</v>
      </c>
      <c r="D297" s="616" t="s">
        <v>5508</v>
      </c>
      <c r="E297" s="616" t="s">
        <v>5509</v>
      </c>
      <c r="F297" s="619">
        <v>32</v>
      </c>
      <c r="G297" s="619">
        <v>13332</v>
      </c>
      <c r="H297" s="619">
        <v>1</v>
      </c>
      <c r="I297" s="619">
        <v>416.625</v>
      </c>
      <c r="J297" s="619">
        <v>16</v>
      </c>
      <c r="K297" s="619">
        <v>6688</v>
      </c>
      <c r="L297" s="619">
        <v>0.50165016501650161</v>
      </c>
      <c r="M297" s="619">
        <v>418</v>
      </c>
      <c r="N297" s="619">
        <v>7</v>
      </c>
      <c r="O297" s="619">
        <v>2982</v>
      </c>
      <c r="P297" s="640">
        <v>0.22367236723672368</v>
      </c>
      <c r="Q297" s="620">
        <v>426</v>
      </c>
    </row>
    <row r="298" spans="1:17" ht="14.4" customHeight="1" x14ac:dyDescent="0.3">
      <c r="A298" s="615" t="s">
        <v>5271</v>
      </c>
      <c r="B298" s="616" t="s">
        <v>4734</v>
      </c>
      <c r="C298" s="616" t="s">
        <v>3592</v>
      </c>
      <c r="D298" s="616" t="s">
        <v>5510</v>
      </c>
      <c r="E298" s="616" t="s">
        <v>5511</v>
      </c>
      <c r="F298" s="619">
        <v>2</v>
      </c>
      <c r="G298" s="619">
        <v>318</v>
      </c>
      <c r="H298" s="619">
        <v>1</v>
      </c>
      <c r="I298" s="619">
        <v>159</v>
      </c>
      <c r="J298" s="619">
        <v>1</v>
      </c>
      <c r="K298" s="619">
        <v>159</v>
      </c>
      <c r="L298" s="619">
        <v>0.5</v>
      </c>
      <c r="M298" s="619">
        <v>159</v>
      </c>
      <c r="N298" s="619">
        <v>1</v>
      </c>
      <c r="O298" s="619">
        <v>163</v>
      </c>
      <c r="P298" s="640">
        <v>0.51257861635220126</v>
      </c>
      <c r="Q298" s="620">
        <v>163</v>
      </c>
    </row>
    <row r="299" spans="1:17" ht="14.4" customHeight="1" x14ac:dyDescent="0.3">
      <c r="A299" s="615" t="s">
        <v>5271</v>
      </c>
      <c r="B299" s="616" t="s">
        <v>4734</v>
      </c>
      <c r="C299" s="616" t="s">
        <v>3592</v>
      </c>
      <c r="D299" s="616" t="s">
        <v>5512</v>
      </c>
      <c r="E299" s="616" t="s">
        <v>5513</v>
      </c>
      <c r="F299" s="619">
        <v>7</v>
      </c>
      <c r="G299" s="619">
        <v>2989</v>
      </c>
      <c r="H299" s="619">
        <v>1</v>
      </c>
      <c r="I299" s="619">
        <v>427</v>
      </c>
      <c r="J299" s="619">
        <v>8</v>
      </c>
      <c r="K299" s="619">
        <v>3424</v>
      </c>
      <c r="L299" s="619">
        <v>1.1455336232853797</v>
      </c>
      <c r="M299" s="619">
        <v>428</v>
      </c>
      <c r="N299" s="619">
        <v>5</v>
      </c>
      <c r="O299" s="619">
        <v>2180</v>
      </c>
      <c r="P299" s="640">
        <v>0.7293409166945467</v>
      </c>
      <c r="Q299" s="620">
        <v>436</v>
      </c>
    </row>
    <row r="300" spans="1:17" ht="14.4" customHeight="1" x14ac:dyDescent="0.3">
      <c r="A300" s="615" t="s">
        <v>5271</v>
      </c>
      <c r="B300" s="616" t="s">
        <v>4734</v>
      </c>
      <c r="C300" s="616" t="s">
        <v>3592</v>
      </c>
      <c r="D300" s="616" t="s">
        <v>5514</v>
      </c>
      <c r="E300" s="616" t="s">
        <v>5515</v>
      </c>
      <c r="F300" s="619">
        <v>104</v>
      </c>
      <c r="G300" s="619">
        <v>220524</v>
      </c>
      <c r="H300" s="619">
        <v>1</v>
      </c>
      <c r="I300" s="619">
        <v>2120.4230769230771</v>
      </c>
      <c r="J300" s="619">
        <v>102</v>
      </c>
      <c r="K300" s="619">
        <v>216546</v>
      </c>
      <c r="L300" s="619">
        <v>0.98196114708603144</v>
      </c>
      <c r="M300" s="619">
        <v>2123</v>
      </c>
      <c r="N300" s="619">
        <v>171</v>
      </c>
      <c r="O300" s="619">
        <v>368334</v>
      </c>
      <c r="P300" s="640">
        <v>1.6702671818033412</v>
      </c>
      <c r="Q300" s="620">
        <v>2154</v>
      </c>
    </row>
    <row r="301" spans="1:17" ht="14.4" customHeight="1" x14ac:dyDescent="0.3">
      <c r="A301" s="615" t="s">
        <v>5271</v>
      </c>
      <c r="B301" s="616" t="s">
        <v>4734</v>
      </c>
      <c r="C301" s="616" t="s">
        <v>3592</v>
      </c>
      <c r="D301" s="616" t="s">
        <v>5516</v>
      </c>
      <c r="E301" s="616" t="s">
        <v>5469</v>
      </c>
      <c r="F301" s="619">
        <v>86</v>
      </c>
      <c r="G301" s="619">
        <v>160475</v>
      </c>
      <c r="H301" s="619">
        <v>1</v>
      </c>
      <c r="I301" s="619">
        <v>1865.9883720930231</v>
      </c>
      <c r="J301" s="619">
        <v>85</v>
      </c>
      <c r="K301" s="619">
        <v>158865</v>
      </c>
      <c r="L301" s="619">
        <v>0.98996728462377315</v>
      </c>
      <c r="M301" s="619">
        <v>1869</v>
      </c>
      <c r="N301" s="619">
        <v>101</v>
      </c>
      <c r="O301" s="619">
        <v>190688</v>
      </c>
      <c r="P301" s="640">
        <v>1.1882723165602118</v>
      </c>
      <c r="Q301" s="620">
        <v>1888</v>
      </c>
    </row>
    <row r="302" spans="1:17" ht="14.4" customHeight="1" x14ac:dyDescent="0.3">
      <c r="A302" s="615" t="s">
        <v>5271</v>
      </c>
      <c r="B302" s="616" t="s">
        <v>4734</v>
      </c>
      <c r="C302" s="616" t="s">
        <v>3592</v>
      </c>
      <c r="D302" s="616" t="s">
        <v>5517</v>
      </c>
      <c r="E302" s="616" t="s">
        <v>5518</v>
      </c>
      <c r="F302" s="619">
        <v>2</v>
      </c>
      <c r="G302" s="619">
        <v>318</v>
      </c>
      <c r="H302" s="619">
        <v>1</v>
      </c>
      <c r="I302" s="619">
        <v>159</v>
      </c>
      <c r="J302" s="619"/>
      <c r="K302" s="619"/>
      <c r="L302" s="619"/>
      <c r="M302" s="619"/>
      <c r="N302" s="619"/>
      <c r="O302" s="619"/>
      <c r="P302" s="640"/>
      <c r="Q302" s="620"/>
    </row>
    <row r="303" spans="1:17" ht="14.4" customHeight="1" x14ac:dyDescent="0.3">
      <c r="A303" s="615" t="s">
        <v>5271</v>
      </c>
      <c r="B303" s="616" t="s">
        <v>4734</v>
      </c>
      <c r="C303" s="616" t="s">
        <v>3592</v>
      </c>
      <c r="D303" s="616" t="s">
        <v>5519</v>
      </c>
      <c r="E303" s="616" t="s">
        <v>5520</v>
      </c>
      <c r="F303" s="619">
        <v>5</v>
      </c>
      <c r="G303" s="619">
        <v>4572</v>
      </c>
      <c r="H303" s="619">
        <v>1</v>
      </c>
      <c r="I303" s="619">
        <v>914.4</v>
      </c>
      <c r="J303" s="619">
        <v>4</v>
      </c>
      <c r="K303" s="619">
        <v>3668</v>
      </c>
      <c r="L303" s="619">
        <v>0.80227471566054243</v>
      </c>
      <c r="M303" s="619">
        <v>917</v>
      </c>
      <c r="N303" s="619">
        <v>3</v>
      </c>
      <c r="O303" s="619">
        <v>2799</v>
      </c>
      <c r="P303" s="640">
        <v>0.61220472440944884</v>
      </c>
      <c r="Q303" s="620">
        <v>933</v>
      </c>
    </row>
    <row r="304" spans="1:17" ht="14.4" customHeight="1" x14ac:dyDescent="0.3">
      <c r="A304" s="615" t="s">
        <v>5271</v>
      </c>
      <c r="B304" s="616" t="s">
        <v>4734</v>
      </c>
      <c r="C304" s="616" t="s">
        <v>3592</v>
      </c>
      <c r="D304" s="616" t="s">
        <v>5521</v>
      </c>
      <c r="E304" s="616" t="s">
        <v>5522</v>
      </c>
      <c r="F304" s="619">
        <v>60</v>
      </c>
      <c r="G304" s="619">
        <v>503502</v>
      </c>
      <c r="H304" s="619">
        <v>1</v>
      </c>
      <c r="I304" s="619">
        <v>8391.7000000000007</v>
      </c>
      <c r="J304" s="619">
        <v>50</v>
      </c>
      <c r="K304" s="619">
        <v>419950</v>
      </c>
      <c r="L304" s="619">
        <v>0.83405825597515004</v>
      </c>
      <c r="M304" s="619">
        <v>8399</v>
      </c>
      <c r="N304" s="619">
        <v>58</v>
      </c>
      <c r="O304" s="619">
        <v>490622</v>
      </c>
      <c r="P304" s="640">
        <v>0.97441916814630325</v>
      </c>
      <c r="Q304" s="620">
        <v>8459</v>
      </c>
    </row>
    <row r="305" spans="1:17" ht="14.4" customHeight="1" x14ac:dyDescent="0.3">
      <c r="A305" s="615" t="s">
        <v>5271</v>
      </c>
      <c r="B305" s="616" t="s">
        <v>4734</v>
      </c>
      <c r="C305" s="616" t="s">
        <v>3592</v>
      </c>
      <c r="D305" s="616" t="s">
        <v>5523</v>
      </c>
      <c r="E305" s="616" t="s">
        <v>5524</v>
      </c>
      <c r="F305" s="619">
        <v>4</v>
      </c>
      <c r="G305" s="619">
        <v>8004</v>
      </c>
      <c r="H305" s="619">
        <v>1</v>
      </c>
      <c r="I305" s="619">
        <v>2001</v>
      </c>
      <c r="J305" s="619">
        <v>2</v>
      </c>
      <c r="K305" s="619">
        <v>4010</v>
      </c>
      <c r="L305" s="619">
        <v>0.50099950024987505</v>
      </c>
      <c r="M305" s="619">
        <v>2005</v>
      </c>
      <c r="N305" s="619">
        <v>5</v>
      </c>
      <c r="O305" s="619">
        <v>10265</v>
      </c>
      <c r="P305" s="640">
        <v>1.2824837581209396</v>
      </c>
      <c r="Q305" s="620">
        <v>2053</v>
      </c>
    </row>
    <row r="306" spans="1:17" ht="14.4" customHeight="1" x14ac:dyDescent="0.3">
      <c r="A306" s="615" t="s">
        <v>5271</v>
      </c>
      <c r="B306" s="616" t="s">
        <v>4734</v>
      </c>
      <c r="C306" s="616" t="s">
        <v>3592</v>
      </c>
      <c r="D306" s="616" t="s">
        <v>5525</v>
      </c>
      <c r="E306" s="616" t="s">
        <v>5526</v>
      </c>
      <c r="F306" s="619">
        <v>2</v>
      </c>
      <c r="G306" s="619">
        <v>11386</v>
      </c>
      <c r="H306" s="619">
        <v>1</v>
      </c>
      <c r="I306" s="619">
        <v>5693</v>
      </c>
      <c r="J306" s="619">
        <v>2</v>
      </c>
      <c r="K306" s="619">
        <v>11410</v>
      </c>
      <c r="L306" s="619">
        <v>1.0021078517477604</v>
      </c>
      <c r="M306" s="619">
        <v>5705</v>
      </c>
      <c r="N306" s="619"/>
      <c r="O306" s="619"/>
      <c r="P306" s="640"/>
      <c r="Q306" s="620"/>
    </row>
    <row r="307" spans="1:17" ht="14.4" customHeight="1" x14ac:dyDescent="0.3">
      <c r="A307" s="615" t="s">
        <v>5271</v>
      </c>
      <c r="B307" s="616" t="s">
        <v>4734</v>
      </c>
      <c r="C307" s="616" t="s">
        <v>3592</v>
      </c>
      <c r="D307" s="616" t="s">
        <v>5527</v>
      </c>
      <c r="E307" s="616" t="s">
        <v>5528</v>
      </c>
      <c r="F307" s="619">
        <v>3</v>
      </c>
      <c r="G307" s="619">
        <v>1680</v>
      </c>
      <c r="H307" s="619">
        <v>1</v>
      </c>
      <c r="I307" s="619">
        <v>560</v>
      </c>
      <c r="J307" s="619">
        <v>2</v>
      </c>
      <c r="K307" s="619">
        <v>1126</v>
      </c>
      <c r="L307" s="619">
        <v>0.67023809523809519</v>
      </c>
      <c r="M307" s="619">
        <v>563</v>
      </c>
      <c r="N307" s="619"/>
      <c r="O307" s="619"/>
      <c r="P307" s="640"/>
      <c r="Q307" s="620"/>
    </row>
    <row r="308" spans="1:17" ht="14.4" customHeight="1" x14ac:dyDescent="0.3">
      <c r="A308" s="615" t="s">
        <v>5271</v>
      </c>
      <c r="B308" s="616" t="s">
        <v>4734</v>
      </c>
      <c r="C308" s="616" t="s">
        <v>3592</v>
      </c>
      <c r="D308" s="616" t="s">
        <v>5529</v>
      </c>
      <c r="E308" s="616" t="s">
        <v>5530</v>
      </c>
      <c r="F308" s="619"/>
      <c r="G308" s="619"/>
      <c r="H308" s="619"/>
      <c r="I308" s="619"/>
      <c r="J308" s="619"/>
      <c r="K308" s="619"/>
      <c r="L308" s="619"/>
      <c r="M308" s="619"/>
      <c r="N308" s="619">
        <v>1</v>
      </c>
      <c r="O308" s="619">
        <v>373</v>
      </c>
      <c r="P308" s="640"/>
      <c r="Q308" s="620">
        <v>373</v>
      </c>
    </row>
    <row r="309" spans="1:17" ht="14.4" customHeight="1" x14ac:dyDescent="0.3">
      <c r="A309" s="615" t="s">
        <v>5531</v>
      </c>
      <c r="B309" s="616" t="s">
        <v>5532</v>
      </c>
      <c r="C309" s="616" t="s">
        <v>3592</v>
      </c>
      <c r="D309" s="616" t="s">
        <v>5533</v>
      </c>
      <c r="E309" s="616" t="s">
        <v>5534</v>
      </c>
      <c r="F309" s="619">
        <v>1104</v>
      </c>
      <c r="G309" s="619">
        <v>225770</v>
      </c>
      <c r="H309" s="619">
        <v>1</v>
      </c>
      <c r="I309" s="619">
        <v>204.50181159420291</v>
      </c>
      <c r="J309" s="619">
        <v>1299</v>
      </c>
      <c r="K309" s="619">
        <v>267594</v>
      </c>
      <c r="L309" s="619">
        <v>1.1852504761482925</v>
      </c>
      <c r="M309" s="619">
        <v>206</v>
      </c>
      <c r="N309" s="619">
        <v>1290</v>
      </c>
      <c r="O309" s="619">
        <v>272190</v>
      </c>
      <c r="P309" s="640">
        <v>1.205607476635514</v>
      </c>
      <c r="Q309" s="620">
        <v>211</v>
      </c>
    </row>
    <row r="310" spans="1:17" ht="14.4" customHeight="1" x14ac:dyDescent="0.3">
      <c r="A310" s="615" t="s">
        <v>5531</v>
      </c>
      <c r="B310" s="616" t="s">
        <v>5532</v>
      </c>
      <c r="C310" s="616" t="s">
        <v>3592</v>
      </c>
      <c r="D310" s="616" t="s">
        <v>5535</v>
      </c>
      <c r="E310" s="616" t="s">
        <v>5534</v>
      </c>
      <c r="F310" s="619">
        <v>4</v>
      </c>
      <c r="G310" s="619">
        <v>339</v>
      </c>
      <c r="H310" s="619">
        <v>1</v>
      </c>
      <c r="I310" s="619">
        <v>84.75</v>
      </c>
      <c r="J310" s="619">
        <v>6</v>
      </c>
      <c r="K310" s="619">
        <v>510</v>
      </c>
      <c r="L310" s="619">
        <v>1.5044247787610618</v>
      </c>
      <c r="M310" s="619">
        <v>85</v>
      </c>
      <c r="N310" s="619">
        <v>6</v>
      </c>
      <c r="O310" s="619">
        <v>522</v>
      </c>
      <c r="P310" s="640">
        <v>1.5398230088495575</v>
      </c>
      <c r="Q310" s="620">
        <v>87</v>
      </c>
    </row>
    <row r="311" spans="1:17" ht="14.4" customHeight="1" x14ac:dyDescent="0.3">
      <c r="A311" s="615" t="s">
        <v>5531</v>
      </c>
      <c r="B311" s="616" t="s">
        <v>5532</v>
      </c>
      <c r="C311" s="616" t="s">
        <v>3592</v>
      </c>
      <c r="D311" s="616" t="s">
        <v>5536</v>
      </c>
      <c r="E311" s="616" t="s">
        <v>5537</v>
      </c>
      <c r="F311" s="619">
        <v>371</v>
      </c>
      <c r="G311" s="619">
        <v>108790</v>
      </c>
      <c r="H311" s="619">
        <v>1</v>
      </c>
      <c r="I311" s="619">
        <v>293.23450134770889</v>
      </c>
      <c r="J311" s="619">
        <v>683</v>
      </c>
      <c r="K311" s="619">
        <v>201485</v>
      </c>
      <c r="L311" s="619">
        <v>1.8520544167662469</v>
      </c>
      <c r="M311" s="619">
        <v>295</v>
      </c>
      <c r="N311" s="619">
        <v>894</v>
      </c>
      <c r="O311" s="619">
        <v>269094</v>
      </c>
      <c r="P311" s="640">
        <v>2.4735177865612648</v>
      </c>
      <c r="Q311" s="620">
        <v>301</v>
      </c>
    </row>
    <row r="312" spans="1:17" ht="14.4" customHeight="1" x14ac:dyDescent="0.3">
      <c r="A312" s="615" t="s">
        <v>5531</v>
      </c>
      <c r="B312" s="616" t="s">
        <v>5532</v>
      </c>
      <c r="C312" s="616" t="s">
        <v>3592</v>
      </c>
      <c r="D312" s="616" t="s">
        <v>5538</v>
      </c>
      <c r="E312" s="616" t="s">
        <v>5539</v>
      </c>
      <c r="F312" s="619">
        <v>6</v>
      </c>
      <c r="G312" s="619">
        <v>558</v>
      </c>
      <c r="H312" s="619">
        <v>1</v>
      </c>
      <c r="I312" s="619">
        <v>93</v>
      </c>
      <c r="J312" s="619">
        <v>14</v>
      </c>
      <c r="K312" s="619">
        <v>1330</v>
      </c>
      <c r="L312" s="619">
        <v>2.3835125448028673</v>
      </c>
      <c r="M312" s="619">
        <v>95</v>
      </c>
      <c r="N312" s="619">
        <v>12</v>
      </c>
      <c r="O312" s="619">
        <v>1188</v>
      </c>
      <c r="P312" s="640">
        <v>2.129032258064516</v>
      </c>
      <c r="Q312" s="620">
        <v>99</v>
      </c>
    </row>
    <row r="313" spans="1:17" ht="14.4" customHeight="1" x14ac:dyDescent="0.3">
      <c r="A313" s="615" t="s">
        <v>5531</v>
      </c>
      <c r="B313" s="616" t="s">
        <v>5532</v>
      </c>
      <c r="C313" s="616" t="s">
        <v>3592</v>
      </c>
      <c r="D313" s="616" t="s">
        <v>5540</v>
      </c>
      <c r="E313" s="616" t="s">
        <v>5541</v>
      </c>
      <c r="F313" s="619">
        <v>175</v>
      </c>
      <c r="G313" s="619">
        <v>23574</v>
      </c>
      <c r="H313" s="619">
        <v>1</v>
      </c>
      <c r="I313" s="619">
        <v>134.70857142857142</v>
      </c>
      <c r="J313" s="619">
        <v>195</v>
      </c>
      <c r="K313" s="619">
        <v>26325</v>
      </c>
      <c r="L313" s="619">
        <v>1.1166963603970477</v>
      </c>
      <c r="M313" s="619">
        <v>135</v>
      </c>
      <c r="N313" s="619">
        <v>149</v>
      </c>
      <c r="O313" s="619">
        <v>20413</v>
      </c>
      <c r="P313" s="640">
        <v>0.86591159752269453</v>
      </c>
      <c r="Q313" s="620">
        <v>137</v>
      </c>
    </row>
    <row r="314" spans="1:17" ht="14.4" customHeight="1" x14ac:dyDescent="0.3">
      <c r="A314" s="615" t="s">
        <v>5531</v>
      </c>
      <c r="B314" s="616" t="s">
        <v>5532</v>
      </c>
      <c r="C314" s="616" t="s">
        <v>3592</v>
      </c>
      <c r="D314" s="616" t="s">
        <v>5542</v>
      </c>
      <c r="E314" s="616" t="s">
        <v>5541</v>
      </c>
      <c r="F314" s="619">
        <v>2</v>
      </c>
      <c r="G314" s="619">
        <v>352</v>
      </c>
      <c r="H314" s="619">
        <v>1</v>
      </c>
      <c r="I314" s="619">
        <v>176</v>
      </c>
      <c r="J314" s="619">
        <v>2</v>
      </c>
      <c r="K314" s="619">
        <v>356</v>
      </c>
      <c r="L314" s="619">
        <v>1.0113636363636365</v>
      </c>
      <c r="M314" s="619">
        <v>178</v>
      </c>
      <c r="N314" s="619">
        <v>3</v>
      </c>
      <c r="O314" s="619">
        <v>549</v>
      </c>
      <c r="P314" s="640">
        <v>1.5596590909090908</v>
      </c>
      <c r="Q314" s="620">
        <v>183</v>
      </c>
    </row>
    <row r="315" spans="1:17" ht="14.4" customHeight="1" x14ac:dyDescent="0.3">
      <c r="A315" s="615" t="s">
        <v>5531</v>
      </c>
      <c r="B315" s="616" t="s">
        <v>5532</v>
      </c>
      <c r="C315" s="616" t="s">
        <v>3592</v>
      </c>
      <c r="D315" s="616" t="s">
        <v>5543</v>
      </c>
      <c r="E315" s="616" t="s">
        <v>5544</v>
      </c>
      <c r="F315" s="619">
        <v>1</v>
      </c>
      <c r="G315" s="619">
        <v>618</v>
      </c>
      <c r="H315" s="619">
        <v>1</v>
      </c>
      <c r="I315" s="619">
        <v>618</v>
      </c>
      <c r="J315" s="619">
        <v>1</v>
      </c>
      <c r="K315" s="619">
        <v>620</v>
      </c>
      <c r="L315" s="619">
        <v>1.0032362459546926</v>
      </c>
      <c r="M315" s="619">
        <v>620</v>
      </c>
      <c r="N315" s="619">
        <v>1</v>
      </c>
      <c r="O315" s="619">
        <v>639</v>
      </c>
      <c r="P315" s="640">
        <v>1.0339805825242718</v>
      </c>
      <c r="Q315" s="620">
        <v>639</v>
      </c>
    </row>
    <row r="316" spans="1:17" ht="14.4" customHeight="1" x14ac:dyDescent="0.3">
      <c r="A316" s="615" t="s">
        <v>5531</v>
      </c>
      <c r="B316" s="616" t="s">
        <v>5532</v>
      </c>
      <c r="C316" s="616" t="s">
        <v>3592</v>
      </c>
      <c r="D316" s="616" t="s">
        <v>5545</v>
      </c>
      <c r="E316" s="616" t="s">
        <v>5546</v>
      </c>
      <c r="F316" s="619"/>
      <c r="G316" s="619"/>
      <c r="H316" s="619"/>
      <c r="I316" s="619"/>
      <c r="J316" s="619"/>
      <c r="K316" s="619"/>
      <c r="L316" s="619"/>
      <c r="M316" s="619"/>
      <c r="N316" s="619">
        <v>1</v>
      </c>
      <c r="O316" s="619">
        <v>608</v>
      </c>
      <c r="P316" s="640"/>
      <c r="Q316" s="620">
        <v>608</v>
      </c>
    </row>
    <row r="317" spans="1:17" ht="14.4" customHeight="1" x14ac:dyDescent="0.3">
      <c r="A317" s="615" t="s">
        <v>5531</v>
      </c>
      <c r="B317" s="616" t="s">
        <v>5532</v>
      </c>
      <c r="C317" s="616" t="s">
        <v>3592</v>
      </c>
      <c r="D317" s="616" t="s">
        <v>5547</v>
      </c>
      <c r="E317" s="616" t="s">
        <v>5548</v>
      </c>
      <c r="F317" s="619">
        <v>19</v>
      </c>
      <c r="G317" s="619">
        <v>3035</v>
      </c>
      <c r="H317" s="619">
        <v>1</v>
      </c>
      <c r="I317" s="619">
        <v>159.73684210526315</v>
      </c>
      <c r="J317" s="619">
        <v>18</v>
      </c>
      <c r="K317" s="619">
        <v>2898</v>
      </c>
      <c r="L317" s="619">
        <v>0.95485996705107079</v>
      </c>
      <c r="M317" s="619">
        <v>161</v>
      </c>
      <c r="N317" s="619">
        <v>27</v>
      </c>
      <c r="O317" s="619">
        <v>4671</v>
      </c>
      <c r="P317" s="640">
        <v>1.5390444810543658</v>
      </c>
      <c r="Q317" s="620">
        <v>173</v>
      </c>
    </row>
    <row r="318" spans="1:17" ht="14.4" customHeight="1" x14ac:dyDescent="0.3">
      <c r="A318" s="615" t="s">
        <v>5531</v>
      </c>
      <c r="B318" s="616" t="s">
        <v>5532</v>
      </c>
      <c r="C318" s="616" t="s">
        <v>3592</v>
      </c>
      <c r="D318" s="616" t="s">
        <v>5549</v>
      </c>
      <c r="E318" s="616" t="s">
        <v>5550</v>
      </c>
      <c r="F318" s="619"/>
      <c r="G318" s="619"/>
      <c r="H318" s="619"/>
      <c r="I318" s="619"/>
      <c r="J318" s="619">
        <v>1</v>
      </c>
      <c r="K318" s="619">
        <v>383</v>
      </c>
      <c r="L318" s="619"/>
      <c r="M318" s="619">
        <v>383</v>
      </c>
      <c r="N318" s="619">
        <v>2</v>
      </c>
      <c r="O318" s="619">
        <v>768</v>
      </c>
      <c r="P318" s="640"/>
      <c r="Q318" s="620">
        <v>384</v>
      </c>
    </row>
    <row r="319" spans="1:17" ht="14.4" customHeight="1" x14ac:dyDescent="0.3">
      <c r="A319" s="615" t="s">
        <v>5531</v>
      </c>
      <c r="B319" s="616" t="s">
        <v>5532</v>
      </c>
      <c r="C319" s="616" t="s">
        <v>3592</v>
      </c>
      <c r="D319" s="616" t="s">
        <v>5551</v>
      </c>
      <c r="E319" s="616" t="s">
        <v>5552</v>
      </c>
      <c r="F319" s="619">
        <v>193</v>
      </c>
      <c r="G319" s="619">
        <v>50995</v>
      </c>
      <c r="H319" s="619">
        <v>1</v>
      </c>
      <c r="I319" s="619">
        <v>264.22279792746116</v>
      </c>
      <c r="J319" s="619">
        <v>161</v>
      </c>
      <c r="K319" s="619">
        <v>42826</v>
      </c>
      <c r="L319" s="619">
        <v>0.83980782429649969</v>
      </c>
      <c r="M319" s="619">
        <v>266</v>
      </c>
      <c r="N319" s="619">
        <v>115</v>
      </c>
      <c r="O319" s="619">
        <v>31395</v>
      </c>
      <c r="P319" s="640">
        <v>0.61564859299931363</v>
      </c>
      <c r="Q319" s="620">
        <v>273</v>
      </c>
    </row>
    <row r="320" spans="1:17" ht="14.4" customHeight="1" x14ac:dyDescent="0.3">
      <c r="A320" s="615" t="s">
        <v>5531</v>
      </c>
      <c r="B320" s="616" t="s">
        <v>5532</v>
      </c>
      <c r="C320" s="616" t="s">
        <v>3592</v>
      </c>
      <c r="D320" s="616" t="s">
        <v>5553</v>
      </c>
      <c r="E320" s="616" t="s">
        <v>5554</v>
      </c>
      <c r="F320" s="619">
        <v>250</v>
      </c>
      <c r="G320" s="619">
        <v>35250</v>
      </c>
      <c r="H320" s="619">
        <v>1</v>
      </c>
      <c r="I320" s="619">
        <v>141</v>
      </c>
      <c r="J320" s="619">
        <v>300</v>
      </c>
      <c r="K320" s="619">
        <v>42300</v>
      </c>
      <c r="L320" s="619">
        <v>1.2</v>
      </c>
      <c r="M320" s="619">
        <v>141</v>
      </c>
      <c r="N320" s="619">
        <v>303</v>
      </c>
      <c r="O320" s="619">
        <v>43026</v>
      </c>
      <c r="P320" s="640">
        <v>1.2205957446808511</v>
      </c>
      <c r="Q320" s="620">
        <v>142</v>
      </c>
    </row>
    <row r="321" spans="1:17" ht="14.4" customHeight="1" x14ac:dyDescent="0.3">
      <c r="A321" s="615" t="s">
        <v>5531</v>
      </c>
      <c r="B321" s="616" t="s">
        <v>5532</v>
      </c>
      <c r="C321" s="616" t="s">
        <v>3592</v>
      </c>
      <c r="D321" s="616" t="s">
        <v>5555</v>
      </c>
      <c r="E321" s="616" t="s">
        <v>5554</v>
      </c>
      <c r="F321" s="619">
        <v>175</v>
      </c>
      <c r="G321" s="619">
        <v>13650</v>
      </c>
      <c r="H321" s="619">
        <v>1</v>
      </c>
      <c r="I321" s="619">
        <v>78</v>
      </c>
      <c r="J321" s="619">
        <v>195</v>
      </c>
      <c r="K321" s="619">
        <v>15210</v>
      </c>
      <c r="L321" s="619">
        <v>1.1142857142857143</v>
      </c>
      <c r="M321" s="619">
        <v>78</v>
      </c>
      <c r="N321" s="619">
        <v>149</v>
      </c>
      <c r="O321" s="619">
        <v>11622</v>
      </c>
      <c r="P321" s="640">
        <v>0.85142857142857142</v>
      </c>
      <c r="Q321" s="620">
        <v>78</v>
      </c>
    </row>
    <row r="322" spans="1:17" ht="14.4" customHeight="1" x14ac:dyDescent="0.3">
      <c r="A322" s="615" t="s">
        <v>5531</v>
      </c>
      <c r="B322" s="616" t="s">
        <v>5532</v>
      </c>
      <c r="C322" s="616" t="s">
        <v>3592</v>
      </c>
      <c r="D322" s="616" t="s">
        <v>5556</v>
      </c>
      <c r="E322" s="616" t="s">
        <v>5557</v>
      </c>
      <c r="F322" s="619">
        <v>250</v>
      </c>
      <c r="G322" s="619">
        <v>76338</v>
      </c>
      <c r="H322" s="619">
        <v>1</v>
      </c>
      <c r="I322" s="619">
        <v>305.35199999999998</v>
      </c>
      <c r="J322" s="619">
        <v>300</v>
      </c>
      <c r="K322" s="619">
        <v>92100</v>
      </c>
      <c r="L322" s="619">
        <v>1.2064764599544133</v>
      </c>
      <c r="M322" s="619">
        <v>307</v>
      </c>
      <c r="N322" s="619">
        <v>303</v>
      </c>
      <c r="O322" s="619">
        <v>94839</v>
      </c>
      <c r="P322" s="640">
        <v>1.2423563624931226</v>
      </c>
      <c r="Q322" s="620">
        <v>313</v>
      </c>
    </row>
    <row r="323" spans="1:17" ht="14.4" customHeight="1" x14ac:dyDescent="0.3">
      <c r="A323" s="615" t="s">
        <v>5531</v>
      </c>
      <c r="B323" s="616" t="s">
        <v>5532</v>
      </c>
      <c r="C323" s="616" t="s">
        <v>3592</v>
      </c>
      <c r="D323" s="616" t="s">
        <v>5558</v>
      </c>
      <c r="E323" s="616" t="s">
        <v>5559</v>
      </c>
      <c r="F323" s="619"/>
      <c r="G323" s="619"/>
      <c r="H323" s="619"/>
      <c r="I323" s="619"/>
      <c r="J323" s="619">
        <v>1</v>
      </c>
      <c r="K323" s="619">
        <v>487</v>
      </c>
      <c r="L323" s="619"/>
      <c r="M323" s="619">
        <v>487</v>
      </c>
      <c r="N323" s="619">
        <v>2</v>
      </c>
      <c r="O323" s="619">
        <v>976</v>
      </c>
      <c r="P323" s="640"/>
      <c r="Q323" s="620">
        <v>488</v>
      </c>
    </row>
    <row r="324" spans="1:17" ht="14.4" customHeight="1" x14ac:dyDescent="0.3">
      <c r="A324" s="615" t="s">
        <v>5531</v>
      </c>
      <c r="B324" s="616" t="s">
        <v>5532</v>
      </c>
      <c r="C324" s="616" t="s">
        <v>3592</v>
      </c>
      <c r="D324" s="616" t="s">
        <v>5560</v>
      </c>
      <c r="E324" s="616" t="s">
        <v>5561</v>
      </c>
      <c r="F324" s="619">
        <v>40</v>
      </c>
      <c r="G324" s="619">
        <v>6426</v>
      </c>
      <c r="H324" s="619">
        <v>1</v>
      </c>
      <c r="I324" s="619">
        <v>160.65</v>
      </c>
      <c r="J324" s="619">
        <v>43</v>
      </c>
      <c r="K324" s="619">
        <v>6923</v>
      </c>
      <c r="L324" s="619">
        <v>1.0773420479302833</v>
      </c>
      <c r="M324" s="619">
        <v>161</v>
      </c>
      <c r="N324" s="619">
        <v>84</v>
      </c>
      <c r="O324" s="619">
        <v>13692</v>
      </c>
      <c r="P324" s="640">
        <v>2.130718954248366</v>
      </c>
      <c r="Q324" s="620">
        <v>163</v>
      </c>
    </row>
    <row r="325" spans="1:17" ht="14.4" customHeight="1" x14ac:dyDescent="0.3">
      <c r="A325" s="615" t="s">
        <v>5531</v>
      </c>
      <c r="B325" s="616" t="s">
        <v>5532</v>
      </c>
      <c r="C325" s="616" t="s">
        <v>3592</v>
      </c>
      <c r="D325" s="616" t="s">
        <v>5562</v>
      </c>
      <c r="E325" s="616" t="s">
        <v>5534</v>
      </c>
      <c r="F325" s="619">
        <v>491</v>
      </c>
      <c r="G325" s="619">
        <v>34721</v>
      </c>
      <c r="H325" s="619">
        <v>1</v>
      </c>
      <c r="I325" s="619">
        <v>70.714867617107942</v>
      </c>
      <c r="J325" s="619">
        <v>603</v>
      </c>
      <c r="K325" s="619">
        <v>42813</v>
      </c>
      <c r="L325" s="619">
        <v>1.233057803634688</v>
      </c>
      <c r="M325" s="619">
        <v>71</v>
      </c>
      <c r="N325" s="619">
        <v>438</v>
      </c>
      <c r="O325" s="619">
        <v>31536</v>
      </c>
      <c r="P325" s="640">
        <v>0.90826877106074133</v>
      </c>
      <c r="Q325" s="620">
        <v>72</v>
      </c>
    </row>
    <row r="326" spans="1:17" ht="14.4" customHeight="1" x14ac:dyDescent="0.3">
      <c r="A326" s="615" t="s">
        <v>5531</v>
      </c>
      <c r="B326" s="616" t="s">
        <v>5532</v>
      </c>
      <c r="C326" s="616" t="s">
        <v>3592</v>
      </c>
      <c r="D326" s="616" t="s">
        <v>5563</v>
      </c>
      <c r="E326" s="616" t="s">
        <v>5564</v>
      </c>
      <c r="F326" s="619">
        <v>4</v>
      </c>
      <c r="G326" s="619">
        <v>873</v>
      </c>
      <c r="H326" s="619">
        <v>1</v>
      </c>
      <c r="I326" s="619">
        <v>218.25</v>
      </c>
      <c r="J326" s="619">
        <v>6</v>
      </c>
      <c r="K326" s="619">
        <v>1320</v>
      </c>
      <c r="L326" s="619">
        <v>1.5120274914089347</v>
      </c>
      <c r="M326" s="619">
        <v>220</v>
      </c>
      <c r="N326" s="619">
        <v>4</v>
      </c>
      <c r="O326" s="619">
        <v>916</v>
      </c>
      <c r="P326" s="640">
        <v>1.0492554410080184</v>
      </c>
      <c r="Q326" s="620">
        <v>229</v>
      </c>
    </row>
    <row r="327" spans="1:17" ht="14.4" customHeight="1" x14ac:dyDescent="0.3">
      <c r="A327" s="615" t="s">
        <v>5531</v>
      </c>
      <c r="B327" s="616" t="s">
        <v>5532</v>
      </c>
      <c r="C327" s="616" t="s">
        <v>3592</v>
      </c>
      <c r="D327" s="616" t="s">
        <v>5565</v>
      </c>
      <c r="E327" s="616" t="s">
        <v>5566</v>
      </c>
      <c r="F327" s="619">
        <v>11</v>
      </c>
      <c r="G327" s="619">
        <v>13103</v>
      </c>
      <c r="H327" s="619">
        <v>1</v>
      </c>
      <c r="I327" s="619">
        <v>1191.1818181818182</v>
      </c>
      <c r="J327" s="619">
        <v>15</v>
      </c>
      <c r="K327" s="619">
        <v>17925</v>
      </c>
      <c r="L327" s="619">
        <v>1.3680073265664352</v>
      </c>
      <c r="M327" s="619">
        <v>1195</v>
      </c>
      <c r="N327" s="619">
        <v>27</v>
      </c>
      <c r="O327" s="619">
        <v>32697</v>
      </c>
      <c r="P327" s="640">
        <v>2.4953827367778372</v>
      </c>
      <c r="Q327" s="620">
        <v>1211</v>
      </c>
    </row>
    <row r="328" spans="1:17" ht="14.4" customHeight="1" x14ac:dyDescent="0.3">
      <c r="A328" s="615" t="s">
        <v>5531</v>
      </c>
      <c r="B328" s="616" t="s">
        <v>5532</v>
      </c>
      <c r="C328" s="616" t="s">
        <v>3592</v>
      </c>
      <c r="D328" s="616" t="s">
        <v>5567</v>
      </c>
      <c r="E328" s="616" t="s">
        <v>5568</v>
      </c>
      <c r="F328" s="619">
        <v>9</v>
      </c>
      <c r="G328" s="619">
        <v>977</v>
      </c>
      <c r="H328" s="619">
        <v>1</v>
      </c>
      <c r="I328" s="619">
        <v>108.55555555555556</v>
      </c>
      <c r="J328" s="619">
        <v>16</v>
      </c>
      <c r="K328" s="619">
        <v>1760</v>
      </c>
      <c r="L328" s="619">
        <v>1.8014329580348003</v>
      </c>
      <c r="M328" s="619">
        <v>110</v>
      </c>
      <c r="N328" s="619">
        <v>16</v>
      </c>
      <c r="O328" s="619">
        <v>1824</v>
      </c>
      <c r="P328" s="640">
        <v>1.8669396110542478</v>
      </c>
      <c r="Q328" s="620">
        <v>114</v>
      </c>
    </row>
    <row r="329" spans="1:17" ht="14.4" customHeight="1" x14ac:dyDescent="0.3">
      <c r="A329" s="615" t="s">
        <v>5531</v>
      </c>
      <c r="B329" s="616" t="s">
        <v>5532</v>
      </c>
      <c r="C329" s="616" t="s">
        <v>3592</v>
      </c>
      <c r="D329" s="616" t="s">
        <v>5569</v>
      </c>
      <c r="E329" s="616" t="s">
        <v>5570</v>
      </c>
      <c r="F329" s="619">
        <v>1</v>
      </c>
      <c r="G329" s="619">
        <v>322</v>
      </c>
      <c r="H329" s="619">
        <v>1</v>
      </c>
      <c r="I329" s="619">
        <v>322</v>
      </c>
      <c r="J329" s="619">
        <v>1</v>
      </c>
      <c r="K329" s="619">
        <v>323</v>
      </c>
      <c r="L329" s="619">
        <v>1.0031055900621118</v>
      </c>
      <c r="M329" s="619">
        <v>323</v>
      </c>
      <c r="N329" s="619"/>
      <c r="O329" s="619"/>
      <c r="P329" s="640"/>
      <c r="Q329" s="620"/>
    </row>
    <row r="330" spans="1:17" ht="14.4" customHeight="1" x14ac:dyDescent="0.3">
      <c r="A330" s="615" t="s">
        <v>5531</v>
      </c>
      <c r="B330" s="616" t="s">
        <v>5532</v>
      </c>
      <c r="C330" s="616" t="s">
        <v>3592</v>
      </c>
      <c r="D330" s="616" t="s">
        <v>5571</v>
      </c>
      <c r="E330" s="616" t="s">
        <v>5572</v>
      </c>
      <c r="F330" s="619">
        <v>1</v>
      </c>
      <c r="G330" s="619">
        <v>144</v>
      </c>
      <c r="H330" s="619">
        <v>1</v>
      </c>
      <c r="I330" s="619">
        <v>144</v>
      </c>
      <c r="J330" s="619"/>
      <c r="K330" s="619"/>
      <c r="L330" s="619"/>
      <c r="M330" s="619"/>
      <c r="N330" s="619"/>
      <c r="O330" s="619"/>
      <c r="P330" s="640"/>
      <c r="Q330" s="620"/>
    </row>
    <row r="331" spans="1:17" ht="14.4" customHeight="1" x14ac:dyDescent="0.3">
      <c r="A331" s="615" t="s">
        <v>5531</v>
      </c>
      <c r="B331" s="616" t="s">
        <v>5532</v>
      </c>
      <c r="C331" s="616" t="s">
        <v>3592</v>
      </c>
      <c r="D331" s="616" t="s">
        <v>5573</v>
      </c>
      <c r="E331" s="616" t="s">
        <v>5574</v>
      </c>
      <c r="F331" s="619">
        <v>2</v>
      </c>
      <c r="G331" s="619">
        <v>2049</v>
      </c>
      <c r="H331" s="619">
        <v>1</v>
      </c>
      <c r="I331" s="619">
        <v>1024.5</v>
      </c>
      <c r="J331" s="619"/>
      <c r="K331" s="619"/>
      <c r="L331" s="619"/>
      <c r="M331" s="619"/>
      <c r="N331" s="619">
        <v>1</v>
      </c>
      <c r="O331" s="619">
        <v>1064</v>
      </c>
      <c r="P331" s="640">
        <v>0.5192776964372865</v>
      </c>
      <c r="Q331" s="620">
        <v>1064</v>
      </c>
    </row>
    <row r="332" spans="1:17" ht="14.4" customHeight="1" x14ac:dyDescent="0.3">
      <c r="A332" s="615" t="s">
        <v>5531</v>
      </c>
      <c r="B332" s="616" t="s">
        <v>5532</v>
      </c>
      <c r="C332" s="616" t="s">
        <v>3592</v>
      </c>
      <c r="D332" s="616" t="s">
        <v>5575</v>
      </c>
      <c r="E332" s="616" t="s">
        <v>5576</v>
      </c>
      <c r="F332" s="619">
        <v>1</v>
      </c>
      <c r="G332" s="619">
        <v>291</v>
      </c>
      <c r="H332" s="619">
        <v>1</v>
      </c>
      <c r="I332" s="619">
        <v>291</v>
      </c>
      <c r="J332" s="619">
        <v>1</v>
      </c>
      <c r="K332" s="619">
        <v>294</v>
      </c>
      <c r="L332" s="619">
        <v>1.0103092783505154</v>
      </c>
      <c r="M332" s="619">
        <v>294</v>
      </c>
      <c r="N332" s="619">
        <v>2</v>
      </c>
      <c r="O332" s="619">
        <v>602</v>
      </c>
      <c r="P332" s="640">
        <v>2.06872852233677</v>
      </c>
      <c r="Q332" s="620">
        <v>301</v>
      </c>
    </row>
    <row r="333" spans="1:17" ht="14.4" customHeight="1" x14ac:dyDescent="0.3">
      <c r="A333" s="615" t="s">
        <v>5577</v>
      </c>
      <c r="B333" s="616" t="s">
        <v>5578</v>
      </c>
      <c r="C333" s="616" t="s">
        <v>3592</v>
      </c>
      <c r="D333" s="616" t="s">
        <v>5579</v>
      </c>
      <c r="E333" s="616" t="s">
        <v>5580</v>
      </c>
      <c r="F333" s="619">
        <v>892</v>
      </c>
      <c r="G333" s="619">
        <v>47938</v>
      </c>
      <c r="H333" s="619">
        <v>1</v>
      </c>
      <c r="I333" s="619">
        <v>53.742152466367713</v>
      </c>
      <c r="J333" s="619">
        <v>826</v>
      </c>
      <c r="K333" s="619">
        <v>44604</v>
      </c>
      <c r="L333" s="619">
        <v>0.93045183361842376</v>
      </c>
      <c r="M333" s="619">
        <v>54</v>
      </c>
      <c r="N333" s="619">
        <v>1002</v>
      </c>
      <c r="O333" s="619">
        <v>58116</v>
      </c>
      <c r="P333" s="640">
        <v>1.2123159080478951</v>
      </c>
      <c r="Q333" s="620">
        <v>58</v>
      </c>
    </row>
    <row r="334" spans="1:17" ht="14.4" customHeight="1" x14ac:dyDescent="0.3">
      <c r="A334" s="615" t="s">
        <v>5577</v>
      </c>
      <c r="B334" s="616" t="s">
        <v>5578</v>
      </c>
      <c r="C334" s="616" t="s">
        <v>3592</v>
      </c>
      <c r="D334" s="616" t="s">
        <v>5581</v>
      </c>
      <c r="E334" s="616" t="s">
        <v>5582</v>
      </c>
      <c r="F334" s="619">
        <v>1506</v>
      </c>
      <c r="G334" s="619">
        <v>183401</v>
      </c>
      <c r="H334" s="619">
        <v>1</v>
      </c>
      <c r="I334" s="619">
        <v>121.78021248339974</v>
      </c>
      <c r="J334" s="619">
        <v>1234</v>
      </c>
      <c r="K334" s="619">
        <v>151782</v>
      </c>
      <c r="L334" s="619">
        <v>0.82759635988898639</v>
      </c>
      <c r="M334" s="619">
        <v>123</v>
      </c>
      <c r="N334" s="619">
        <v>1439</v>
      </c>
      <c r="O334" s="619">
        <v>188509</v>
      </c>
      <c r="P334" s="640">
        <v>1.0278515384321787</v>
      </c>
      <c r="Q334" s="620">
        <v>131</v>
      </c>
    </row>
    <row r="335" spans="1:17" ht="14.4" customHeight="1" x14ac:dyDescent="0.3">
      <c r="A335" s="615" t="s">
        <v>5577</v>
      </c>
      <c r="B335" s="616" t="s">
        <v>5578</v>
      </c>
      <c r="C335" s="616" t="s">
        <v>3592</v>
      </c>
      <c r="D335" s="616" t="s">
        <v>5583</v>
      </c>
      <c r="E335" s="616" t="s">
        <v>5584</v>
      </c>
      <c r="F335" s="619">
        <v>102</v>
      </c>
      <c r="G335" s="619">
        <v>17904</v>
      </c>
      <c r="H335" s="619">
        <v>1</v>
      </c>
      <c r="I335" s="619">
        <v>175.52941176470588</v>
      </c>
      <c r="J335" s="619">
        <v>73</v>
      </c>
      <c r="K335" s="619">
        <v>12921</v>
      </c>
      <c r="L335" s="619">
        <v>0.72168230563002678</v>
      </c>
      <c r="M335" s="619">
        <v>177</v>
      </c>
      <c r="N335" s="619">
        <v>90</v>
      </c>
      <c r="O335" s="619">
        <v>17010</v>
      </c>
      <c r="P335" s="640">
        <v>0.95006702412868638</v>
      </c>
      <c r="Q335" s="620">
        <v>189</v>
      </c>
    </row>
    <row r="336" spans="1:17" ht="14.4" customHeight="1" x14ac:dyDescent="0.3">
      <c r="A336" s="615" t="s">
        <v>5577</v>
      </c>
      <c r="B336" s="616" t="s">
        <v>5578</v>
      </c>
      <c r="C336" s="616" t="s">
        <v>3592</v>
      </c>
      <c r="D336" s="616" t="s">
        <v>5585</v>
      </c>
      <c r="E336" s="616" t="s">
        <v>5586</v>
      </c>
      <c r="F336" s="619">
        <v>188</v>
      </c>
      <c r="G336" s="619">
        <v>71845</v>
      </c>
      <c r="H336" s="619">
        <v>1</v>
      </c>
      <c r="I336" s="619">
        <v>382.15425531914894</v>
      </c>
      <c r="J336" s="619">
        <v>164</v>
      </c>
      <c r="K336" s="619">
        <v>62976</v>
      </c>
      <c r="L336" s="619">
        <v>0.87655369197578115</v>
      </c>
      <c r="M336" s="619">
        <v>384</v>
      </c>
      <c r="N336" s="619">
        <v>209</v>
      </c>
      <c r="O336" s="619">
        <v>85063</v>
      </c>
      <c r="P336" s="640">
        <v>1.183979400097432</v>
      </c>
      <c r="Q336" s="620">
        <v>407</v>
      </c>
    </row>
    <row r="337" spans="1:17" ht="14.4" customHeight="1" x14ac:dyDescent="0.3">
      <c r="A337" s="615" t="s">
        <v>5577</v>
      </c>
      <c r="B337" s="616" t="s">
        <v>5578</v>
      </c>
      <c r="C337" s="616" t="s">
        <v>3592</v>
      </c>
      <c r="D337" s="616" t="s">
        <v>5587</v>
      </c>
      <c r="E337" s="616" t="s">
        <v>5588</v>
      </c>
      <c r="F337" s="619">
        <v>132</v>
      </c>
      <c r="G337" s="619">
        <v>22533</v>
      </c>
      <c r="H337" s="619">
        <v>1</v>
      </c>
      <c r="I337" s="619">
        <v>170.70454545454547</v>
      </c>
      <c r="J337" s="619">
        <v>87</v>
      </c>
      <c r="K337" s="619">
        <v>14964</v>
      </c>
      <c r="L337" s="619">
        <v>0.6640926640926641</v>
      </c>
      <c r="M337" s="619">
        <v>172</v>
      </c>
      <c r="N337" s="619">
        <v>102</v>
      </c>
      <c r="O337" s="619">
        <v>18258</v>
      </c>
      <c r="P337" s="640">
        <v>0.81027825855412061</v>
      </c>
      <c r="Q337" s="620">
        <v>179</v>
      </c>
    </row>
    <row r="338" spans="1:17" ht="14.4" customHeight="1" x14ac:dyDescent="0.3">
      <c r="A338" s="615" t="s">
        <v>5577</v>
      </c>
      <c r="B338" s="616" t="s">
        <v>5578</v>
      </c>
      <c r="C338" s="616" t="s">
        <v>3592</v>
      </c>
      <c r="D338" s="616" t="s">
        <v>5589</v>
      </c>
      <c r="E338" s="616" t="s">
        <v>5590</v>
      </c>
      <c r="F338" s="619">
        <v>96</v>
      </c>
      <c r="G338" s="619">
        <v>30684</v>
      </c>
      <c r="H338" s="619">
        <v>1</v>
      </c>
      <c r="I338" s="619">
        <v>319.625</v>
      </c>
      <c r="J338" s="619">
        <v>81</v>
      </c>
      <c r="K338" s="619">
        <v>26082</v>
      </c>
      <c r="L338" s="619">
        <v>0.85001955416503716</v>
      </c>
      <c r="M338" s="619">
        <v>322</v>
      </c>
      <c r="N338" s="619">
        <v>64</v>
      </c>
      <c r="O338" s="619">
        <v>21440</v>
      </c>
      <c r="P338" s="640">
        <v>0.69873549732759743</v>
      </c>
      <c r="Q338" s="620">
        <v>335</v>
      </c>
    </row>
    <row r="339" spans="1:17" ht="14.4" customHeight="1" x14ac:dyDescent="0.3">
      <c r="A339" s="615" t="s">
        <v>5577</v>
      </c>
      <c r="B339" s="616" t="s">
        <v>5578</v>
      </c>
      <c r="C339" s="616" t="s">
        <v>3592</v>
      </c>
      <c r="D339" s="616" t="s">
        <v>5591</v>
      </c>
      <c r="E339" s="616" t="s">
        <v>5592</v>
      </c>
      <c r="F339" s="619"/>
      <c r="G339" s="619"/>
      <c r="H339" s="619"/>
      <c r="I339" s="619"/>
      <c r="J339" s="619">
        <v>1</v>
      </c>
      <c r="K339" s="619">
        <v>439</v>
      </c>
      <c r="L339" s="619"/>
      <c r="M339" s="619">
        <v>439</v>
      </c>
      <c r="N339" s="619"/>
      <c r="O339" s="619"/>
      <c r="P339" s="640"/>
      <c r="Q339" s="620"/>
    </row>
    <row r="340" spans="1:17" ht="14.4" customHeight="1" x14ac:dyDescent="0.3">
      <c r="A340" s="615" t="s">
        <v>5577</v>
      </c>
      <c r="B340" s="616" t="s">
        <v>5578</v>
      </c>
      <c r="C340" s="616" t="s">
        <v>3592</v>
      </c>
      <c r="D340" s="616" t="s">
        <v>5593</v>
      </c>
      <c r="E340" s="616" t="s">
        <v>5594</v>
      </c>
      <c r="F340" s="619">
        <v>681</v>
      </c>
      <c r="G340" s="619">
        <v>231242</v>
      </c>
      <c r="H340" s="619">
        <v>1</v>
      </c>
      <c r="I340" s="619">
        <v>339.5624082232012</v>
      </c>
      <c r="J340" s="619">
        <v>435</v>
      </c>
      <c r="K340" s="619">
        <v>148335</v>
      </c>
      <c r="L340" s="619">
        <v>0.64147084007230526</v>
      </c>
      <c r="M340" s="619">
        <v>341</v>
      </c>
      <c r="N340" s="619">
        <v>595</v>
      </c>
      <c r="O340" s="619">
        <v>207655</v>
      </c>
      <c r="P340" s="640">
        <v>0.89799863346623887</v>
      </c>
      <c r="Q340" s="620">
        <v>349</v>
      </c>
    </row>
    <row r="341" spans="1:17" ht="14.4" customHeight="1" x14ac:dyDescent="0.3">
      <c r="A341" s="615" t="s">
        <v>5577</v>
      </c>
      <c r="B341" s="616" t="s">
        <v>5578</v>
      </c>
      <c r="C341" s="616" t="s">
        <v>3592</v>
      </c>
      <c r="D341" s="616" t="s">
        <v>5595</v>
      </c>
      <c r="E341" s="616" t="s">
        <v>5596</v>
      </c>
      <c r="F341" s="619"/>
      <c r="G341" s="619"/>
      <c r="H341" s="619"/>
      <c r="I341" s="619"/>
      <c r="J341" s="619">
        <v>1</v>
      </c>
      <c r="K341" s="619">
        <v>1598</v>
      </c>
      <c r="L341" s="619"/>
      <c r="M341" s="619">
        <v>1598</v>
      </c>
      <c r="N341" s="619"/>
      <c r="O341" s="619"/>
      <c r="P341" s="640"/>
      <c r="Q341" s="620"/>
    </row>
    <row r="342" spans="1:17" ht="14.4" customHeight="1" x14ac:dyDescent="0.3">
      <c r="A342" s="615" t="s">
        <v>5577</v>
      </c>
      <c r="B342" s="616" t="s">
        <v>5578</v>
      </c>
      <c r="C342" s="616" t="s">
        <v>3592</v>
      </c>
      <c r="D342" s="616" t="s">
        <v>5597</v>
      </c>
      <c r="E342" s="616" t="s">
        <v>5598</v>
      </c>
      <c r="F342" s="619">
        <v>82</v>
      </c>
      <c r="G342" s="619">
        <v>8916</v>
      </c>
      <c r="H342" s="619">
        <v>1</v>
      </c>
      <c r="I342" s="619">
        <v>108.73170731707317</v>
      </c>
      <c r="J342" s="619">
        <v>73</v>
      </c>
      <c r="K342" s="619">
        <v>7957</v>
      </c>
      <c r="L342" s="619">
        <v>0.89244055630327501</v>
      </c>
      <c r="M342" s="619">
        <v>109</v>
      </c>
      <c r="N342" s="619">
        <v>75</v>
      </c>
      <c r="O342" s="619">
        <v>8775</v>
      </c>
      <c r="P342" s="640">
        <v>0.98418573351278604</v>
      </c>
      <c r="Q342" s="620">
        <v>117</v>
      </c>
    </row>
    <row r="343" spans="1:17" ht="14.4" customHeight="1" x14ac:dyDescent="0.3">
      <c r="A343" s="615" t="s">
        <v>5577</v>
      </c>
      <c r="B343" s="616" t="s">
        <v>5578</v>
      </c>
      <c r="C343" s="616" t="s">
        <v>3592</v>
      </c>
      <c r="D343" s="616" t="s">
        <v>5599</v>
      </c>
      <c r="E343" s="616" t="s">
        <v>5600</v>
      </c>
      <c r="F343" s="619"/>
      <c r="G343" s="619"/>
      <c r="H343" s="619"/>
      <c r="I343" s="619"/>
      <c r="J343" s="619"/>
      <c r="K343" s="619"/>
      <c r="L343" s="619"/>
      <c r="M343" s="619"/>
      <c r="N343" s="619">
        <v>1</v>
      </c>
      <c r="O343" s="619">
        <v>49</v>
      </c>
      <c r="P343" s="640"/>
      <c r="Q343" s="620">
        <v>49</v>
      </c>
    </row>
    <row r="344" spans="1:17" ht="14.4" customHeight="1" x14ac:dyDescent="0.3">
      <c r="A344" s="615" t="s">
        <v>5577</v>
      </c>
      <c r="B344" s="616" t="s">
        <v>5578</v>
      </c>
      <c r="C344" s="616" t="s">
        <v>3592</v>
      </c>
      <c r="D344" s="616" t="s">
        <v>5601</v>
      </c>
      <c r="E344" s="616" t="s">
        <v>5602</v>
      </c>
      <c r="F344" s="619">
        <v>5</v>
      </c>
      <c r="G344" s="619">
        <v>1865</v>
      </c>
      <c r="H344" s="619">
        <v>1</v>
      </c>
      <c r="I344" s="619">
        <v>373</v>
      </c>
      <c r="J344" s="619">
        <v>5</v>
      </c>
      <c r="K344" s="619">
        <v>1880</v>
      </c>
      <c r="L344" s="619">
        <v>1.0080428954423593</v>
      </c>
      <c r="M344" s="619">
        <v>376</v>
      </c>
      <c r="N344" s="619">
        <v>5</v>
      </c>
      <c r="O344" s="619">
        <v>1935</v>
      </c>
      <c r="P344" s="640">
        <v>1.0375335120643432</v>
      </c>
      <c r="Q344" s="620">
        <v>387</v>
      </c>
    </row>
    <row r="345" spans="1:17" ht="14.4" customHeight="1" x14ac:dyDescent="0.3">
      <c r="A345" s="615" t="s">
        <v>5577</v>
      </c>
      <c r="B345" s="616" t="s">
        <v>5578</v>
      </c>
      <c r="C345" s="616" t="s">
        <v>3592</v>
      </c>
      <c r="D345" s="616" t="s">
        <v>5603</v>
      </c>
      <c r="E345" s="616" t="s">
        <v>5604</v>
      </c>
      <c r="F345" s="619">
        <v>59</v>
      </c>
      <c r="G345" s="619">
        <v>2183</v>
      </c>
      <c r="H345" s="619">
        <v>1</v>
      </c>
      <c r="I345" s="619">
        <v>37</v>
      </c>
      <c r="J345" s="619">
        <v>51</v>
      </c>
      <c r="K345" s="619">
        <v>1887</v>
      </c>
      <c r="L345" s="619">
        <v>0.86440677966101698</v>
      </c>
      <c r="M345" s="619">
        <v>37</v>
      </c>
      <c r="N345" s="619">
        <v>56</v>
      </c>
      <c r="O345" s="619">
        <v>2128</v>
      </c>
      <c r="P345" s="640">
        <v>0.97480531378836466</v>
      </c>
      <c r="Q345" s="620">
        <v>38</v>
      </c>
    </row>
    <row r="346" spans="1:17" ht="14.4" customHeight="1" x14ac:dyDescent="0.3">
      <c r="A346" s="615" t="s">
        <v>5577</v>
      </c>
      <c r="B346" s="616" t="s">
        <v>5578</v>
      </c>
      <c r="C346" s="616" t="s">
        <v>3592</v>
      </c>
      <c r="D346" s="616" t="s">
        <v>5605</v>
      </c>
      <c r="E346" s="616" t="s">
        <v>5606</v>
      </c>
      <c r="F346" s="619">
        <v>3</v>
      </c>
      <c r="G346" s="619">
        <v>2016</v>
      </c>
      <c r="H346" s="619">
        <v>1</v>
      </c>
      <c r="I346" s="619">
        <v>672</v>
      </c>
      <c r="J346" s="619">
        <v>6</v>
      </c>
      <c r="K346" s="619">
        <v>4056</v>
      </c>
      <c r="L346" s="619">
        <v>2.0119047619047619</v>
      </c>
      <c r="M346" s="619">
        <v>676</v>
      </c>
      <c r="N346" s="619">
        <v>6</v>
      </c>
      <c r="O346" s="619">
        <v>4224</v>
      </c>
      <c r="P346" s="640">
        <v>2.0952380952380953</v>
      </c>
      <c r="Q346" s="620">
        <v>704</v>
      </c>
    </row>
    <row r="347" spans="1:17" ht="14.4" customHeight="1" x14ac:dyDescent="0.3">
      <c r="A347" s="615" t="s">
        <v>5577</v>
      </c>
      <c r="B347" s="616" t="s">
        <v>5578</v>
      </c>
      <c r="C347" s="616" t="s">
        <v>3592</v>
      </c>
      <c r="D347" s="616" t="s">
        <v>5607</v>
      </c>
      <c r="E347" s="616" t="s">
        <v>5608</v>
      </c>
      <c r="F347" s="619">
        <v>2</v>
      </c>
      <c r="G347" s="619">
        <v>273</v>
      </c>
      <c r="H347" s="619">
        <v>1</v>
      </c>
      <c r="I347" s="619">
        <v>136.5</v>
      </c>
      <c r="J347" s="619">
        <v>1</v>
      </c>
      <c r="K347" s="619">
        <v>138</v>
      </c>
      <c r="L347" s="619">
        <v>0.50549450549450547</v>
      </c>
      <c r="M347" s="619">
        <v>138</v>
      </c>
      <c r="N347" s="619"/>
      <c r="O347" s="619"/>
      <c r="P347" s="640"/>
      <c r="Q347" s="620"/>
    </row>
    <row r="348" spans="1:17" ht="14.4" customHeight="1" x14ac:dyDescent="0.3">
      <c r="A348" s="615" t="s">
        <v>5577</v>
      </c>
      <c r="B348" s="616" t="s">
        <v>5578</v>
      </c>
      <c r="C348" s="616" t="s">
        <v>3592</v>
      </c>
      <c r="D348" s="616" t="s">
        <v>5609</v>
      </c>
      <c r="E348" s="616" t="s">
        <v>5610</v>
      </c>
      <c r="F348" s="619">
        <v>767</v>
      </c>
      <c r="G348" s="619">
        <v>217318</v>
      </c>
      <c r="H348" s="619">
        <v>1</v>
      </c>
      <c r="I348" s="619">
        <v>283.33507170795309</v>
      </c>
      <c r="J348" s="619">
        <v>687</v>
      </c>
      <c r="K348" s="619">
        <v>195795</v>
      </c>
      <c r="L348" s="619">
        <v>0.90096080398310308</v>
      </c>
      <c r="M348" s="619">
        <v>285</v>
      </c>
      <c r="N348" s="619">
        <v>846</v>
      </c>
      <c r="O348" s="619">
        <v>257184</v>
      </c>
      <c r="P348" s="640">
        <v>1.1834454578083731</v>
      </c>
      <c r="Q348" s="620">
        <v>304</v>
      </c>
    </row>
    <row r="349" spans="1:17" ht="14.4" customHeight="1" x14ac:dyDescent="0.3">
      <c r="A349" s="615" t="s">
        <v>5577</v>
      </c>
      <c r="B349" s="616" t="s">
        <v>5578</v>
      </c>
      <c r="C349" s="616" t="s">
        <v>3592</v>
      </c>
      <c r="D349" s="616" t="s">
        <v>5611</v>
      </c>
      <c r="E349" s="616" t="s">
        <v>5612</v>
      </c>
      <c r="F349" s="619">
        <v>496</v>
      </c>
      <c r="G349" s="619">
        <v>227628</v>
      </c>
      <c r="H349" s="619">
        <v>1</v>
      </c>
      <c r="I349" s="619">
        <v>458.92741935483872</v>
      </c>
      <c r="J349" s="619">
        <v>395</v>
      </c>
      <c r="K349" s="619">
        <v>182490</v>
      </c>
      <c r="L349" s="619">
        <v>0.80170277821709102</v>
      </c>
      <c r="M349" s="619">
        <v>462</v>
      </c>
      <c r="N349" s="619">
        <v>457</v>
      </c>
      <c r="O349" s="619">
        <v>225758</v>
      </c>
      <c r="P349" s="640">
        <v>0.99178484193508709</v>
      </c>
      <c r="Q349" s="620">
        <v>494</v>
      </c>
    </row>
    <row r="350" spans="1:17" ht="14.4" customHeight="1" x14ac:dyDescent="0.3">
      <c r="A350" s="615" t="s">
        <v>5577</v>
      </c>
      <c r="B350" s="616" t="s">
        <v>5578</v>
      </c>
      <c r="C350" s="616" t="s">
        <v>3592</v>
      </c>
      <c r="D350" s="616" t="s">
        <v>5613</v>
      </c>
      <c r="E350" s="616" t="s">
        <v>5614</v>
      </c>
      <c r="F350" s="619">
        <v>1093</v>
      </c>
      <c r="G350" s="619">
        <v>385428</v>
      </c>
      <c r="H350" s="619">
        <v>1</v>
      </c>
      <c r="I350" s="619">
        <v>352.63311985361389</v>
      </c>
      <c r="J350" s="619">
        <v>903</v>
      </c>
      <c r="K350" s="619">
        <v>321468</v>
      </c>
      <c r="L350" s="619">
        <v>0.8340546094212149</v>
      </c>
      <c r="M350" s="619">
        <v>356</v>
      </c>
      <c r="N350" s="619">
        <v>1062</v>
      </c>
      <c r="O350" s="619">
        <v>392940</v>
      </c>
      <c r="P350" s="640">
        <v>1.0194900214826115</v>
      </c>
      <c r="Q350" s="620">
        <v>370</v>
      </c>
    </row>
    <row r="351" spans="1:17" ht="14.4" customHeight="1" x14ac:dyDescent="0.3">
      <c r="A351" s="615" t="s">
        <v>5577</v>
      </c>
      <c r="B351" s="616" t="s">
        <v>5578</v>
      </c>
      <c r="C351" s="616" t="s">
        <v>3592</v>
      </c>
      <c r="D351" s="616" t="s">
        <v>5615</v>
      </c>
      <c r="E351" s="616" t="s">
        <v>5616</v>
      </c>
      <c r="F351" s="619">
        <v>1</v>
      </c>
      <c r="G351" s="619">
        <v>2907</v>
      </c>
      <c r="H351" s="619">
        <v>1</v>
      </c>
      <c r="I351" s="619">
        <v>2907</v>
      </c>
      <c r="J351" s="619"/>
      <c r="K351" s="619"/>
      <c r="L351" s="619"/>
      <c r="M351" s="619"/>
      <c r="N351" s="619"/>
      <c r="O351" s="619"/>
      <c r="P351" s="640"/>
      <c r="Q351" s="620"/>
    </row>
    <row r="352" spans="1:17" ht="14.4" customHeight="1" x14ac:dyDescent="0.3">
      <c r="A352" s="615" t="s">
        <v>5577</v>
      </c>
      <c r="B352" s="616" t="s">
        <v>5578</v>
      </c>
      <c r="C352" s="616" t="s">
        <v>3592</v>
      </c>
      <c r="D352" s="616" t="s">
        <v>5617</v>
      </c>
      <c r="E352" s="616" t="s">
        <v>5618</v>
      </c>
      <c r="F352" s="619"/>
      <c r="G352" s="619"/>
      <c r="H352" s="619"/>
      <c r="I352" s="619"/>
      <c r="J352" s="619">
        <v>1</v>
      </c>
      <c r="K352" s="619">
        <v>12792</v>
      </c>
      <c r="L352" s="619"/>
      <c r="M352" s="619">
        <v>12792</v>
      </c>
      <c r="N352" s="619">
        <v>1</v>
      </c>
      <c r="O352" s="619">
        <v>12793</v>
      </c>
      <c r="P352" s="640"/>
      <c r="Q352" s="620">
        <v>12793</v>
      </c>
    </row>
    <row r="353" spans="1:17" ht="14.4" customHeight="1" x14ac:dyDescent="0.3">
      <c r="A353" s="615" t="s">
        <v>5577</v>
      </c>
      <c r="B353" s="616" t="s">
        <v>5578</v>
      </c>
      <c r="C353" s="616" t="s">
        <v>3592</v>
      </c>
      <c r="D353" s="616" t="s">
        <v>5619</v>
      </c>
      <c r="E353" s="616" t="s">
        <v>5620</v>
      </c>
      <c r="F353" s="619">
        <v>5</v>
      </c>
      <c r="G353" s="619">
        <v>520</v>
      </c>
      <c r="H353" s="619">
        <v>1</v>
      </c>
      <c r="I353" s="619">
        <v>104</v>
      </c>
      <c r="J353" s="619">
        <v>10</v>
      </c>
      <c r="K353" s="619">
        <v>1050</v>
      </c>
      <c r="L353" s="619">
        <v>2.0192307692307692</v>
      </c>
      <c r="M353" s="619">
        <v>105</v>
      </c>
      <c r="N353" s="619"/>
      <c r="O353" s="619"/>
      <c r="P353" s="640"/>
      <c r="Q353" s="620"/>
    </row>
    <row r="354" spans="1:17" ht="14.4" customHeight="1" x14ac:dyDescent="0.3">
      <c r="A354" s="615" t="s">
        <v>5577</v>
      </c>
      <c r="B354" s="616" t="s">
        <v>5578</v>
      </c>
      <c r="C354" s="616" t="s">
        <v>3592</v>
      </c>
      <c r="D354" s="616" t="s">
        <v>5621</v>
      </c>
      <c r="E354" s="616" t="s">
        <v>5622</v>
      </c>
      <c r="F354" s="619">
        <v>42</v>
      </c>
      <c r="G354" s="619">
        <v>4866</v>
      </c>
      <c r="H354" s="619">
        <v>1</v>
      </c>
      <c r="I354" s="619">
        <v>115.85714285714286</v>
      </c>
      <c r="J354" s="619">
        <v>28</v>
      </c>
      <c r="K354" s="619">
        <v>3276</v>
      </c>
      <c r="L354" s="619">
        <v>0.67324290998766956</v>
      </c>
      <c r="M354" s="619">
        <v>117</v>
      </c>
      <c r="N354" s="619">
        <v>59</v>
      </c>
      <c r="O354" s="619">
        <v>7375</v>
      </c>
      <c r="P354" s="640">
        <v>1.5156185778873819</v>
      </c>
      <c r="Q354" s="620">
        <v>125</v>
      </c>
    </row>
    <row r="355" spans="1:17" ht="14.4" customHeight="1" x14ac:dyDescent="0.3">
      <c r="A355" s="615" t="s">
        <v>5577</v>
      </c>
      <c r="B355" s="616" t="s">
        <v>5578</v>
      </c>
      <c r="C355" s="616" t="s">
        <v>3592</v>
      </c>
      <c r="D355" s="616" t="s">
        <v>5623</v>
      </c>
      <c r="E355" s="616" t="s">
        <v>5624</v>
      </c>
      <c r="F355" s="619">
        <v>93</v>
      </c>
      <c r="G355" s="619">
        <v>42785</v>
      </c>
      <c r="H355" s="619">
        <v>1</v>
      </c>
      <c r="I355" s="619">
        <v>460.05376344086022</v>
      </c>
      <c r="J355" s="619">
        <v>85</v>
      </c>
      <c r="K355" s="619">
        <v>39355</v>
      </c>
      <c r="L355" s="619">
        <v>0.91983171672315067</v>
      </c>
      <c r="M355" s="619">
        <v>463</v>
      </c>
      <c r="N355" s="619">
        <v>92</v>
      </c>
      <c r="O355" s="619">
        <v>45540</v>
      </c>
      <c r="P355" s="640">
        <v>1.0643917260722215</v>
      </c>
      <c r="Q355" s="620">
        <v>495</v>
      </c>
    </row>
    <row r="356" spans="1:17" ht="14.4" customHeight="1" x14ac:dyDescent="0.3">
      <c r="A356" s="615" t="s">
        <v>5577</v>
      </c>
      <c r="B356" s="616" t="s">
        <v>5578</v>
      </c>
      <c r="C356" s="616" t="s">
        <v>3592</v>
      </c>
      <c r="D356" s="616" t="s">
        <v>5134</v>
      </c>
      <c r="E356" s="616" t="s">
        <v>5135</v>
      </c>
      <c r="F356" s="619">
        <v>2</v>
      </c>
      <c r="G356" s="619">
        <v>2522</v>
      </c>
      <c r="H356" s="619">
        <v>1</v>
      </c>
      <c r="I356" s="619">
        <v>1261</v>
      </c>
      <c r="J356" s="619">
        <v>4</v>
      </c>
      <c r="K356" s="619">
        <v>5072</v>
      </c>
      <c r="L356" s="619">
        <v>2.0111022997620935</v>
      </c>
      <c r="M356" s="619">
        <v>1268</v>
      </c>
      <c r="N356" s="619">
        <v>1</v>
      </c>
      <c r="O356" s="619">
        <v>1283</v>
      </c>
      <c r="P356" s="640">
        <v>0.50872323552735921</v>
      </c>
      <c r="Q356" s="620">
        <v>1283</v>
      </c>
    </row>
    <row r="357" spans="1:17" ht="14.4" customHeight="1" x14ac:dyDescent="0.3">
      <c r="A357" s="615" t="s">
        <v>5577</v>
      </c>
      <c r="B357" s="616" t="s">
        <v>5578</v>
      </c>
      <c r="C357" s="616" t="s">
        <v>3592</v>
      </c>
      <c r="D357" s="616" t="s">
        <v>5625</v>
      </c>
      <c r="E357" s="616" t="s">
        <v>5626</v>
      </c>
      <c r="F357" s="619">
        <v>27</v>
      </c>
      <c r="G357" s="619">
        <v>11718</v>
      </c>
      <c r="H357" s="619">
        <v>1</v>
      </c>
      <c r="I357" s="619">
        <v>434</v>
      </c>
      <c r="J357" s="619">
        <v>16</v>
      </c>
      <c r="K357" s="619">
        <v>6992</v>
      </c>
      <c r="L357" s="619">
        <v>0.59668885475337086</v>
      </c>
      <c r="M357" s="619">
        <v>437</v>
      </c>
      <c r="N357" s="619">
        <v>19</v>
      </c>
      <c r="O357" s="619">
        <v>8664</v>
      </c>
      <c r="P357" s="640">
        <v>0.73937532002048134</v>
      </c>
      <c r="Q357" s="620">
        <v>456</v>
      </c>
    </row>
    <row r="358" spans="1:17" ht="14.4" customHeight="1" x14ac:dyDescent="0.3">
      <c r="A358" s="615" t="s">
        <v>5577</v>
      </c>
      <c r="B358" s="616" t="s">
        <v>5578</v>
      </c>
      <c r="C358" s="616" t="s">
        <v>3592</v>
      </c>
      <c r="D358" s="616" t="s">
        <v>5627</v>
      </c>
      <c r="E358" s="616" t="s">
        <v>5628</v>
      </c>
      <c r="F358" s="619">
        <v>124</v>
      </c>
      <c r="G358" s="619">
        <v>6680</v>
      </c>
      <c r="H358" s="619">
        <v>1</v>
      </c>
      <c r="I358" s="619">
        <v>53.87096774193548</v>
      </c>
      <c r="J358" s="619">
        <v>30</v>
      </c>
      <c r="K358" s="619">
        <v>1620</v>
      </c>
      <c r="L358" s="619">
        <v>0.24251497005988024</v>
      </c>
      <c r="M358" s="619">
        <v>54</v>
      </c>
      <c r="N358" s="619">
        <v>60</v>
      </c>
      <c r="O358" s="619">
        <v>3480</v>
      </c>
      <c r="P358" s="640">
        <v>0.52095808383233533</v>
      </c>
      <c r="Q358" s="620">
        <v>58</v>
      </c>
    </row>
    <row r="359" spans="1:17" ht="14.4" customHeight="1" x14ac:dyDescent="0.3">
      <c r="A359" s="615" t="s">
        <v>5577</v>
      </c>
      <c r="B359" s="616" t="s">
        <v>5578</v>
      </c>
      <c r="C359" s="616" t="s">
        <v>3592</v>
      </c>
      <c r="D359" s="616" t="s">
        <v>5629</v>
      </c>
      <c r="E359" s="616" t="s">
        <v>5630</v>
      </c>
      <c r="F359" s="619">
        <v>2</v>
      </c>
      <c r="G359" s="619">
        <v>4334</v>
      </c>
      <c r="H359" s="619">
        <v>1</v>
      </c>
      <c r="I359" s="619">
        <v>2167</v>
      </c>
      <c r="J359" s="619">
        <v>1</v>
      </c>
      <c r="K359" s="619">
        <v>2172</v>
      </c>
      <c r="L359" s="619">
        <v>0.50115366866635902</v>
      </c>
      <c r="M359" s="619">
        <v>2172</v>
      </c>
      <c r="N359" s="619">
        <v>3</v>
      </c>
      <c r="O359" s="619">
        <v>6519</v>
      </c>
      <c r="P359" s="640">
        <v>1.5041532071988926</v>
      </c>
      <c r="Q359" s="620">
        <v>2173</v>
      </c>
    </row>
    <row r="360" spans="1:17" ht="14.4" customHeight="1" x14ac:dyDescent="0.3">
      <c r="A360" s="615" t="s">
        <v>5577</v>
      </c>
      <c r="B360" s="616" t="s">
        <v>5578</v>
      </c>
      <c r="C360" s="616" t="s">
        <v>3592</v>
      </c>
      <c r="D360" s="616" t="s">
        <v>5631</v>
      </c>
      <c r="E360" s="616" t="s">
        <v>5632</v>
      </c>
      <c r="F360" s="619">
        <v>6203</v>
      </c>
      <c r="G360" s="619">
        <v>1037454</v>
      </c>
      <c r="H360" s="619">
        <v>1</v>
      </c>
      <c r="I360" s="619">
        <v>167.2503627277124</v>
      </c>
      <c r="J360" s="619">
        <v>5271</v>
      </c>
      <c r="K360" s="619">
        <v>890799</v>
      </c>
      <c r="L360" s="619">
        <v>0.85863951558334151</v>
      </c>
      <c r="M360" s="619">
        <v>169</v>
      </c>
      <c r="N360" s="619">
        <v>5450</v>
      </c>
      <c r="O360" s="619">
        <v>953750</v>
      </c>
      <c r="P360" s="640">
        <v>0.91931786855128039</v>
      </c>
      <c r="Q360" s="620">
        <v>175</v>
      </c>
    </row>
    <row r="361" spans="1:17" ht="14.4" customHeight="1" x14ac:dyDescent="0.3">
      <c r="A361" s="615" t="s">
        <v>5577</v>
      </c>
      <c r="B361" s="616" t="s">
        <v>5578</v>
      </c>
      <c r="C361" s="616" t="s">
        <v>3592</v>
      </c>
      <c r="D361" s="616" t="s">
        <v>5633</v>
      </c>
      <c r="E361" s="616" t="s">
        <v>5634</v>
      </c>
      <c r="F361" s="619">
        <v>10</v>
      </c>
      <c r="G361" s="619">
        <v>800</v>
      </c>
      <c r="H361" s="619">
        <v>1</v>
      </c>
      <c r="I361" s="619">
        <v>80</v>
      </c>
      <c r="J361" s="619">
        <v>23</v>
      </c>
      <c r="K361" s="619">
        <v>1863</v>
      </c>
      <c r="L361" s="619">
        <v>2.3287499999999999</v>
      </c>
      <c r="M361" s="619">
        <v>81</v>
      </c>
      <c r="N361" s="619">
        <v>16</v>
      </c>
      <c r="O361" s="619">
        <v>1360</v>
      </c>
      <c r="P361" s="640">
        <v>1.7</v>
      </c>
      <c r="Q361" s="620">
        <v>85</v>
      </c>
    </row>
    <row r="362" spans="1:17" ht="14.4" customHeight="1" x14ac:dyDescent="0.3">
      <c r="A362" s="615" t="s">
        <v>5577</v>
      </c>
      <c r="B362" s="616" t="s">
        <v>5578</v>
      </c>
      <c r="C362" s="616" t="s">
        <v>3592</v>
      </c>
      <c r="D362" s="616" t="s">
        <v>5635</v>
      </c>
      <c r="E362" s="616" t="s">
        <v>5636</v>
      </c>
      <c r="F362" s="619">
        <v>2</v>
      </c>
      <c r="G362" s="619">
        <v>330</v>
      </c>
      <c r="H362" s="619">
        <v>1</v>
      </c>
      <c r="I362" s="619">
        <v>165</v>
      </c>
      <c r="J362" s="619">
        <v>2</v>
      </c>
      <c r="K362" s="619">
        <v>332</v>
      </c>
      <c r="L362" s="619">
        <v>1.0060606060606061</v>
      </c>
      <c r="M362" s="619">
        <v>166</v>
      </c>
      <c r="N362" s="619"/>
      <c r="O362" s="619"/>
      <c r="P362" s="640"/>
      <c r="Q362" s="620"/>
    </row>
    <row r="363" spans="1:17" ht="14.4" customHeight="1" x14ac:dyDescent="0.3">
      <c r="A363" s="615" t="s">
        <v>5577</v>
      </c>
      <c r="B363" s="616" t="s">
        <v>5578</v>
      </c>
      <c r="C363" s="616" t="s">
        <v>3592</v>
      </c>
      <c r="D363" s="616" t="s">
        <v>5637</v>
      </c>
      <c r="E363" s="616" t="s">
        <v>5638</v>
      </c>
      <c r="F363" s="619">
        <v>41</v>
      </c>
      <c r="G363" s="619">
        <v>6622</v>
      </c>
      <c r="H363" s="619">
        <v>1</v>
      </c>
      <c r="I363" s="619">
        <v>161.51219512195121</v>
      </c>
      <c r="J363" s="619">
        <v>12</v>
      </c>
      <c r="K363" s="619">
        <v>1956</v>
      </c>
      <c r="L363" s="619">
        <v>0.2953790395650861</v>
      </c>
      <c r="M363" s="619">
        <v>163</v>
      </c>
      <c r="N363" s="619">
        <v>29</v>
      </c>
      <c r="O363" s="619">
        <v>4901</v>
      </c>
      <c r="P363" s="640">
        <v>0.74010872848082154</v>
      </c>
      <c r="Q363" s="620">
        <v>169</v>
      </c>
    </row>
    <row r="364" spans="1:17" ht="14.4" customHeight="1" x14ac:dyDescent="0.3">
      <c r="A364" s="615" t="s">
        <v>5577</v>
      </c>
      <c r="B364" s="616" t="s">
        <v>5578</v>
      </c>
      <c r="C364" s="616" t="s">
        <v>3592</v>
      </c>
      <c r="D364" s="616" t="s">
        <v>5639</v>
      </c>
      <c r="E364" s="616" t="s">
        <v>5640</v>
      </c>
      <c r="F364" s="619">
        <v>1</v>
      </c>
      <c r="G364" s="619">
        <v>28</v>
      </c>
      <c r="H364" s="619">
        <v>1</v>
      </c>
      <c r="I364" s="619">
        <v>28</v>
      </c>
      <c r="J364" s="619"/>
      <c r="K364" s="619"/>
      <c r="L364" s="619"/>
      <c r="M364" s="619"/>
      <c r="N364" s="619">
        <v>1</v>
      </c>
      <c r="O364" s="619">
        <v>29</v>
      </c>
      <c r="P364" s="640">
        <v>1.0357142857142858</v>
      </c>
      <c r="Q364" s="620">
        <v>29</v>
      </c>
    </row>
    <row r="365" spans="1:17" ht="14.4" customHeight="1" x14ac:dyDescent="0.3">
      <c r="A365" s="615" t="s">
        <v>5577</v>
      </c>
      <c r="B365" s="616" t="s">
        <v>5578</v>
      </c>
      <c r="C365" s="616" t="s">
        <v>3592</v>
      </c>
      <c r="D365" s="616" t="s">
        <v>5014</v>
      </c>
      <c r="E365" s="616" t="s">
        <v>5015</v>
      </c>
      <c r="F365" s="619">
        <v>12</v>
      </c>
      <c r="G365" s="619">
        <v>12072</v>
      </c>
      <c r="H365" s="619">
        <v>1</v>
      </c>
      <c r="I365" s="619">
        <v>1006</v>
      </c>
      <c r="J365" s="619">
        <v>5</v>
      </c>
      <c r="K365" s="619">
        <v>5040</v>
      </c>
      <c r="L365" s="619">
        <v>0.41749502982107356</v>
      </c>
      <c r="M365" s="619">
        <v>1008</v>
      </c>
      <c r="N365" s="619">
        <v>7</v>
      </c>
      <c r="O365" s="619">
        <v>7077</v>
      </c>
      <c r="P365" s="640">
        <v>0.58623260437375746</v>
      </c>
      <c r="Q365" s="620">
        <v>1011</v>
      </c>
    </row>
    <row r="366" spans="1:17" ht="14.4" customHeight="1" x14ac:dyDescent="0.3">
      <c r="A366" s="615" t="s">
        <v>5577</v>
      </c>
      <c r="B366" s="616" t="s">
        <v>5578</v>
      </c>
      <c r="C366" s="616" t="s">
        <v>3592</v>
      </c>
      <c r="D366" s="616" t="s">
        <v>5641</v>
      </c>
      <c r="E366" s="616" t="s">
        <v>5642</v>
      </c>
      <c r="F366" s="619">
        <v>1</v>
      </c>
      <c r="G366" s="619">
        <v>169</v>
      </c>
      <c r="H366" s="619">
        <v>1</v>
      </c>
      <c r="I366" s="619">
        <v>169</v>
      </c>
      <c r="J366" s="619">
        <v>3</v>
      </c>
      <c r="K366" s="619">
        <v>510</v>
      </c>
      <c r="L366" s="619">
        <v>3.0177514792899407</v>
      </c>
      <c r="M366" s="619">
        <v>170</v>
      </c>
      <c r="N366" s="619">
        <v>1</v>
      </c>
      <c r="O366" s="619">
        <v>176</v>
      </c>
      <c r="P366" s="640">
        <v>1.0414201183431953</v>
      </c>
      <c r="Q366" s="620">
        <v>176</v>
      </c>
    </row>
    <row r="367" spans="1:17" ht="14.4" customHeight="1" x14ac:dyDescent="0.3">
      <c r="A367" s="615" t="s">
        <v>5577</v>
      </c>
      <c r="B367" s="616" t="s">
        <v>5578</v>
      </c>
      <c r="C367" s="616" t="s">
        <v>3592</v>
      </c>
      <c r="D367" s="616" t="s">
        <v>5236</v>
      </c>
      <c r="E367" s="616" t="s">
        <v>5237</v>
      </c>
      <c r="F367" s="619">
        <v>22</v>
      </c>
      <c r="G367" s="619">
        <v>49588</v>
      </c>
      <c r="H367" s="619">
        <v>1</v>
      </c>
      <c r="I367" s="619">
        <v>2254</v>
      </c>
      <c r="J367" s="619">
        <v>16</v>
      </c>
      <c r="K367" s="619">
        <v>36224</v>
      </c>
      <c r="L367" s="619">
        <v>0.73049931435024607</v>
      </c>
      <c r="M367" s="619">
        <v>2264</v>
      </c>
      <c r="N367" s="619">
        <v>6</v>
      </c>
      <c r="O367" s="619">
        <v>13764</v>
      </c>
      <c r="P367" s="640">
        <v>0.27756715334355087</v>
      </c>
      <c r="Q367" s="620">
        <v>2294</v>
      </c>
    </row>
    <row r="368" spans="1:17" ht="14.4" customHeight="1" x14ac:dyDescent="0.3">
      <c r="A368" s="615" t="s">
        <v>5577</v>
      </c>
      <c r="B368" s="616" t="s">
        <v>5578</v>
      </c>
      <c r="C368" s="616" t="s">
        <v>3592</v>
      </c>
      <c r="D368" s="616" t="s">
        <v>5643</v>
      </c>
      <c r="E368" s="616" t="s">
        <v>5644</v>
      </c>
      <c r="F368" s="619">
        <v>4</v>
      </c>
      <c r="G368" s="619">
        <v>984</v>
      </c>
      <c r="H368" s="619">
        <v>1</v>
      </c>
      <c r="I368" s="619">
        <v>246</v>
      </c>
      <c r="J368" s="619">
        <v>5</v>
      </c>
      <c r="K368" s="619">
        <v>1235</v>
      </c>
      <c r="L368" s="619">
        <v>1.2550813008130082</v>
      </c>
      <c r="M368" s="619">
        <v>247</v>
      </c>
      <c r="N368" s="619">
        <v>5</v>
      </c>
      <c r="O368" s="619">
        <v>1315</v>
      </c>
      <c r="P368" s="640">
        <v>1.3363821138211383</v>
      </c>
      <c r="Q368" s="620">
        <v>263</v>
      </c>
    </row>
    <row r="369" spans="1:17" ht="14.4" customHeight="1" x14ac:dyDescent="0.3">
      <c r="A369" s="615" t="s">
        <v>5577</v>
      </c>
      <c r="B369" s="616" t="s">
        <v>5578</v>
      </c>
      <c r="C369" s="616" t="s">
        <v>3592</v>
      </c>
      <c r="D369" s="616" t="s">
        <v>5645</v>
      </c>
      <c r="E369" s="616" t="s">
        <v>5646</v>
      </c>
      <c r="F369" s="619">
        <v>14</v>
      </c>
      <c r="G369" s="619">
        <v>28019</v>
      </c>
      <c r="H369" s="619">
        <v>1</v>
      </c>
      <c r="I369" s="619">
        <v>2001.3571428571429</v>
      </c>
      <c r="J369" s="619">
        <v>8</v>
      </c>
      <c r="K369" s="619">
        <v>16096</v>
      </c>
      <c r="L369" s="619">
        <v>0.57446732574324566</v>
      </c>
      <c r="M369" s="619">
        <v>2012</v>
      </c>
      <c r="N369" s="619">
        <v>17</v>
      </c>
      <c r="O369" s="619">
        <v>36210</v>
      </c>
      <c r="P369" s="640">
        <v>1.2923373425175773</v>
      </c>
      <c r="Q369" s="620">
        <v>2130</v>
      </c>
    </row>
    <row r="370" spans="1:17" ht="14.4" customHeight="1" x14ac:dyDescent="0.3">
      <c r="A370" s="615" t="s">
        <v>5577</v>
      </c>
      <c r="B370" s="616" t="s">
        <v>5578</v>
      </c>
      <c r="C370" s="616" t="s">
        <v>3592</v>
      </c>
      <c r="D370" s="616" t="s">
        <v>5647</v>
      </c>
      <c r="E370" s="616" t="s">
        <v>5648</v>
      </c>
      <c r="F370" s="619">
        <v>106</v>
      </c>
      <c r="G370" s="619">
        <v>23802</v>
      </c>
      <c r="H370" s="619">
        <v>1</v>
      </c>
      <c r="I370" s="619">
        <v>224.54716981132074</v>
      </c>
      <c r="J370" s="619">
        <v>102</v>
      </c>
      <c r="K370" s="619">
        <v>23052</v>
      </c>
      <c r="L370" s="619">
        <v>0.96849004285354168</v>
      </c>
      <c r="M370" s="619">
        <v>226</v>
      </c>
      <c r="N370" s="619">
        <v>91</v>
      </c>
      <c r="O370" s="619">
        <v>22022</v>
      </c>
      <c r="P370" s="640">
        <v>0.92521636837240573</v>
      </c>
      <c r="Q370" s="620">
        <v>242</v>
      </c>
    </row>
    <row r="371" spans="1:17" ht="14.4" customHeight="1" x14ac:dyDescent="0.3">
      <c r="A371" s="615" t="s">
        <v>5577</v>
      </c>
      <c r="B371" s="616" t="s">
        <v>5578</v>
      </c>
      <c r="C371" s="616" t="s">
        <v>3592</v>
      </c>
      <c r="D371" s="616" t="s">
        <v>5649</v>
      </c>
      <c r="E371" s="616" t="s">
        <v>5650</v>
      </c>
      <c r="F371" s="619">
        <v>21</v>
      </c>
      <c r="G371" s="619">
        <v>8664</v>
      </c>
      <c r="H371" s="619">
        <v>1</v>
      </c>
      <c r="I371" s="619">
        <v>412.57142857142856</v>
      </c>
      <c r="J371" s="619">
        <v>2</v>
      </c>
      <c r="K371" s="619">
        <v>836</v>
      </c>
      <c r="L371" s="619">
        <v>9.6491228070175433E-2</v>
      </c>
      <c r="M371" s="619">
        <v>418</v>
      </c>
      <c r="N371" s="619">
        <v>14</v>
      </c>
      <c r="O371" s="619">
        <v>5922</v>
      </c>
      <c r="P371" s="640">
        <v>0.68351800554016617</v>
      </c>
      <c r="Q371" s="620">
        <v>423</v>
      </c>
    </row>
    <row r="372" spans="1:17" ht="14.4" customHeight="1" x14ac:dyDescent="0.3">
      <c r="A372" s="615" t="s">
        <v>5577</v>
      </c>
      <c r="B372" s="616" t="s">
        <v>5578</v>
      </c>
      <c r="C372" s="616" t="s">
        <v>3592</v>
      </c>
      <c r="D372" s="616" t="s">
        <v>5651</v>
      </c>
      <c r="E372" s="616" t="s">
        <v>5652</v>
      </c>
      <c r="F372" s="619">
        <v>34</v>
      </c>
      <c r="G372" s="619">
        <v>35228</v>
      </c>
      <c r="H372" s="619">
        <v>1</v>
      </c>
      <c r="I372" s="619">
        <v>1036.1176470588234</v>
      </c>
      <c r="J372" s="619">
        <v>218</v>
      </c>
      <c r="K372" s="619">
        <v>227810</v>
      </c>
      <c r="L372" s="619">
        <v>6.466731009424322</v>
      </c>
      <c r="M372" s="619">
        <v>1045</v>
      </c>
      <c r="N372" s="619">
        <v>217</v>
      </c>
      <c r="O372" s="619">
        <v>228935</v>
      </c>
      <c r="P372" s="640">
        <v>6.4986658339956849</v>
      </c>
      <c r="Q372" s="620">
        <v>1055</v>
      </c>
    </row>
    <row r="373" spans="1:17" ht="14.4" customHeight="1" x14ac:dyDescent="0.3">
      <c r="A373" s="615" t="s">
        <v>5577</v>
      </c>
      <c r="B373" s="616" t="s">
        <v>5578</v>
      </c>
      <c r="C373" s="616" t="s">
        <v>3592</v>
      </c>
      <c r="D373" s="616" t="s">
        <v>5653</v>
      </c>
      <c r="E373" s="616" t="s">
        <v>5654</v>
      </c>
      <c r="F373" s="619">
        <v>3</v>
      </c>
      <c r="G373" s="619">
        <v>802</v>
      </c>
      <c r="H373" s="619">
        <v>1</v>
      </c>
      <c r="I373" s="619">
        <v>267.33333333333331</v>
      </c>
      <c r="J373" s="619">
        <v>1</v>
      </c>
      <c r="K373" s="619">
        <v>269</v>
      </c>
      <c r="L373" s="619">
        <v>0.33541147132169574</v>
      </c>
      <c r="M373" s="619">
        <v>269</v>
      </c>
      <c r="N373" s="619">
        <v>4</v>
      </c>
      <c r="O373" s="619">
        <v>1152</v>
      </c>
      <c r="P373" s="640">
        <v>1.4364089775561097</v>
      </c>
      <c r="Q373" s="620">
        <v>288</v>
      </c>
    </row>
    <row r="374" spans="1:17" ht="14.4" customHeight="1" x14ac:dyDescent="0.3">
      <c r="A374" s="615" t="s">
        <v>5577</v>
      </c>
      <c r="B374" s="616" t="s">
        <v>5578</v>
      </c>
      <c r="C374" s="616" t="s">
        <v>3592</v>
      </c>
      <c r="D374" s="616" t="s">
        <v>5655</v>
      </c>
      <c r="E374" s="616" t="s">
        <v>5656</v>
      </c>
      <c r="F374" s="619"/>
      <c r="G374" s="619"/>
      <c r="H374" s="619"/>
      <c r="I374" s="619"/>
      <c r="J374" s="619"/>
      <c r="K374" s="619"/>
      <c r="L374" s="619"/>
      <c r="M374" s="619"/>
      <c r="N374" s="619">
        <v>1</v>
      </c>
      <c r="O374" s="619">
        <v>0</v>
      </c>
      <c r="P374" s="640"/>
      <c r="Q374" s="620">
        <v>0</v>
      </c>
    </row>
    <row r="375" spans="1:17" ht="14.4" customHeight="1" x14ac:dyDescent="0.3">
      <c r="A375" s="615" t="s">
        <v>5657</v>
      </c>
      <c r="B375" s="616" t="s">
        <v>5658</v>
      </c>
      <c r="C375" s="616" t="s">
        <v>3592</v>
      </c>
      <c r="D375" s="616" t="s">
        <v>5659</v>
      </c>
      <c r="E375" s="616" t="s">
        <v>5660</v>
      </c>
      <c r="F375" s="619">
        <v>2066</v>
      </c>
      <c r="G375" s="619">
        <v>330087</v>
      </c>
      <c r="H375" s="619">
        <v>1</v>
      </c>
      <c r="I375" s="619">
        <v>159.77105517909004</v>
      </c>
      <c r="J375" s="619">
        <v>2240</v>
      </c>
      <c r="K375" s="619">
        <v>360640</v>
      </c>
      <c r="L375" s="619">
        <v>1.0925604461853997</v>
      </c>
      <c r="M375" s="619">
        <v>161</v>
      </c>
      <c r="N375" s="619">
        <v>2293</v>
      </c>
      <c r="O375" s="619">
        <v>396689</v>
      </c>
      <c r="P375" s="640">
        <v>1.2017710482387975</v>
      </c>
      <c r="Q375" s="620">
        <v>173</v>
      </c>
    </row>
    <row r="376" spans="1:17" ht="14.4" customHeight="1" x14ac:dyDescent="0.3">
      <c r="A376" s="615" t="s">
        <v>5657</v>
      </c>
      <c r="B376" s="616" t="s">
        <v>5658</v>
      </c>
      <c r="C376" s="616" t="s">
        <v>3592</v>
      </c>
      <c r="D376" s="616" t="s">
        <v>5661</v>
      </c>
      <c r="E376" s="616" t="s">
        <v>5662</v>
      </c>
      <c r="F376" s="619">
        <v>4</v>
      </c>
      <c r="G376" s="619">
        <v>4672</v>
      </c>
      <c r="H376" s="619">
        <v>1</v>
      </c>
      <c r="I376" s="619">
        <v>1168</v>
      </c>
      <c r="J376" s="619">
        <v>25</v>
      </c>
      <c r="K376" s="619">
        <v>29225</v>
      </c>
      <c r="L376" s="619">
        <v>6.2553510273972606</v>
      </c>
      <c r="M376" s="619">
        <v>1169</v>
      </c>
      <c r="N376" s="619">
        <v>31</v>
      </c>
      <c r="O376" s="619">
        <v>36363</v>
      </c>
      <c r="P376" s="640">
        <v>7.7831763698630141</v>
      </c>
      <c r="Q376" s="620">
        <v>1173</v>
      </c>
    </row>
    <row r="377" spans="1:17" ht="14.4" customHeight="1" x14ac:dyDescent="0.3">
      <c r="A377" s="615" t="s">
        <v>5657</v>
      </c>
      <c r="B377" s="616" t="s">
        <v>5658</v>
      </c>
      <c r="C377" s="616" t="s">
        <v>3592</v>
      </c>
      <c r="D377" s="616" t="s">
        <v>5663</v>
      </c>
      <c r="E377" s="616" t="s">
        <v>5664</v>
      </c>
      <c r="F377" s="619">
        <v>282</v>
      </c>
      <c r="G377" s="619">
        <v>11178</v>
      </c>
      <c r="H377" s="619">
        <v>1</v>
      </c>
      <c r="I377" s="619">
        <v>39.638297872340424</v>
      </c>
      <c r="J377" s="619">
        <v>184</v>
      </c>
      <c r="K377" s="619">
        <v>7360</v>
      </c>
      <c r="L377" s="619">
        <v>0.65843621399176955</v>
      </c>
      <c r="M377" s="619">
        <v>40</v>
      </c>
      <c r="N377" s="619">
        <v>117</v>
      </c>
      <c r="O377" s="619">
        <v>4797</v>
      </c>
      <c r="P377" s="640">
        <v>0.42914653784219003</v>
      </c>
      <c r="Q377" s="620">
        <v>41</v>
      </c>
    </row>
    <row r="378" spans="1:17" ht="14.4" customHeight="1" x14ac:dyDescent="0.3">
      <c r="A378" s="615" t="s">
        <v>5657</v>
      </c>
      <c r="B378" s="616" t="s">
        <v>5658</v>
      </c>
      <c r="C378" s="616" t="s">
        <v>3592</v>
      </c>
      <c r="D378" s="616" t="s">
        <v>5549</v>
      </c>
      <c r="E378" s="616" t="s">
        <v>5550</v>
      </c>
      <c r="F378" s="619">
        <v>32</v>
      </c>
      <c r="G378" s="619">
        <v>12248</v>
      </c>
      <c r="H378" s="619">
        <v>1</v>
      </c>
      <c r="I378" s="619">
        <v>382.75</v>
      </c>
      <c r="J378" s="619">
        <v>24</v>
      </c>
      <c r="K378" s="619">
        <v>9192</v>
      </c>
      <c r="L378" s="619">
        <v>0.75048987589810578</v>
      </c>
      <c r="M378" s="619">
        <v>383</v>
      </c>
      <c r="N378" s="619">
        <v>26</v>
      </c>
      <c r="O378" s="619">
        <v>9984</v>
      </c>
      <c r="P378" s="640">
        <v>0.81515349444807317</v>
      </c>
      <c r="Q378" s="620">
        <v>384</v>
      </c>
    </row>
    <row r="379" spans="1:17" ht="14.4" customHeight="1" x14ac:dyDescent="0.3">
      <c r="A379" s="615" t="s">
        <v>5657</v>
      </c>
      <c r="B379" s="616" t="s">
        <v>5658</v>
      </c>
      <c r="C379" s="616" t="s">
        <v>3592</v>
      </c>
      <c r="D379" s="616" t="s">
        <v>5665</v>
      </c>
      <c r="E379" s="616" t="s">
        <v>5666</v>
      </c>
      <c r="F379" s="619">
        <v>11</v>
      </c>
      <c r="G379" s="619">
        <v>407</v>
      </c>
      <c r="H379" s="619">
        <v>1</v>
      </c>
      <c r="I379" s="619">
        <v>37</v>
      </c>
      <c r="J379" s="619">
        <v>79</v>
      </c>
      <c r="K379" s="619">
        <v>2923</v>
      </c>
      <c r="L379" s="619">
        <v>7.1818181818181817</v>
      </c>
      <c r="M379" s="619">
        <v>37</v>
      </c>
      <c r="N379" s="619">
        <v>78</v>
      </c>
      <c r="O379" s="619">
        <v>2886</v>
      </c>
      <c r="P379" s="640">
        <v>7.0909090909090908</v>
      </c>
      <c r="Q379" s="620">
        <v>37</v>
      </c>
    </row>
    <row r="380" spans="1:17" ht="14.4" customHeight="1" x14ac:dyDescent="0.3">
      <c r="A380" s="615" t="s">
        <v>5657</v>
      </c>
      <c r="B380" s="616" t="s">
        <v>5658</v>
      </c>
      <c r="C380" s="616" t="s">
        <v>3592</v>
      </c>
      <c r="D380" s="616" t="s">
        <v>5667</v>
      </c>
      <c r="E380" s="616" t="s">
        <v>5668</v>
      </c>
      <c r="F380" s="619">
        <v>27</v>
      </c>
      <c r="G380" s="619">
        <v>12006</v>
      </c>
      <c r="H380" s="619">
        <v>1</v>
      </c>
      <c r="I380" s="619">
        <v>444.66666666666669</v>
      </c>
      <c r="J380" s="619">
        <v>15</v>
      </c>
      <c r="K380" s="619">
        <v>6675</v>
      </c>
      <c r="L380" s="619">
        <v>0.55597201399300344</v>
      </c>
      <c r="M380" s="619">
        <v>445</v>
      </c>
      <c r="N380" s="619">
        <v>21</v>
      </c>
      <c r="O380" s="619">
        <v>9366</v>
      </c>
      <c r="P380" s="640">
        <v>0.78010994502748621</v>
      </c>
      <c r="Q380" s="620">
        <v>446</v>
      </c>
    </row>
    <row r="381" spans="1:17" ht="14.4" customHeight="1" x14ac:dyDescent="0.3">
      <c r="A381" s="615" t="s">
        <v>5657</v>
      </c>
      <c r="B381" s="616" t="s">
        <v>5658</v>
      </c>
      <c r="C381" s="616" t="s">
        <v>3592</v>
      </c>
      <c r="D381" s="616" t="s">
        <v>5669</v>
      </c>
      <c r="E381" s="616" t="s">
        <v>5670</v>
      </c>
      <c r="F381" s="619">
        <v>7</v>
      </c>
      <c r="G381" s="619">
        <v>287</v>
      </c>
      <c r="H381" s="619">
        <v>1</v>
      </c>
      <c r="I381" s="619">
        <v>41</v>
      </c>
      <c r="J381" s="619">
        <v>2</v>
      </c>
      <c r="K381" s="619">
        <v>82</v>
      </c>
      <c r="L381" s="619">
        <v>0.2857142857142857</v>
      </c>
      <c r="M381" s="619">
        <v>41</v>
      </c>
      <c r="N381" s="619">
        <v>4</v>
      </c>
      <c r="O381" s="619">
        <v>168</v>
      </c>
      <c r="P381" s="640">
        <v>0.58536585365853655</v>
      </c>
      <c r="Q381" s="620">
        <v>42</v>
      </c>
    </row>
    <row r="382" spans="1:17" ht="14.4" customHeight="1" x14ac:dyDescent="0.3">
      <c r="A382" s="615" t="s">
        <v>5657</v>
      </c>
      <c r="B382" s="616" t="s">
        <v>5658</v>
      </c>
      <c r="C382" s="616" t="s">
        <v>3592</v>
      </c>
      <c r="D382" s="616" t="s">
        <v>5671</v>
      </c>
      <c r="E382" s="616" t="s">
        <v>5672</v>
      </c>
      <c r="F382" s="619">
        <v>35</v>
      </c>
      <c r="G382" s="619">
        <v>17176</v>
      </c>
      <c r="H382" s="619">
        <v>1</v>
      </c>
      <c r="I382" s="619">
        <v>490.74285714285713</v>
      </c>
      <c r="J382" s="619">
        <v>31</v>
      </c>
      <c r="K382" s="619">
        <v>15221</v>
      </c>
      <c r="L382" s="619">
        <v>0.88617838844899866</v>
      </c>
      <c r="M382" s="619">
        <v>491</v>
      </c>
      <c r="N382" s="619">
        <v>35</v>
      </c>
      <c r="O382" s="619">
        <v>17220</v>
      </c>
      <c r="P382" s="640">
        <v>1.0025617140195622</v>
      </c>
      <c r="Q382" s="620">
        <v>492</v>
      </c>
    </row>
    <row r="383" spans="1:17" ht="14.4" customHeight="1" x14ac:dyDescent="0.3">
      <c r="A383" s="615" t="s">
        <v>5657</v>
      </c>
      <c r="B383" s="616" t="s">
        <v>5658</v>
      </c>
      <c r="C383" s="616" t="s">
        <v>3592</v>
      </c>
      <c r="D383" s="616" t="s">
        <v>5673</v>
      </c>
      <c r="E383" s="616" t="s">
        <v>5674</v>
      </c>
      <c r="F383" s="619">
        <v>34</v>
      </c>
      <c r="G383" s="619">
        <v>1054</v>
      </c>
      <c r="H383" s="619">
        <v>1</v>
      </c>
      <c r="I383" s="619">
        <v>31</v>
      </c>
      <c r="J383" s="619">
        <v>36</v>
      </c>
      <c r="K383" s="619">
        <v>1116</v>
      </c>
      <c r="L383" s="619">
        <v>1.0588235294117647</v>
      </c>
      <c r="M383" s="619">
        <v>31</v>
      </c>
      <c r="N383" s="619">
        <v>22</v>
      </c>
      <c r="O383" s="619">
        <v>682</v>
      </c>
      <c r="P383" s="640">
        <v>0.6470588235294118</v>
      </c>
      <c r="Q383" s="620">
        <v>31</v>
      </c>
    </row>
    <row r="384" spans="1:17" ht="14.4" customHeight="1" x14ac:dyDescent="0.3">
      <c r="A384" s="615" t="s">
        <v>5657</v>
      </c>
      <c r="B384" s="616" t="s">
        <v>5658</v>
      </c>
      <c r="C384" s="616" t="s">
        <v>3592</v>
      </c>
      <c r="D384" s="616" t="s">
        <v>5675</v>
      </c>
      <c r="E384" s="616" t="s">
        <v>5676</v>
      </c>
      <c r="F384" s="619">
        <v>5</v>
      </c>
      <c r="G384" s="619">
        <v>1030</v>
      </c>
      <c r="H384" s="619">
        <v>1</v>
      </c>
      <c r="I384" s="619">
        <v>206</v>
      </c>
      <c r="J384" s="619">
        <v>7</v>
      </c>
      <c r="K384" s="619">
        <v>1449</v>
      </c>
      <c r="L384" s="619">
        <v>1.4067961165048544</v>
      </c>
      <c r="M384" s="619">
        <v>207</v>
      </c>
      <c r="N384" s="619">
        <v>6</v>
      </c>
      <c r="O384" s="619">
        <v>1248</v>
      </c>
      <c r="P384" s="640">
        <v>1.2116504854368932</v>
      </c>
      <c r="Q384" s="620">
        <v>208</v>
      </c>
    </row>
    <row r="385" spans="1:17" ht="14.4" customHeight="1" x14ac:dyDescent="0.3">
      <c r="A385" s="615" t="s">
        <v>5657</v>
      </c>
      <c r="B385" s="616" t="s">
        <v>5658</v>
      </c>
      <c r="C385" s="616" t="s">
        <v>3592</v>
      </c>
      <c r="D385" s="616" t="s">
        <v>5677</v>
      </c>
      <c r="E385" s="616" t="s">
        <v>5678</v>
      </c>
      <c r="F385" s="619">
        <v>5</v>
      </c>
      <c r="G385" s="619">
        <v>1895</v>
      </c>
      <c r="H385" s="619">
        <v>1</v>
      </c>
      <c r="I385" s="619">
        <v>379</v>
      </c>
      <c r="J385" s="619">
        <v>7</v>
      </c>
      <c r="K385" s="619">
        <v>2660</v>
      </c>
      <c r="L385" s="619">
        <v>1.4036939313984169</v>
      </c>
      <c r="M385" s="619">
        <v>380</v>
      </c>
      <c r="N385" s="619">
        <v>6</v>
      </c>
      <c r="O385" s="619">
        <v>2304</v>
      </c>
      <c r="P385" s="640">
        <v>1.2158311345646438</v>
      </c>
      <c r="Q385" s="620">
        <v>384</v>
      </c>
    </row>
    <row r="386" spans="1:17" ht="14.4" customHeight="1" x14ac:dyDescent="0.3">
      <c r="A386" s="615" t="s">
        <v>5657</v>
      </c>
      <c r="B386" s="616" t="s">
        <v>5658</v>
      </c>
      <c r="C386" s="616" t="s">
        <v>3592</v>
      </c>
      <c r="D386" s="616" t="s">
        <v>5679</v>
      </c>
      <c r="E386" s="616" t="s">
        <v>5680</v>
      </c>
      <c r="F386" s="619"/>
      <c r="G386" s="619"/>
      <c r="H386" s="619"/>
      <c r="I386" s="619"/>
      <c r="J386" s="619">
        <v>2</v>
      </c>
      <c r="K386" s="619">
        <v>468</v>
      </c>
      <c r="L386" s="619"/>
      <c r="M386" s="619">
        <v>234</v>
      </c>
      <c r="N386" s="619"/>
      <c r="O386" s="619"/>
      <c r="P386" s="640"/>
      <c r="Q386" s="620"/>
    </row>
    <row r="387" spans="1:17" ht="14.4" customHeight="1" x14ac:dyDescent="0.3">
      <c r="A387" s="615" t="s">
        <v>5657</v>
      </c>
      <c r="B387" s="616" t="s">
        <v>5658</v>
      </c>
      <c r="C387" s="616" t="s">
        <v>3592</v>
      </c>
      <c r="D387" s="616" t="s">
        <v>5681</v>
      </c>
      <c r="E387" s="616" t="s">
        <v>5682</v>
      </c>
      <c r="F387" s="619">
        <v>1518</v>
      </c>
      <c r="G387" s="619">
        <v>173956</v>
      </c>
      <c r="H387" s="619">
        <v>1</v>
      </c>
      <c r="I387" s="619">
        <v>114.59552042160738</v>
      </c>
      <c r="J387" s="619">
        <v>1610</v>
      </c>
      <c r="K387" s="619">
        <v>186760</v>
      </c>
      <c r="L387" s="619">
        <v>1.0736048196095564</v>
      </c>
      <c r="M387" s="619">
        <v>116</v>
      </c>
      <c r="N387" s="619">
        <v>1652</v>
      </c>
      <c r="O387" s="619">
        <v>193284</v>
      </c>
      <c r="P387" s="640">
        <v>1.1111085561866219</v>
      </c>
      <c r="Q387" s="620">
        <v>117</v>
      </c>
    </row>
    <row r="388" spans="1:17" ht="14.4" customHeight="1" x14ac:dyDescent="0.3">
      <c r="A388" s="615" t="s">
        <v>5657</v>
      </c>
      <c r="B388" s="616" t="s">
        <v>5658</v>
      </c>
      <c r="C388" s="616" t="s">
        <v>3592</v>
      </c>
      <c r="D388" s="616" t="s">
        <v>5683</v>
      </c>
      <c r="E388" s="616" t="s">
        <v>5684</v>
      </c>
      <c r="F388" s="619">
        <v>905</v>
      </c>
      <c r="G388" s="619">
        <v>76734</v>
      </c>
      <c r="H388" s="619">
        <v>1</v>
      </c>
      <c r="I388" s="619">
        <v>84.788950276243099</v>
      </c>
      <c r="J388" s="619">
        <v>946</v>
      </c>
      <c r="K388" s="619">
        <v>80410</v>
      </c>
      <c r="L388" s="619">
        <v>1.0479057523392499</v>
      </c>
      <c r="M388" s="619">
        <v>85</v>
      </c>
      <c r="N388" s="619">
        <v>928</v>
      </c>
      <c r="O388" s="619">
        <v>84448</v>
      </c>
      <c r="P388" s="640">
        <v>1.1005291005291005</v>
      </c>
      <c r="Q388" s="620">
        <v>91</v>
      </c>
    </row>
    <row r="389" spans="1:17" ht="14.4" customHeight="1" x14ac:dyDescent="0.3">
      <c r="A389" s="615" t="s">
        <v>5657</v>
      </c>
      <c r="B389" s="616" t="s">
        <v>5658</v>
      </c>
      <c r="C389" s="616" t="s">
        <v>3592</v>
      </c>
      <c r="D389" s="616" t="s">
        <v>5685</v>
      </c>
      <c r="E389" s="616" t="s">
        <v>5686</v>
      </c>
      <c r="F389" s="619">
        <v>6</v>
      </c>
      <c r="G389" s="619">
        <v>582</v>
      </c>
      <c r="H389" s="619">
        <v>1</v>
      </c>
      <c r="I389" s="619">
        <v>97</v>
      </c>
      <c r="J389" s="619">
        <v>6</v>
      </c>
      <c r="K389" s="619">
        <v>588</v>
      </c>
      <c r="L389" s="619">
        <v>1.0103092783505154</v>
      </c>
      <c r="M389" s="619">
        <v>98</v>
      </c>
      <c r="N389" s="619">
        <v>2</v>
      </c>
      <c r="O389" s="619">
        <v>198</v>
      </c>
      <c r="P389" s="640">
        <v>0.34020618556701032</v>
      </c>
      <c r="Q389" s="620">
        <v>99</v>
      </c>
    </row>
    <row r="390" spans="1:17" ht="14.4" customHeight="1" x14ac:dyDescent="0.3">
      <c r="A390" s="615" t="s">
        <v>5657</v>
      </c>
      <c r="B390" s="616" t="s">
        <v>5658</v>
      </c>
      <c r="C390" s="616" t="s">
        <v>3592</v>
      </c>
      <c r="D390" s="616" t="s">
        <v>5687</v>
      </c>
      <c r="E390" s="616" t="s">
        <v>5688</v>
      </c>
      <c r="F390" s="619">
        <v>170</v>
      </c>
      <c r="G390" s="619">
        <v>3570</v>
      </c>
      <c r="H390" s="619">
        <v>1</v>
      </c>
      <c r="I390" s="619">
        <v>21</v>
      </c>
      <c r="J390" s="619">
        <v>223</v>
      </c>
      <c r="K390" s="619">
        <v>4683</v>
      </c>
      <c r="L390" s="619">
        <v>1.3117647058823529</v>
      </c>
      <c r="M390" s="619">
        <v>21</v>
      </c>
      <c r="N390" s="619">
        <v>108</v>
      </c>
      <c r="O390" s="619">
        <v>2268</v>
      </c>
      <c r="P390" s="640">
        <v>0.63529411764705879</v>
      </c>
      <c r="Q390" s="620">
        <v>21</v>
      </c>
    </row>
    <row r="391" spans="1:17" ht="14.4" customHeight="1" x14ac:dyDescent="0.3">
      <c r="A391" s="615" t="s">
        <v>5657</v>
      </c>
      <c r="B391" s="616" t="s">
        <v>5658</v>
      </c>
      <c r="C391" s="616" t="s">
        <v>3592</v>
      </c>
      <c r="D391" s="616" t="s">
        <v>5558</v>
      </c>
      <c r="E391" s="616" t="s">
        <v>5559</v>
      </c>
      <c r="F391" s="619">
        <v>126</v>
      </c>
      <c r="G391" s="619">
        <v>61341</v>
      </c>
      <c r="H391" s="619">
        <v>1</v>
      </c>
      <c r="I391" s="619">
        <v>486.83333333333331</v>
      </c>
      <c r="J391" s="619">
        <v>176</v>
      </c>
      <c r="K391" s="619">
        <v>85712</v>
      </c>
      <c r="L391" s="619">
        <v>1.3973035979198252</v>
      </c>
      <c r="M391" s="619">
        <v>487</v>
      </c>
      <c r="N391" s="619">
        <v>170</v>
      </c>
      <c r="O391" s="619">
        <v>82960</v>
      </c>
      <c r="P391" s="640">
        <v>1.3524396406970869</v>
      </c>
      <c r="Q391" s="620">
        <v>488</v>
      </c>
    </row>
    <row r="392" spans="1:17" ht="14.4" customHeight="1" x14ac:dyDescent="0.3">
      <c r="A392" s="615" t="s">
        <v>5657</v>
      </c>
      <c r="B392" s="616" t="s">
        <v>5658</v>
      </c>
      <c r="C392" s="616" t="s">
        <v>3592</v>
      </c>
      <c r="D392" s="616" t="s">
        <v>5689</v>
      </c>
      <c r="E392" s="616" t="s">
        <v>5690</v>
      </c>
      <c r="F392" s="619">
        <v>230</v>
      </c>
      <c r="G392" s="619">
        <v>9385</v>
      </c>
      <c r="H392" s="619">
        <v>1</v>
      </c>
      <c r="I392" s="619">
        <v>40.804347826086953</v>
      </c>
      <c r="J392" s="619">
        <v>279</v>
      </c>
      <c r="K392" s="619">
        <v>11439</v>
      </c>
      <c r="L392" s="619">
        <v>1.2188598827916888</v>
      </c>
      <c r="M392" s="619">
        <v>41</v>
      </c>
      <c r="N392" s="619">
        <v>199</v>
      </c>
      <c r="O392" s="619">
        <v>8159</v>
      </c>
      <c r="P392" s="640">
        <v>0.86936600958977095</v>
      </c>
      <c r="Q392" s="620">
        <v>41</v>
      </c>
    </row>
    <row r="393" spans="1:17" ht="14.4" customHeight="1" x14ac:dyDescent="0.3">
      <c r="A393" s="615" t="s">
        <v>5657</v>
      </c>
      <c r="B393" s="616" t="s">
        <v>5658</v>
      </c>
      <c r="C393" s="616" t="s">
        <v>3592</v>
      </c>
      <c r="D393" s="616" t="s">
        <v>5691</v>
      </c>
      <c r="E393" s="616" t="s">
        <v>5692</v>
      </c>
      <c r="F393" s="619">
        <v>1</v>
      </c>
      <c r="G393" s="619">
        <v>2059</v>
      </c>
      <c r="H393" s="619">
        <v>1</v>
      </c>
      <c r="I393" s="619">
        <v>2059</v>
      </c>
      <c r="J393" s="619">
        <v>1</v>
      </c>
      <c r="K393" s="619">
        <v>2072</v>
      </c>
      <c r="L393" s="619">
        <v>1.0063137445361827</v>
      </c>
      <c r="M393" s="619">
        <v>2072</v>
      </c>
      <c r="N393" s="619">
        <v>1</v>
      </c>
      <c r="O393" s="619">
        <v>2112</v>
      </c>
      <c r="P393" s="640">
        <v>1.0257406508013598</v>
      </c>
      <c r="Q393" s="620">
        <v>2112</v>
      </c>
    </row>
    <row r="394" spans="1:17" ht="14.4" customHeight="1" x14ac:dyDescent="0.3">
      <c r="A394" s="615" t="s">
        <v>5657</v>
      </c>
      <c r="B394" s="616" t="s">
        <v>5658</v>
      </c>
      <c r="C394" s="616" t="s">
        <v>3592</v>
      </c>
      <c r="D394" s="616" t="s">
        <v>5693</v>
      </c>
      <c r="E394" s="616" t="s">
        <v>5694</v>
      </c>
      <c r="F394" s="619">
        <v>32</v>
      </c>
      <c r="G394" s="619">
        <v>19397</v>
      </c>
      <c r="H394" s="619">
        <v>1</v>
      </c>
      <c r="I394" s="619">
        <v>606.15625</v>
      </c>
      <c r="J394" s="619">
        <v>29</v>
      </c>
      <c r="K394" s="619">
        <v>17632</v>
      </c>
      <c r="L394" s="619">
        <v>0.90900654740423781</v>
      </c>
      <c r="M394" s="619">
        <v>608</v>
      </c>
      <c r="N394" s="619">
        <v>24</v>
      </c>
      <c r="O394" s="619">
        <v>14736</v>
      </c>
      <c r="P394" s="640">
        <v>0.75970510903748001</v>
      </c>
      <c r="Q394" s="620">
        <v>614</v>
      </c>
    </row>
    <row r="395" spans="1:17" ht="14.4" customHeight="1" x14ac:dyDescent="0.3">
      <c r="A395" s="615" t="s">
        <v>5657</v>
      </c>
      <c r="B395" s="616" t="s">
        <v>5658</v>
      </c>
      <c r="C395" s="616" t="s">
        <v>3592</v>
      </c>
      <c r="D395" s="616" t="s">
        <v>5695</v>
      </c>
      <c r="E395" s="616" t="s">
        <v>5696</v>
      </c>
      <c r="F395" s="619">
        <v>1</v>
      </c>
      <c r="G395" s="619">
        <v>962</v>
      </c>
      <c r="H395" s="619">
        <v>1</v>
      </c>
      <c r="I395" s="619">
        <v>962</v>
      </c>
      <c r="J395" s="619">
        <v>2</v>
      </c>
      <c r="K395" s="619">
        <v>1924</v>
      </c>
      <c r="L395" s="619">
        <v>2</v>
      </c>
      <c r="M395" s="619">
        <v>962</v>
      </c>
      <c r="N395" s="619"/>
      <c r="O395" s="619"/>
      <c r="P395" s="640"/>
      <c r="Q395" s="620"/>
    </row>
    <row r="396" spans="1:17" ht="14.4" customHeight="1" x14ac:dyDescent="0.3">
      <c r="A396" s="615" t="s">
        <v>5657</v>
      </c>
      <c r="B396" s="616" t="s">
        <v>5658</v>
      </c>
      <c r="C396" s="616" t="s">
        <v>3592</v>
      </c>
      <c r="D396" s="616" t="s">
        <v>5697</v>
      </c>
      <c r="E396" s="616" t="s">
        <v>5698</v>
      </c>
      <c r="F396" s="619"/>
      <c r="G396" s="619"/>
      <c r="H396" s="619"/>
      <c r="I396" s="619"/>
      <c r="J396" s="619"/>
      <c r="K396" s="619"/>
      <c r="L396" s="619"/>
      <c r="M396" s="619"/>
      <c r="N396" s="619">
        <v>2</v>
      </c>
      <c r="O396" s="619">
        <v>3520</v>
      </c>
      <c r="P396" s="640"/>
      <c r="Q396" s="620">
        <v>1760</v>
      </c>
    </row>
    <row r="397" spans="1:17" ht="14.4" customHeight="1" x14ac:dyDescent="0.3">
      <c r="A397" s="615" t="s">
        <v>5657</v>
      </c>
      <c r="B397" s="616" t="s">
        <v>5658</v>
      </c>
      <c r="C397" s="616" t="s">
        <v>3592</v>
      </c>
      <c r="D397" s="616" t="s">
        <v>5699</v>
      </c>
      <c r="E397" s="616" t="s">
        <v>5700</v>
      </c>
      <c r="F397" s="619"/>
      <c r="G397" s="619"/>
      <c r="H397" s="619"/>
      <c r="I397" s="619"/>
      <c r="J397" s="619">
        <v>2</v>
      </c>
      <c r="K397" s="619">
        <v>496</v>
      </c>
      <c r="L397" s="619"/>
      <c r="M397" s="619">
        <v>248</v>
      </c>
      <c r="N397" s="619"/>
      <c r="O397" s="619"/>
      <c r="P397" s="640"/>
      <c r="Q397" s="620"/>
    </row>
    <row r="398" spans="1:17" ht="14.4" customHeight="1" x14ac:dyDescent="0.3">
      <c r="A398" s="615" t="s">
        <v>5657</v>
      </c>
      <c r="B398" s="616" t="s">
        <v>5658</v>
      </c>
      <c r="C398" s="616" t="s">
        <v>3592</v>
      </c>
      <c r="D398" s="616" t="s">
        <v>5701</v>
      </c>
      <c r="E398" s="616" t="s">
        <v>5702</v>
      </c>
      <c r="F398" s="619"/>
      <c r="G398" s="619"/>
      <c r="H398" s="619"/>
      <c r="I398" s="619"/>
      <c r="J398" s="619">
        <v>1</v>
      </c>
      <c r="K398" s="619">
        <v>27</v>
      </c>
      <c r="L398" s="619"/>
      <c r="M398" s="619">
        <v>27</v>
      </c>
      <c r="N398" s="619"/>
      <c r="O398" s="619"/>
      <c r="P398" s="640"/>
      <c r="Q398" s="620"/>
    </row>
    <row r="399" spans="1:17" ht="14.4" customHeight="1" x14ac:dyDescent="0.3">
      <c r="A399" s="615" t="s">
        <v>5657</v>
      </c>
      <c r="B399" s="616" t="s">
        <v>5658</v>
      </c>
      <c r="C399" s="616" t="s">
        <v>3592</v>
      </c>
      <c r="D399" s="616" t="s">
        <v>5703</v>
      </c>
      <c r="E399" s="616" t="s">
        <v>5704</v>
      </c>
      <c r="F399" s="619">
        <v>1</v>
      </c>
      <c r="G399" s="619">
        <v>328</v>
      </c>
      <c r="H399" s="619">
        <v>1</v>
      </c>
      <c r="I399" s="619">
        <v>328</v>
      </c>
      <c r="J399" s="619">
        <v>1</v>
      </c>
      <c r="K399" s="619">
        <v>328</v>
      </c>
      <c r="L399" s="619">
        <v>1</v>
      </c>
      <c r="M399" s="619">
        <v>328</v>
      </c>
      <c r="N399" s="619">
        <v>5</v>
      </c>
      <c r="O399" s="619">
        <v>1645</v>
      </c>
      <c r="P399" s="640">
        <v>5.0152439024390247</v>
      </c>
      <c r="Q399" s="620">
        <v>329</v>
      </c>
    </row>
    <row r="400" spans="1:17" ht="14.4" customHeight="1" x14ac:dyDescent="0.3">
      <c r="A400" s="615" t="s">
        <v>5705</v>
      </c>
      <c r="B400" s="616" t="s">
        <v>5268</v>
      </c>
      <c r="C400" s="616" t="s">
        <v>3592</v>
      </c>
      <c r="D400" s="616" t="s">
        <v>5706</v>
      </c>
      <c r="E400" s="616" t="s">
        <v>5707</v>
      </c>
      <c r="F400" s="619"/>
      <c r="G400" s="619"/>
      <c r="H400" s="619"/>
      <c r="I400" s="619"/>
      <c r="J400" s="619">
        <v>1</v>
      </c>
      <c r="K400" s="619">
        <v>1184</v>
      </c>
      <c r="L400" s="619"/>
      <c r="M400" s="619">
        <v>1184</v>
      </c>
      <c r="N400" s="619"/>
      <c r="O400" s="619"/>
      <c r="P400" s="640"/>
      <c r="Q400" s="620"/>
    </row>
    <row r="401" spans="1:17" ht="14.4" customHeight="1" x14ac:dyDescent="0.3">
      <c r="A401" s="615" t="s">
        <v>5705</v>
      </c>
      <c r="B401" s="616" t="s">
        <v>5268</v>
      </c>
      <c r="C401" s="616" t="s">
        <v>3592</v>
      </c>
      <c r="D401" s="616" t="s">
        <v>5708</v>
      </c>
      <c r="E401" s="616" t="s">
        <v>5709</v>
      </c>
      <c r="F401" s="619"/>
      <c r="G401" s="619"/>
      <c r="H401" s="619"/>
      <c r="I401" s="619"/>
      <c r="J401" s="619">
        <v>1</v>
      </c>
      <c r="K401" s="619">
        <v>1043</v>
      </c>
      <c r="L401" s="619"/>
      <c r="M401" s="619">
        <v>1043</v>
      </c>
      <c r="N401" s="619"/>
      <c r="O401" s="619"/>
      <c r="P401" s="640"/>
      <c r="Q401" s="620"/>
    </row>
    <row r="402" spans="1:17" ht="14.4" customHeight="1" x14ac:dyDescent="0.3">
      <c r="A402" s="615" t="s">
        <v>5705</v>
      </c>
      <c r="B402" s="616" t="s">
        <v>5268</v>
      </c>
      <c r="C402" s="616" t="s">
        <v>3592</v>
      </c>
      <c r="D402" s="616" t="s">
        <v>5710</v>
      </c>
      <c r="E402" s="616" t="s">
        <v>5711</v>
      </c>
      <c r="F402" s="619">
        <v>2</v>
      </c>
      <c r="G402" s="619">
        <v>1660</v>
      </c>
      <c r="H402" s="619">
        <v>1</v>
      </c>
      <c r="I402" s="619">
        <v>830</v>
      </c>
      <c r="J402" s="619">
        <v>1</v>
      </c>
      <c r="K402" s="619">
        <v>831</v>
      </c>
      <c r="L402" s="619">
        <v>0.50060240963855418</v>
      </c>
      <c r="M402" s="619">
        <v>831</v>
      </c>
      <c r="N402" s="619">
        <v>3</v>
      </c>
      <c r="O402" s="619">
        <v>2526</v>
      </c>
      <c r="P402" s="640">
        <v>1.5216867469879518</v>
      </c>
      <c r="Q402" s="620">
        <v>842</v>
      </c>
    </row>
    <row r="403" spans="1:17" ht="14.4" customHeight="1" x14ac:dyDescent="0.3">
      <c r="A403" s="615" t="s">
        <v>5705</v>
      </c>
      <c r="B403" s="616" t="s">
        <v>5268</v>
      </c>
      <c r="C403" s="616" t="s">
        <v>3592</v>
      </c>
      <c r="D403" s="616" t="s">
        <v>5712</v>
      </c>
      <c r="E403" s="616" t="s">
        <v>5713</v>
      </c>
      <c r="F403" s="619"/>
      <c r="G403" s="619"/>
      <c r="H403" s="619"/>
      <c r="I403" s="619"/>
      <c r="J403" s="619">
        <v>1</v>
      </c>
      <c r="K403" s="619">
        <v>812</v>
      </c>
      <c r="L403" s="619"/>
      <c r="M403" s="619">
        <v>812</v>
      </c>
      <c r="N403" s="619"/>
      <c r="O403" s="619"/>
      <c r="P403" s="640"/>
      <c r="Q403" s="620"/>
    </row>
    <row r="404" spans="1:17" ht="14.4" customHeight="1" x14ac:dyDescent="0.3">
      <c r="A404" s="615" t="s">
        <v>5705</v>
      </c>
      <c r="B404" s="616" t="s">
        <v>5268</v>
      </c>
      <c r="C404" s="616" t="s">
        <v>3592</v>
      </c>
      <c r="D404" s="616" t="s">
        <v>5714</v>
      </c>
      <c r="E404" s="616" t="s">
        <v>5715</v>
      </c>
      <c r="F404" s="619"/>
      <c r="G404" s="619"/>
      <c r="H404" s="619"/>
      <c r="I404" s="619"/>
      <c r="J404" s="619">
        <v>1</v>
      </c>
      <c r="K404" s="619">
        <v>812</v>
      </c>
      <c r="L404" s="619"/>
      <c r="M404" s="619">
        <v>812</v>
      </c>
      <c r="N404" s="619"/>
      <c r="O404" s="619"/>
      <c r="P404" s="640"/>
      <c r="Q404" s="620"/>
    </row>
    <row r="405" spans="1:17" ht="14.4" customHeight="1" x14ac:dyDescent="0.3">
      <c r="A405" s="615" t="s">
        <v>5705</v>
      </c>
      <c r="B405" s="616" t="s">
        <v>5268</v>
      </c>
      <c r="C405" s="616" t="s">
        <v>3592</v>
      </c>
      <c r="D405" s="616" t="s">
        <v>5092</v>
      </c>
      <c r="E405" s="616" t="s">
        <v>5093</v>
      </c>
      <c r="F405" s="619">
        <v>17</v>
      </c>
      <c r="G405" s="619">
        <v>2833</v>
      </c>
      <c r="H405" s="619">
        <v>1</v>
      </c>
      <c r="I405" s="619">
        <v>166.64705882352942</v>
      </c>
      <c r="J405" s="619">
        <v>9</v>
      </c>
      <c r="K405" s="619">
        <v>1503</v>
      </c>
      <c r="L405" s="619">
        <v>0.53053300388280977</v>
      </c>
      <c r="M405" s="619">
        <v>167</v>
      </c>
      <c r="N405" s="619">
        <v>27</v>
      </c>
      <c r="O405" s="619">
        <v>4536</v>
      </c>
      <c r="P405" s="640">
        <v>1.6011295446523119</v>
      </c>
      <c r="Q405" s="620">
        <v>168</v>
      </c>
    </row>
    <row r="406" spans="1:17" ht="14.4" customHeight="1" x14ac:dyDescent="0.3">
      <c r="A406" s="615" t="s">
        <v>5705</v>
      </c>
      <c r="B406" s="616" t="s">
        <v>5268</v>
      </c>
      <c r="C406" s="616" t="s">
        <v>3592</v>
      </c>
      <c r="D406" s="616" t="s">
        <v>5716</v>
      </c>
      <c r="E406" s="616" t="s">
        <v>5717</v>
      </c>
      <c r="F406" s="619">
        <v>17</v>
      </c>
      <c r="G406" s="619">
        <v>2935</v>
      </c>
      <c r="H406" s="619">
        <v>1</v>
      </c>
      <c r="I406" s="619">
        <v>172.64705882352942</v>
      </c>
      <c r="J406" s="619">
        <v>8</v>
      </c>
      <c r="K406" s="619">
        <v>1384</v>
      </c>
      <c r="L406" s="619">
        <v>0.47155025553662694</v>
      </c>
      <c r="M406" s="619">
        <v>173</v>
      </c>
      <c r="N406" s="619">
        <v>27</v>
      </c>
      <c r="O406" s="619">
        <v>4698</v>
      </c>
      <c r="P406" s="640">
        <v>1.6006814310051107</v>
      </c>
      <c r="Q406" s="620">
        <v>174</v>
      </c>
    </row>
    <row r="407" spans="1:17" ht="14.4" customHeight="1" x14ac:dyDescent="0.3">
      <c r="A407" s="615" t="s">
        <v>5705</v>
      </c>
      <c r="B407" s="616" t="s">
        <v>5268</v>
      </c>
      <c r="C407" s="616" t="s">
        <v>3592</v>
      </c>
      <c r="D407" s="616" t="s">
        <v>5100</v>
      </c>
      <c r="E407" s="616" t="s">
        <v>5101</v>
      </c>
      <c r="F407" s="619"/>
      <c r="G407" s="619"/>
      <c r="H407" s="619"/>
      <c r="I407" s="619"/>
      <c r="J407" s="619"/>
      <c r="K407" s="619"/>
      <c r="L407" s="619"/>
      <c r="M407" s="619"/>
      <c r="N407" s="619">
        <v>1</v>
      </c>
      <c r="O407" s="619">
        <v>352</v>
      </c>
      <c r="P407" s="640"/>
      <c r="Q407" s="620">
        <v>352</v>
      </c>
    </row>
    <row r="408" spans="1:17" ht="14.4" customHeight="1" x14ac:dyDescent="0.3">
      <c r="A408" s="615" t="s">
        <v>5705</v>
      </c>
      <c r="B408" s="616" t="s">
        <v>5268</v>
      </c>
      <c r="C408" s="616" t="s">
        <v>3592</v>
      </c>
      <c r="D408" s="616" t="s">
        <v>5718</v>
      </c>
      <c r="E408" s="616" t="s">
        <v>5719</v>
      </c>
      <c r="F408" s="619"/>
      <c r="G408" s="619"/>
      <c r="H408" s="619"/>
      <c r="I408" s="619"/>
      <c r="J408" s="619"/>
      <c r="K408" s="619"/>
      <c r="L408" s="619"/>
      <c r="M408" s="619"/>
      <c r="N408" s="619">
        <v>1</v>
      </c>
      <c r="O408" s="619">
        <v>549</v>
      </c>
      <c r="P408" s="640"/>
      <c r="Q408" s="620">
        <v>549</v>
      </c>
    </row>
    <row r="409" spans="1:17" ht="14.4" customHeight="1" x14ac:dyDescent="0.3">
      <c r="A409" s="615" t="s">
        <v>5705</v>
      </c>
      <c r="B409" s="616" t="s">
        <v>5268</v>
      </c>
      <c r="C409" s="616" t="s">
        <v>3592</v>
      </c>
      <c r="D409" s="616" t="s">
        <v>5720</v>
      </c>
      <c r="E409" s="616" t="s">
        <v>5721</v>
      </c>
      <c r="F409" s="619"/>
      <c r="G409" s="619"/>
      <c r="H409" s="619"/>
      <c r="I409" s="619"/>
      <c r="J409" s="619"/>
      <c r="K409" s="619"/>
      <c r="L409" s="619"/>
      <c r="M409" s="619"/>
      <c r="N409" s="619">
        <v>2</v>
      </c>
      <c r="O409" s="619">
        <v>1026</v>
      </c>
      <c r="P409" s="640"/>
      <c r="Q409" s="620">
        <v>513</v>
      </c>
    </row>
    <row r="410" spans="1:17" ht="14.4" customHeight="1" x14ac:dyDescent="0.3">
      <c r="A410" s="615" t="s">
        <v>5705</v>
      </c>
      <c r="B410" s="616" t="s">
        <v>5268</v>
      </c>
      <c r="C410" s="616" t="s">
        <v>3592</v>
      </c>
      <c r="D410" s="616" t="s">
        <v>5722</v>
      </c>
      <c r="E410" s="616" t="s">
        <v>5723</v>
      </c>
      <c r="F410" s="619"/>
      <c r="G410" s="619"/>
      <c r="H410" s="619"/>
      <c r="I410" s="619"/>
      <c r="J410" s="619"/>
      <c r="K410" s="619"/>
      <c r="L410" s="619"/>
      <c r="M410" s="619"/>
      <c r="N410" s="619">
        <v>2</v>
      </c>
      <c r="O410" s="619">
        <v>846</v>
      </c>
      <c r="P410" s="640"/>
      <c r="Q410" s="620">
        <v>423</v>
      </c>
    </row>
    <row r="411" spans="1:17" ht="14.4" customHeight="1" x14ac:dyDescent="0.3">
      <c r="A411" s="615" t="s">
        <v>5705</v>
      </c>
      <c r="B411" s="616" t="s">
        <v>5268</v>
      </c>
      <c r="C411" s="616" t="s">
        <v>3592</v>
      </c>
      <c r="D411" s="616" t="s">
        <v>5724</v>
      </c>
      <c r="E411" s="616" t="s">
        <v>5725</v>
      </c>
      <c r="F411" s="619"/>
      <c r="G411" s="619"/>
      <c r="H411" s="619"/>
      <c r="I411" s="619"/>
      <c r="J411" s="619"/>
      <c r="K411" s="619"/>
      <c r="L411" s="619"/>
      <c r="M411" s="619"/>
      <c r="N411" s="619">
        <v>1</v>
      </c>
      <c r="O411" s="619">
        <v>349</v>
      </c>
      <c r="P411" s="640"/>
      <c r="Q411" s="620">
        <v>349</v>
      </c>
    </row>
    <row r="412" spans="1:17" ht="14.4" customHeight="1" x14ac:dyDescent="0.3">
      <c r="A412" s="615" t="s">
        <v>5705</v>
      </c>
      <c r="B412" s="616" t="s">
        <v>5268</v>
      </c>
      <c r="C412" s="616" t="s">
        <v>3592</v>
      </c>
      <c r="D412" s="616" t="s">
        <v>5726</v>
      </c>
      <c r="E412" s="616" t="s">
        <v>5727</v>
      </c>
      <c r="F412" s="619"/>
      <c r="G412" s="619"/>
      <c r="H412" s="619"/>
      <c r="I412" s="619"/>
      <c r="J412" s="619"/>
      <c r="K412" s="619"/>
      <c r="L412" s="619"/>
      <c r="M412" s="619"/>
      <c r="N412" s="619">
        <v>2</v>
      </c>
      <c r="O412" s="619">
        <v>1016</v>
      </c>
      <c r="P412" s="640"/>
      <c r="Q412" s="620">
        <v>508</v>
      </c>
    </row>
    <row r="413" spans="1:17" ht="14.4" customHeight="1" x14ac:dyDescent="0.3">
      <c r="A413" s="615" t="s">
        <v>5705</v>
      </c>
      <c r="B413" s="616" t="s">
        <v>5268</v>
      </c>
      <c r="C413" s="616" t="s">
        <v>3592</v>
      </c>
      <c r="D413" s="616" t="s">
        <v>5728</v>
      </c>
      <c r="E413" s="616" t="s">
        <v>5729</v>
      </c>
      <c r="F413" s="619"/>
      <c r="G413" s="619"/>
      <c r="H413" s="619"/>
      <c r="I413" s="619"/>
      <c r="J413" s="619"/>
      <c r="K413" s="619"/>
      <c r="L413" s="619"/>
      <c r="M413" s="619"/>
      <c r="N413" s="619">
        <v>1</v>
      </c>
      <c r="O413" s="619">
        <v>111</v>
      </c>
      <c r="P413" s="640"/>
      <c r="Q413" s="620">
        <v>111</v>
      </c>
    </row>
    <row r="414" spans="1:17" ht="14.4" customHeight="1" x14ac:dyDescent="0.3">
      <c r="A414" s="615" t="s">
        <v>5705</v>
      </c>
      <c r="B414" s="616" t="s">
        <v>5268</v>
      </c>
      <c r="C414" s="616" t="s">
        <v>3592</v>
      </c>
      <c r="D414" s="616" t="s">
        <v>5000</v>
      </c>
      <c r="E414" s="616" t="s">
        <v>5001</v>
      </c>
      <c r="F414" s="619">
        <v>48</v>
      </c>
      <c r="G414" s="619">
        <v>16734</v>
      </c>
      <c r="H414" s="619">
        <v>1</v>
      </c>
      <c r="I414" s="619">
        <v>348.625</v>
      </c>
      <c r="J414" s="619">
        <v>18</v>
      </c>
      <c r="K414" s="619">
        <v>6282</v>
      </c>
      <c r="L414" s="619">
        <v>0.37540337038365007</v>
      </c>
      <c r="M414" s="619">
        <v>349</v>
      </c>
      <c r="N414" s="619">
        <v>79</v>
      </c>
      <c r="O414" s="619">
        <v>27650</v>
      </c>
      <c r="P414" s="640">
        <v>1.6523246085813315</v>
      </c>
      <c r="Q414" s="620">
        <v>350</v>
      </c>
    </row>
    <row r="415" spans="1:17" ht="14.4" customHeight="1" x14ac:dyDescent="0.3">
      <c r="A415" s="615" t="s">
        <v>5705</v>
      </c>
      <c r="B415" s="616" t="s">
        <v>5268</v>
      </c>
      <c r="C415" s="616" t="s">
        <v>3592</v>
      </c>
      <c r="D415" s="616" t="s">
        <v>5136</v>
      </c>
      <c r="E415" s="616" t="s">
        <v>5137</v>
      </c>
      <c r="F415" s="619">
        <v>1</v>
      </c>
      <c r="G415" s="619">
        <v>147</v>
      </c>
      <c r="H415" s="619">
        <v>1</v>
      </c>
      <c r="I415" s="619">
        <v>147</v>
      </c>
      <c r="J415" s="619"/>
      <c r="K415" s="619"/>
      <c r="L415" s="619"/>
      <c r="M415" s="619"/>
      <c r="N415" s="619"/>
      <c r="O415" s="619"/>
      <c r="P415" s="640"/>
      <c r="Q415" s="620"/>
    </row>
    <row r="416" spans="1:17" ht="14.4" customHeight="1" x14ac:dyDescent="0.3">
      <c r="A416" s="615" t="s">
        <v>5705</v>
      </c>
      <c r="B416" s="616" t="s">
        <v>5268</v>
      </c>
      <c r="C416" s="616" t="s">
        <v>3592</v>
      </c>
      <c r="D416" s="616" t="s">
        <v>5730</v>
      </c>
      <c r="E416" s="616" t="s">
        <v>5731</v>
      </c>
      <c r="F416" s="619"/>
      <c r="G416" s="619"/>
      <c r="H416" s="619"/>
      <c r="I416" s="619"/>
      <c r="J416" s="619"/>
      <c r="K416" s="619"/>
      <c r="L416" s="619"/>
      <c r="M416" s="619"/>
      <c r="N416" s="619">
        <v>1</v>
      </c>
      <c r="O416" s="619">
        <v>209</v>
      </c>
      <c r="P416" s="640"/>
      <c r="Q416" s="620">
        <v>209</v>
      </c>
    </row>
    <row r="417" spans="1:17" ht="14.4" customHeight="1" x14ac:dyDescent="0.3">
      <c r="A417" s="615" t="s">
        <v>5705</v>
      </c>
      <c r="B417" s="616" t="s">
        <v>5268</v>
      </c>
      <c r="C417" s="616" t="s">
        <v>3592</v>
      </c>
      <c r="D417" s="616" t="s">
        <v>5732</v>
      </c>
      <c r="E417" s="616" t="s">
        <v>5733</v>
      </c>
      <c r="F417" s="619">
        <v>16</v>
      </c>
      <c r="G417" s="619">
        <v>619</v>
      </c>
      <c r="H417" s="619">
        <v>1</v>
      </c>
      <c r="I417" s="619">
        <v>38.6875</v>
      </c>
      <c r="J417" s="619">
        <v>8</v>
      </c>
      <c r="K417" s="619">
        <v>312</v>
      </c>
      <c r="L417" s="619">
        <v>0.50403877221324722</v>
      </c>
      <c r="M417" s="619">
        <v>39</v>
      </c>
      <c r="N417" s="619">
        <v>27</v>
      </c>
      <c r="O417" s="619">
        <v>1080</v>
      </c>
      <c r="P417" s="640">
        <v>1.7447495961227786</v>
      </c>
      <c r="Q417" s="620">
        <v>40</v>
      </c>
    </row>
    <row r="418" spans="1:17" ht="14.4" customHeight="1" x14ac:dyDescent="0.3">
      <c r="A418" s="615" t="s">
        <v>5705</v>
      </c>
      <c r="B418" s="616" t="s">
        <v>5268</v>
      </c>
      <c r="C418" s="616" t="s">
        <v>3592</v>
      </c>
      <c r="D418" s="616" t="s">
        <v>5734</v>
      </c>
      <c r="E418" s="616" t="s">
        <v>5735</v>
      </c>
      <c r="F418" s="619">
        <v>1</v>
      </c>
      <c r="G418" s="619">
        <v>5000</v>
      </c>
      <c r="H418" s="619">
        <v>1</v>
      </c>
      <c r="I418" s="619">
        <v>5000</v>
      </c>
      <c r="J418" s="619"/>
      <c r="K418" s="619"/>
      <c r="L418" s="619"/>
      <c r="M418" s="619"/>
      <c r="N418" s="619"/>
      <c r="O418" s="619"/>
      <c r="P418" s="640"/>
      <c r="Q418" s="620"/>
    </row>
    <row r="419" spans="1:17" ht="14.4" customHeight="1" x14ac:dyDescent="0.3">
      <c r="A419" s="615" t="s">
        <v>5705</v>
      </c>
      <c r="B419" s="616" t="s">
        <v>5268</v>
      </c>
      <c r="C419" s="616" t="s">
        <v>3592</v>
      </c>
      <c r="D419" s="616" t="s">
        <v>5176</v>
      </c>
      <c r="E419" s="616" t="s">
        <v>5177</v>
      </c>
      <c r="F419" s="619">
        <v>17</v>
      </c>
      <c r="G419" s="619">
        <v>2884</v>
      </c>
      <c r="H419" s="619">
        <v>1</v>
      </c>
      <c r="I419" s="619">
        <v>169.64705882352942</v>
      </c>
      <c r="J419" s="619">
        <v>10</v>
      </c>
      <c r="K419" s="619">
        <v>1700</v>
      </c>
      <c r="L419" s="619">
        <v>0.58945908460471563</v>
      </c>
      <c r="M419" s="619">
        <v>170</v>
      </c>
      <c r="N419" s="619">
        <v>27</v>
      </c>
      <c r="O419" s="619">
        <v>4617</v>
      </c>
      <c r="P419" s="640">
        <v>1.6009015256588073</v>
      </c>
      <c r="Q419" s="620">
        <v>171</v>
      </c>
    </row>
    <row r="420" spans="1:17" ht="14.4" customHeight="1" x14ac:dyDescent="0.3">
      <c r="A420" s="615" t="s">
        <v>5705</v>
      </c>
      <c r="B420" s="616" t="s">
        <v>5268</v>
      </c>
      <c r="C420" s="616" t="s">
        <v>3592</v>
      </c>
      <c r="D420" s="616" t="s">
        <v>5736</v>
      </c>
      <c r="E420" s="616" t="s">
        <v>5737</v>
      </c>
      <c r="F420" s="619"/>
      <c r="G420" s="619"/>
      <c r="H420" s="619"/>
      <c r="I420" s="619"/>
      <c r="J420" s="619">
        <v>2</v>
      </c>
      <c r="K420" s="619">
        <v>696</v>
      </c>
      <c r="L420" s="619"/>
      <c r="M420" s="619">
        <v>348</v>
      </c>
      <c r="N420" s="619">
        <v>3</v>
      </c>
      <c r="O420" s="619">
        <v>1050</v>
      </c>
      <c r="P420" s="640"/>
      <c r="Q420" s="620">
        <v>350</v>
      </c>
    </row>
    <row r="421" spans="1:17" ht="14.4" customHeight="1" x14ac:dyDescent="0.3">
      <c r="A421" s="615" t="s">
        <v>5705</v>
      </c>
      <c r="B421" s="616" t="s">
        <v>5268</v>
      </c>
      <c r="C421" s="616" t="s">
        <v>3592</v>
      </c>
      <c r="D421" s="616" t="s">
        <v>5198</v>
      </c>
      <c r="E421" s="616" t="s">
        <v>5199</v>
      </c>
      <c r="F421" s="619">
        <v>17</v>
      </c>
      <c r="G421" s="619">
        <v>2935</v>
      </c>
      <c r="H421" s="619">
        <v>1</v>
      </c>
      <c r="I421" s="619">
        <v>172.64705882352942</v>
      </c>
      <c r="J421" s="619">
        <v>9</v>
      </c>
      <c r="K421" s="619">
        <v>1557</v>
      </c>
      <c r="L421" s="619">
        <v>0.53049403747870527</v>
      </c>
      <c r="M421" s="619">
        <v>173</v>
      </c>
      <c r="N421" s="619">
        <v>27</v>
      </c>
      <c r="O421" s="619">
        <v>4698</v>
      </c>
      <c r="P421" s="640">
        <v>1.6006814310051107</v>
      </c>
      <c r="Q421" s="620">
        <v>174</v>
      </c>
    </row>
    <row r="422" spans="1:17" ht="14.4" customHeight="1" x14ac:dyDescent="0.3">
      <c r="A422" s="615" t="s">
        <v>5705</v>
      </c>
      <c r="B422" s="616" t="s">
        <v>5268</v>
      </c>
      <c r="C422" s="616" t="s">
        <v>3592</v>
      </c>
      <c r="D422" s="616" t="s">
        <v>5738</v>
      </c>
      <c r="E422" s="616" t="s">
        <v>5739</v>
      </c>
      <c r="F422" s="619"/>
      <c r="G422" s="619"/>
      <c r="H422" s="619"/>
      <c r="I422" s="619"/>
      <c r="J422" s="619"/>
      <c r="K422" s="619"/>
      <c r="L422" s="619"/>
      <c r="M422" s="619"/>
      <c r="N422" s="619">
        <v>4</v>
      </c>
      <c r="O422" s="619">
        <v>1604</v>
      </c>
      <c r="P422" s="640"/>
      <c r="Q422" s="620">
        <v>401</v>
      </c>
    </row>
    <row r="423" spans="1:17" ht="14.4" customHeight="1" x14ac:dyDescent="0.3">
      <c r="A423" s="615" t="s">
        <v>5705</v>
      </c>
      <c r="B423" s="616" t="s">
        <v>5268</v>
      </c>
      <c r="C423" s="616" t="s">
        <v>3592</v>
      </c>
      <c r="D423" s="616" t="s">
        <v>5740</v>
      </c>
      <c r="E423" s="616" t="s">
        <v>5741</v>
      </c>
      <c r="F423" s="619"/>
      <c r="G423" s="619"/>
      <c r="H423" s="619"/>
      <c r="I423" s="619"/>
      <c r="J423" s="619"/>
      <c r="K423" s="619"/>
      <c r="L423" s="619"/>
      <c r="M423" s="619"/>
      <c r="N423" s="619">
        <v>2</v>
      </c>
      <c r="O423" s="619">
        <v>582</v>
      </c>
      <c r="P423" s="640"/>
      <c r="Q423" s="620">
        <v>291</v>
      </c>
    </row>
    <row r="424" spans="1:17" ht="14.4" customHeight="1" x14ac:dyDescent="0.3">
      <c r="A424" s="615" t="s">
        <v>5705</v>
      </c>
      <c r="B424" s="616" t="s">
        <v>5268</v>
      </c>
      <c r="C424" s="616" t="s">
        <v>3592</v>
      </c>
      <c r="D424" s="616" t="s">
        <v>5742</v>
      </c>
      <c r="E424" s="616" t="s">
        <v>5743</v>
      </c>
      <c r="F424" s="619"/>
      <c r="G424" s="619"/>
      <c r="H424" s="619"/>
      <c r="I424" s="619"/>
      <c r="J424" s="619">
        <v>1</v>
      </c>
      <c r="K424" s="619">
        <v>812</v>
      </c>
      <c r="L424" s="619"/>
      <c r="M424" s="619">
        <v>812</v>
      </c>
      <c r="N424" s="619"/>
      <c r="O424" s="619"/>
      <c r="P424" s="640"/>
      <c r="Q424" s="620"/>
    </row>
    <row r="425" spans="1:17" ht="14.4" customHeight="1" x14ac:dyDescent="0.3">
      <c r="A425" s="615" t="s">
        <v>5705</v>
      </c>
      <c r="B425" s="616" t="s">
        <v>5268</v>
      </c>
      <c r="C425" s="616" t="s">
        <v>3592</v>
      </c>
      <c r="D425" s="616" t="s">
        <v>5744</v>
      </c>
      <c r="E425" s="616" t="s">
        <v>5745</v>
      </c>
      <c r="F425" s="619">
        <v>17</v>
      </c>
      <c r="G425" s="619">
        <v>2833</v>
      </c>
      <c r="H425" s="619">
        <v>1</v>
      </c>
      <c r="I425" s="619">
        <v>166.64705882352942</v>
      </c>
      <c r="J425" s="619">
        <v>8</v>
      </c>
      <c r="K425" s="619">
        <v>1336</v>
      </c>
      <c r="L425" s="619">
        <v>0.47158489234027534</v>
      </c>
      <c r="M425" s="619">
        <v>167</v>
      </c>
      <c r="N425" s="619">
        <v>27</v>
      </c>
      <c r="O425" s="619">
        <v>4536</v>
      </c>
      <c r="P425" s="640">
        <v>1.6011295446523119</v>
      </c>
      <c r="Q425" s="620">
        <v>168</v>
      </c>
    </row>
    <row r="426" spans="1:17" ht="14.4" customHeight="1" x14ac:dyDescent="0.3">
      <c r="A426" s="615" t="s">
        <v>5705</v>
      </c>
      <c r="B426" s="616" t="s">
        <v>5268</v>
      </c>
      <c r="C426" s="616" t="s">
        <v>3592</v>
      </c>
      <c r="D426" s="616" t="s">
        <v>5746</v>
      </c>
      <c r="E426" s="616" t="s">
        <v>5747</v>
      </c>
      <c r="F426" s="619"/>
      <c r="G426" s="619"/>
      <c r="H426" s="619"/>
      <c r="I426" s="619"/>
      <c r="J426" s="619"/>
      <c r="K426" s="619"/>
      <c r="L426" s="619"/>
      <c r="M426" s="619"/>
      <c r="N426" s="619">
        <v>1</v>
      </c>
      <c r="O426" s="619">
        <v>574</v>
      </c>
      <c r="P426" s="640"/>
      <c r="Q426" s="620">
        <v>574</v>
      </c>
    </row>
    <row r="427" spans="1:17" ht="14.4" customHeight="1" x14ac:dyDescent="0.3">
      <c r="A427" s="615" t="s">
        <v>5705</v>
      </c>
      <c r="B427" s="616" t="s">
        <v>5268</v>
      </c>
      <c r="C427" s="616" t="s">
        <v>3592</v>
      </c>
      <c r="D427" s="616" t="s">
        <v>5748</v>
      </c>
      <c r="E427" s="616" t="s">
        <v>5749</v>
      </c>
      <c r="F427" s="619"/>
      <c r="G427" s="619"/>
      <c r="H427" s="619"/>
      <c r="I427" s="619"/>
      <c r="J427" s="619"/>
      <c r="K427" s="619"/>
      <c r="L427" s="619"/>
      <c r="M427" s="619"/>
      <c r="N427" s="619">
        <v>1</v>
      </c>
      <c r="O427" s="619">
        <v>1022</v>
      </c>
      <c r="P427" s="640"/>
      <c r="Q427" s="620">
        <v>1022</v>
      </c>
    </row>
    <row r="428" spans="1:17" ht="14.4" customHeight="1" x14ac:dyDescent="0.3">
      <c r="A428" s="615" t="s">
        <v>5705</v>
      </c>
      <c r="B428" s="616" t="s">
        <v>5268</v>
      </c>
      <c r="C428" s="616" t="s">
        <v>3592</v>
      </c>
      <c r="D428" s="616" t="s">
        <v>5750</v>
      </c>
      <c r="E428" s="616" t="s">
        <v>5751</v>
      </c>
      <c r="F428" s="619"/>
      <c r="G428" s="619"/>
      <c r="H428" s="619"/>
      <c r="I428" s="619"/>
      <c r="J428" s="619"/>
      <c r="K428" s="619"/>
      <c r="L428" s="619"/>
      <c r="M428" s="619"/>
      <c r="N428" s="619">
        <v>1</v>
      </c>
      <c r="O428" s="619">
        <v>190</v>
      </c>
      <c r="P428" s="640"/>
      <c r="Q428" s="620">
        <v>190</v>
      </c>
    </row>
    <row r="429" spans="1:17" ht="14.4" customHeight="1" x14ac:dyDescent="0.3">
      <c r="A429" s="615" t="s">
        <v>5705</v>
      </c>
      <c r="B429" s="616" t="s">
        <v>5268</v>
      </c>
      <c r="C429" s="616" t="s">
        <v>3592</v>
      </c>
      <c r="D429" s="616" t="s">
        <v>5752</v>
      </c>
      <c r="E429" s="616" t="s">
        <v>5753</v>
      </c>
      <c r="F429" s="619"/>
      <c r="G429" s="619"/>
      <c r="H429" s="619"/>
      <c r="I429" s="619"/>
      <c r="J429" s="619">
        <v>1</v>
      </c>
      <c r="K429" s="619">
        <v>812</v>
      </c>
      <c r="L429" s="619"/>
      <c r="M429" s="619">
        <v>812</v>
      </c>
      <c r="N429" s="619"/>
      <c r="O429" s="619"/>
      <c r="P429" s="640"/>
      <c r="Q429" s="620"/>
    </row>
    <row r="430" spans="1:17" ht="14.4" customHeight="1" x14ac:dyDescent="0.3">
      <c r="A430" s="615" t="s">
        <v>5705</v>
      </c>
      <c r="B430" s="616" t="s">
        <v>5268</v>
      </c>
      <c r="C430" s="616" t="s">
        <v>3592</v>
      </c>
      <c r="D430" s="616" t="s">
        <v>5754</v>
      </c>
      <c r="E430" s="616" t="s">
        <v>5755</v>
      </c>
      <c r="F430" s="619"/>
      <c r="G430" s="619"/>
      <c r="H430" s="619"/>
      <c r="I430" s="619"/>
      <c r="J430" s="619">
        <v>1</v>
      </c>
      <c r="K430" s="619">
        <v>328</v>
      </c>
      <c r="L430" s="619"/>
      <c r="M430" s="619">
        <v>328</v>
      </c>
      <c r="N430" s="619"/>
      <c r="O430" s="619"/>
      <c r="P430" s="640"/>
      <c r="Q430" s="620"/>
    </row>
    <row r="431" spans="1:17" ht="14.4" customHeight="1" x14ac:dyDescent="0.3">
      <c r="A431" s="615" t="s">
        <v>479</v>
      </c>
      <c r="B431" s="616" t="s">
        <v>4734</v>
      </c>
      <c r="C431" s="616" t="s">
        <v>3592</v>
      </c>
      <c r="D431" s="616" t="s">
        <v>4735</v>
      </c>
      <c r="E431" s="616" t="s">
        <v>4736</v>
      </c>
      <c r="F431" s="619"/>
      <c r="G431" s="619"/>
      <c r="H431" s="619"/>
      <c r="I431" s="619"/>
      <c r="J431" s="619">
        <v>1</v>
      </c>
      <c r="K431" s="619">
        <v>259</v>
      </c>
      <c r="L431" s="619"/>
      <c r="M431" s="619">
        <v>259</v>
      </c>
      <c r="N431" s="619">
        <v>1</v>
      </c>
      <c r="O431" s="619">
        <v>265</v>
      </c>
      <c r="P431" s="640"/>
      <c r="Q431" s="620">
        <v>265</v>
      </c>
    </row>
    <row r="432" spans="1:17" ht="14.4" customHeight="1" x14ac:dyDescent="0.3">
      <c r="A432" s="615" t="s">
        <v>479</v>
      </c>
      <c r="B432" s="616" t="s">
        <v>4734</v>
      </c>
      <c r="C432" s="616" t="s">
        <v>3592</v>
      </c>
      <c r="D432" s="616" t="s">
        <v>4737</v>
      </c>
      <c r="E432" s="616" t="s">
        <v>4738</v>
      </c>
      <c r="F432" s="619"/>
      <c r="G432" s="619"/>
      <c r="H432" s="619"/>
      <c r="I432" s="619"/>
      <c r="J432" s="619"/>
      <c r="K432" s="619"/>
      <c r="L432" s="619"/>
      <c r="M432" s="619"/>
      <c r="N432" s="619">
        <v>2</v>
      </c>
      <c r="O432" s="619">
        <v>698</v>
      </c>
      <c r="P432" s="640"/>
      <c r="Q432" s="620">
        <v>349</v>
      </c>
    </row>
    <row r="433" spans="1:17" ht="14.4" customHeight="1" x14ac:dyDescent="0.3">
      <c r="A433" s="615" t="s">
        <v>479</v>
      </c>
      <c r="B433" s="616" t="s">
        <v>4734</v>
      </c>
      <c r="C433" s="616" t="s">
        <v>3592</v>
      </c>
      <c r="D433" s="616" t="s">
        <v>4739</v>
      </c>
      <c r="E433" s="616" t="s">
        <v>4740</v>
      </c>
      <c r="F433" s="619"/>
      <c r="G433" s="619"/>
      <c r="H433" s="619"/>
      <c r="I433" s="619"/>
      <c r="J433" s="619"/>
      <c r="K433" s="619"/>
      <c r="L433" s="619"/>
      <c r="M433" s="619"/>
      <c r="N433" s="619">
        <v>2</v>
      </c>
      <c r="O433" s="619">
        <v>566</v>
      </c>
      <c r="P433" s="640"/>
      <c r="Q433" s="620">
        <v>283</v>
      </c>
    </row>
    <row r="434" spans="1:17" ht="14.4" customHeight="1" x14ac:dyDescent="0.3">
      <c r="A434" s="615" t="s">
        <v>479</v>
      </c>
      <c r="B434" s="616" t="s">
        <v>4734</v>
      </c>
      <c r="C434" s="616" t="s">
        <v>3592</v>
      </c>
      <c r="D434" s="616" t="s">
        <v>4741</v>
      </c>
      <c r="E434" s="616" t="s">
        <v>4742</v>
      </c>
      <c r="F434" s="619"/>
      <c r="G434" s="619"/>
      <c r="H434" s="619"/>
      <c r="I434" s="619"/>
      <c r="J434" s="619"/>
      <c r="K434" s="619"/>
      <c r="L434" s="619"/>
      <c r="M434" s="619"/>
      <c r="N434" s="619">
        <v>2</v>
      </c>
      <c r="O434" s="619">
        <v>11194</v>
      </c>
      <c r="P434" s="640"/>
      <c r="Q434" s="620">
        <v>5597</v>
      </c>
    </row>
    <row r="435" spans="1:17" ht="14.4" customHeight="1" x14ac:dyDescent="0.3">
      <c r="A435" s="615" t="s">
        <v>5756</v>
      </c>
      <c r="B435" s="616" t="s">
        <v>5757</v>
      </c>
      <c r="C435" s="616" t="s">
        <v>3592</v>
      </c>
      <c r="D435" s="616" t="s">
        <v>5726</v>
      </c>
      <c r="E435" s="616" t="s">
        <v>5727</v>
      </c>
      <c r="F435" s="619">
        <v>20</v>
      </c>
      <c r="G435" s="619">
        <v>9996</v>
      </c>
      <c r="H435" s="619">
        <v>1</v>
      </c>
      <c r="I435" s="619">
        <v>499.8</v>
      </c>
      <c r="J435" s="619">
        <v>15</v>
      </c>
      <c r="K435" s="619">
        <v>7545</v>
      </c>
      <c r="L435" s="619">
        <v>0.75480192076830732</v>
      </c>
      <c r="M435" s="619">
        <v>503</v>
      </c>
      <c r="N435" s="619">
        <v>9</v>
      </c>
      <c r="O435" s="619">
        <v>4572</v>
      </c>
      <c r="P435" s="640">
        <v>0.45738295318127253</v>
      </c>
      <c r="Q435" s="620">
        <v>508</v>
      </c>
    </row>
    <row r="436" spans="1:17" ht="14.4" customHeight="1" x14ac:dyDescent="0.3">
      <c r="A436" s="615" t="s">
        <v>5756</v>
      </c>
      <c r="B436" s="616" t="s">
        <v>5757</v>
      </c>
      <c r="C436" s="616" t="s">
        <v>3592</v>
      </c>
      <c r="D436" s="616" t="s">
        <v>5758</v>
      </c>
      <c r="E436" s="616" t="s">
        <v>5759</v>
      </c>
      <c r="F436" s="619">
        <v>17</v>
      </c>
      <c r="G436" s="619">
        <v>106597</v>
      </c>
      <c r="H436" s="619">
        <v>1</v>
      </c>
      <c r="I436" s="619">
        <v>6270.411764705882</v>
      </c>
      <c r="J436" s="619">
        <v>14</v>
      </c>
      <c r="K436" s="619">
        <v>87976</v>
      </c>
      <c r="L436" s="619">
        <v>0.82531403322795205</v>
      </c>
      <c r="M436" s="619">
        <v>6284</v>
      </c>
      <c r="N436" s="619">
        <v>8</v>
      </c>
      <c r="O436" s="619">
        <v>51216</v>
      </c>
      <c r="P436" s="640">
        <v>0.48046380292128299</v>
      </c>
      <c r="Q436" s="620">
        <v>6402</v>
      </c>
    </row>
    <row r="437" spans="1:17" ht="14.4" customHeight="1" x14ac:dyDescent="0.3">
      <c r="A437" s="615" t="s">
        <v>5756</v>
      </c>
      <c r="B437" s="616" t="s">
        <v>5757</v>
      </c>
      <c r="C437" s="616" t="s">
        <v>3592</v>
      </c>
      <c r="D437" s="616" t="s">
        <v>5134</v>
      </c>
      <c r="E437" s="616" t="s">
        <v>5135</v>
      </c>
      <c r="F437" s="619">
        <v>20</v>
      </c>
      <c r="G437" s="619">
        <v>25124</v>
      </c>
      <c r="H437" s="619">
        <v>1</v>
      </c>
      <c r="I437" s="619">
        <v>1256.2</v>
      </c>
      <c r="J437" s="619">
        <v>13</v>
      </c>
      <c r="K437" s="619">
        <v>16484</v>
      </c>
      <c r="L437" s="619">
        <v>0.65610571565037412</v>
      </c>
      <c r="M437" s="619">
        <v>1268</v>
      </c>
      <c r="N437" s="619">
        <v>9</v>
      </c>
      <c r="O437" s="619">
        <v>11547</v>
      </c>
      <c r="P437" s="640">
        <v>0.4596003821047604</v>
      </c>
      <c r="Q437" s="620">
        <v>1283</v>
      </c>
    </row>
    <row r="438" spans="1:17" ht="14.4" customHeight="1" x14ac:dyDescent="0.3">
      <c r="A438" s="615" t="s">
        <v>5756</v>
      </c>
      <c r="B438" s="616" t="s">
        <v>5757</v>
      </c>
      <c r="C438" s="616" t="s">
        <v>3592</v>
      </c>
      <c r="D438" s="616" t="s">
        <v>5760</v>
      </c>
      <c r="E438" s="616" t="s">
        <v>5761</v>
      </c>
      <c r="F438" s="619"/>
      <c r="G438" s="619"/>
      <c r="H438" s="619"/>
      <c r="I438" s="619"/>
      <c r="J438" s="619"/>
      <c r="K438" s="619"/>
      <c r="L438" s="619"/>
      <c r="M438" s="619"/>
      <c r="N438" s="619">
        <v>16</v>
      </c>
      <c r="O438" s="619">
        <v>156048</v>
      </c>
      <c r="P438" s="640"/>
      <c r="Q438" s="620">
        <v>9753</v>
      </c>
    </row>
    <row r="439" spans="1:17" ht="14.4" customHeight="1" x14ac:dyDescent="0.3">
      <c r="A439" s="615" t="s">
        <v>5756</v>
      </c>
      <c r="B439" s="616" t="s">
        <v>5757</v>
      </c>
      <c r="C439" s="616" t="s">
        <v>3592</v>
      </c>
      <c r="D439" s="616" t="s">
        <v>5635</v>
      </c>
      <c r="E439" s="616" t="s">
        <v>5636</v>
      </c>
      <c r="F439" s="619">
        <v>19</v>
      </c>
      <c r="G439" s="619">
        <v>3130</v>
      </c>
      <c r="H439" s="619">
        <v>1</v>
      </c>
      <c r="I439" s="619">
        <v>164.73684210526315</v>
      </c>
      <c r="J439" s="619">
        <v>12</v>
      </c>
      <c r="K439" s="619">
        <v>1992</v>
      </c>
      <c r="L439" s="619">
        <v>0.6364217252396166</v>
      </c>
      <c r="M439" s="619">
        <v>166</v>
      </c>
      <c r="N439" s="619">
        <v>8</v>
      </c>
      <c r="O439" s="619">
        <v>1424</v>
      </c>
      <c r="P439" s="640">
        <v>0.4549520766773163</v>
      </c>
      <c r="Q439" s="620">
        <v>178</v>
      </c>
    </row>
    <row r="440" spans="1:17" ht="14.4" customHeight="1" thickBot="1" x14ac:dyDescent="0.35">
      <c r="A440" s="621" t="s">
        <v>5756</v>
      </c>
      <c r="B440" s="622" t="s">
        <v>5757</v>
      </c>
      <c r="C440" s="622" t="s">
        <v>3592</v>
      </c>
      <c r="D440" s="622" t="s">
        <v>5641</v>
      </c>
      <c r="E440" s="622" t="s">
        <v>5642</v>
      </c>
      <c r="F440" s="625">
        <v>1</v>
      </c>
      <c r="G440" s="625">
        <v>167</v>
      </c>
      <c r="H440" s="625">
        <v>1</v>
      </c>
      <c r="I440" s="625">
        <v>167</v>
      </c>
      <c r="J440" s="625">
        <v>3</v>
      </c>
      <c r="K440" s="625">
        <v>510</v>
      </c>
      <c r="L440" s="625">
        <v>3.0538922155688621</v>
      </c>
      <c r="M440" s="625">
        <v>170</v>
      </c>
      <c r="N440" s="625"/>
      <c r="O440" s="625"/>
      <c r="P440" s="633"/>
      <c r="Q440" s="62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5" customWidth="1"/>
    <col min="6" max="6" width="6.109375" style="186" customWidth="1"/>
    <col min="7" max="9" width="8.33203125" style="185" customWidth="1"/>
    <col min="10" max="10" width="6.109375" style="186" customWidth="1"/>
    <col min="11" max="14" width="8.33203125" style="185" customWidth="1"/>
    <col min="15" max="16384" width="8.88671875" style="177"/>
  </cols>
  <sheetData>
    <row r="1" spans="1:14" ht="18.600000000000001" customHeight="1" thickBot="1" x14ac:dyDescent="0.4">
      <c r="A1" s="560" t="s">
        <v>162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</row>
    <row r="2" spans="1:14" ht="14.4" customHeight="1" thickBot="1" x14ac:dyDescent="0.35">
      <c r="A2" s="360" t="s">
        <v>280</v>
      </c>
      <c r="B2" s="178"/>
      <c r="C2" s="178"/>
      <c r="D2" s="178"/>
      <c r="E2" s="178"/>
      <c r="F2" s="178"/>
      <c r="G2" s="430"/>
      <c r="H2" s="430"/>
      <c r="I2" s="430"/>
      <c r="J2" s="178"/>
      <c r="K2" s="430"/>
      <c r="L2" s="430"/>
      <c r="M2" s="430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3484</v>
      </c>
      <c r="D3" s="182">
        <f>SUBTOTAL(9,D6:D1048576)</f>
        <v>3421</v>
      </c>
      <c r="E3" s="182">
        <f>SUBTOTAL(9,E6:E1048576)</f>
        <v>3574</v>
      </c>
      <c r="F3" s="183">
        <f>IF(OR(E3=0,C3=0),"",E3/C3)</f>
        <v>1.0258323765786452</v>
      </c>
      <c r="G3" s="431">
        <f>SUBTOTAL(9,G6:G1048576)</f>
        <v>37642.960999999988</v>
      </c>
      <c r="H3" s="432">
        <f>SUBTOTAL(9,H6:H1048576)</f>
        <v>39037.286899999999</v>
      </c>
      <c r="I3" s="432">
        <f>SUBTOTAL(9,I6:I1048576)</f>
        <v>39132.462999999996</v>
      </c>
      <c r="J3" s="183">
        <f>IF(OR(I3=0,G3=0),"",I3/G3)</f>
        <v>1.03956920392102</v>
      </c>
      <c r="K3" s="431">
        <f>SUBTOTAL(9,K6:K1048576)</f>
        <v>7754</v>
      </c>
      <c r="L3" s="432">
        <f>SUBTOTAL(9,L6:L1048576)</f>
        <v>8495</v>
      </c>
      <c r="M3" s="432">
        <f>SUBTOTAL(9,M6:M1048576)</f>
        <v>7969.5</v>
      </c>
      <c r="N3" s="184">
        <f>IF(OR(M3=0,E3=0),"",M3/E3)</f>
        <v>2.2298545047565752</v>
      </c>
    </row>
    <row r="4" spans="1:14" ht="14.4" customHeight="1" x14ac:dyDescent="0.3">
      <c r="A4" s="562" t="s">
        <v>77</v>
      </c>
      <c r="B4" s="563" t="s">
        <v>11</v>
      </c>
      <c r="C4" s="564" t="s">
        <v>78</v>
      </c>
      <c r="D4" s="564"/>
      <c r="E4" s="564"/>
      <c r="F4" s="565"/>
      <c r="G4" s="566" t="s">
        <v>14</v>
      </c>
      <c r="H4" s="564"/>
      <c r="I4" s="564"/>
      <c r="J4" s="565"/>
      <c r="K4" s="566" t="s">
        <v>79</v>
      </c>
      <c r="L4" s="564"/>
      <c r="M4" s="564"/>
      <c r="N4" s="567"/>
    </row>
    <row r="5" spans="1:14" ht="14.4" customHeight="1" thickBot="1" x14ac:dyDescent="0.35">
      <c r="A5" s="807"/>
      <c r="B5" s="808"/>
      <c r="C5" s="815">
        <v>2014</v>
      </c>
      <c r="D5" s="815">
        <v>2015</v>
      </c>
      <c r="E5" s="815">
        <v>2016</v>
      </c>
      <c r="F5" s="816" t="s">
        <v>2</v>
      </c>
      <c r="G5" s="826">
        <v>2014</v>
      </c>
      <c r="H5" s="815">
        <v>2015</v>
      </c>
      <c r="I5" s="815">
        <v>2016</v>
      </c>
      <c r="J5" s="816" t="s">
        <v>2</v>
      </c>
      <c r="K5" s="826">
        <v>2014</v>
      </c>
      <c r="L5" s="815">
        <v>2015</v>
      </c>
      <c r="M5" s="815">
        <v>2016</v>
      </c>
      <c r="N5" s="827" t="s">
        <v>80</v>
      </c>
    </row>
    <row r="6" spans="1:14" ht="14.4" customHeight="1" x14ac:dyDescent="0.3">
      <c r="A6" s="809" t="s">
        <v>4525</v>
      </c>
      <c r="B6" s="812" t="s">
        <v>5763</v>
      </c>
      <c r="C6" s="817">
        <v>9</v>
      </c>
      <c r="D6" s="818">
        <v>6</v>
      </c>
      <c r="E6" s="818">
        <v>10</v>
      </c>
      <c r="F6" s="823">
        <v>1.1111111111111112</v>
      </c>
      <c r="G6" s="817">
        <v>258.9246</v>
      </c>
      <c r="H6" s="818">
        <v>172.6164</v>
      </c>
      <c r="I6" s="818">
        <v>287.69400000000002</v>
      </c>
      <c r="J6" s="823">
        <v>1.1111111111111112</v>
      </c>
      <c r="K6" s="817">
        <v>99</v>
      </c>
      <c r="L6" s="818">
        <v>66</v>
      </c>
      <c r="M6" s="818">
        <v>110</v>
      </c>
      <c r="N6" s="828">
        <v>11000</v>
      </c>
    </row>
    <row r="7" spans="1:14" ht="14.4" customHeight="1" x14ac:dyDescent="0.3">
      <c r="A7" s="810" t="s">
        <v>4562</v>
      </c>
      <c r="B7" s="813" t="s">
        <v>5763</v>
      </c>
      <c r="C7" s="819">
        <v>59</v>
      </c>
      <c r="D7" s="820">
        <v>140</v>
      </c>
      <c r="E7" s="820">
        <v>68</v>
      </c>
      <c r="F7" s="824">
        <v>1.152542372881356</v>
      </c>
      <c r="G7" s="819">
        <v>1484.9945999999998</v>
      </c>
      <c r="H7" s="820">
        <v>3523.7159999999999</v>
      </c>
      <c r="I7" s="820">
        <v>1711.5192000000002</v>
      </c>
      <c r="J7" s="824">
        <v>1.1525423728813562</v>
      </c>
      <c r="K7" s="819">
        <v>531</v>
      </c>
      <c r="L7" s="820">
        <v>1260</v>
      </c>
      <c r="M7" s="820">
        <v>612</v>
      </c>
      <c r="N7" s="829">
        <v>9000</v>
      </c>
    </row>
    <row r="8" spans="1:14" ht="14.4" customHeight="1" x14ac:dyDescent="0.3">
      <c r="A8" s="810" t="s">
        <v>4557</v>
      </c>
      <c r="B8" s="813" t="s">
        <v>5763</v>
      </c>
      <c r="C8" s="819">
        <v>169</v>
      </c>
      <c r="D8" s="820">
        <v>214</v>
      </c>
      <c r="E8" s="820">
        <v>123</v>
      </c>
      <c r="F8" s="824">
        <v>0.72781065088757402</v>
      </c>
      <c r="G8" s="819">
        <v>3647.6251999999986</v>
      </c>
      <c r="H8" s="820">
        <v>4615.8516</v>
      </c>
      <c r="I8" s="820">
        <v>2653.0362000000005</v>
      </c>
      <c r="J8" s="824">
        <v>0.72733245729303586</v>
      </c>
      <c r="K8" s="819">
        <v>1183</v>
      </c>
      <c r="L8" s="820">
        <v>1498</v>
      </c>
      <c r="M8" s="820">
        <v>861</v>
      </c>
      <c r="N8" s="829">
        <v>7000</v>
      </c>
    </row>
    <row r="9" spans="1:14" ht="14.4" customHeight="1" x14ac:dyDescent="0.3">
      <c r="A9" s="810" t="s">
        <v>4527</v>
      </c>
      <c r="B9" s="813" t="s">
        <v>5763</v>
      </c>
      <c r="C9" s="819">
        <v>2724</v>
      </c>
      <c r="D9" s="820">
        <v>2634</v>
      </c>
      <c r="E9" s="820">
        <v>3033</v>
      </c>
      <c r="F9" s="824">
        <v>1.1134361233480177</v>
      </c>
      <c r="G9" s="819">
        <v>29173.823399999997</v>
      </c>
      <c r="H9" s="820">
        <v>28211.356100000008</v>
      </c>
      <c r="I9" s="820">
        <v>32478.809999999998</v>
      </c>
      <c r="J9" s="824">
        <v>1.1132860288720332</v>
      </c>
      <c r="K9" s="819">
        <v>5448</v>
      </c>
      <c r="L9" s="820">
        <v>5268</v>
      </c>
      <c r="M9" s="820">
        <v>6066</v>
      </c>
      <c r="N9" s="829">
        <v>2000</v>
      </c>
    </row>
    <row r="10" spans="1:14" ht="14.4" customHeight="1" x14ac:dyDescent="0.3">
      <c r="A10" s="810" t="s">
        <v>4559</v>
      </c>
      <c r="B10" s="813" t="s">
        <v>5763</v>
      </c>
      <c r="C10" s="819">
        <v>463</v>
      </c>
      <c r="D10" s="820">
        <v>379</v>
      </c>
      <c r="E10" s="820">
        <v>301</v>
      </c>
      <c r="F10" s="824">
        <v>0.6501079913606912</v>
      </c>
      <c r="G10" s="819">
        <v>2781.8891999999983</v>
      </c>
      <c r="H10" s="820">
        <v>2277.1835999999985</v>
      </c>
      <c r="I10" s="820">
        <v>1809.1959999999995</v>
      </c>
      <c r="J10" s="824">
        <v>0.65034797216222728</v>
      </c>
      <c r="K10" s="819">
        <v>463</v>
      </c>
      <c r="L10" s="820">
        <v>379</v>
      </c>
      <c r="M10" s="820">
        <v>301</v>
      </c>
      <c r="N10" s="829">
        <v>1000</v>
      </c>
    </row>
    <row r="11" spans="1:14" ht="14.4" customHeight="1" thickBot="1" x14ac:dyDescent="0.35">
      <c r="A11" s="811" t="s">
        <v>4553</v>
      </c>
      <c r="B11" s="814" t="s">
        <v>5763</v>
      </c>
      <c r="C11" s="821">
        <v>60</v>
      </c>
      <c r="D11" s="822">
        <v>48</v>
      </c>
      <c r="E11" s="822">
        <v>39</v>
      </c>
      <c r="F11" s="825">
        <v>0.65</v>
      </c>
      <c r="G11" s="821">
        <v>295.70399999999995</v>
      </c>
      <c r="H11" s="822">
        <v>236.56319999999988</v>
      </c>
      <c r="I11" s="822">
        <v>192.20759999999996</v>
      </c>
      <c r="J11" s="825">
        <v>0.64999999999999991</v>
      </c>
      <c r="K11" s="821">
        <v>30</v>
      </c>
      <c r="L11" s="822">
        <v>24</v>
      </c>
      <c r="M11" s="822">
        <v>19.5</v>
      </c>
      <c r="N11" s="83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2017-01-31T12:15:05Z</dcterms:modified>
</cp:coreProperties>
</file>