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33" i="371" l="1"/>
  <c r="U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T28" i="371"/>
  <c r="U28" i="371" s="1"/>
  <c r="S28" i="371"/>
  <c r="V28" i="371" s="1"/>
  <c r="R28" i="371"/>
  <c r="Q28" i="371"/>
  <c r="T27" i="371"/>
  <c r="U27" i="371" s="1"/>
  <c r="S27" i="371"/>
  <c r="R27" i="371"/>
  <c r="Q27" i="371"/>
  <c r="V26" i="371"/>
  <c r="T26" i="371"/>
  <c r="U26" i="371" s="1"/>
  <c r="S26" i="371"/>
  <c r="R26" i="371"/>
  <c r="Q26" i="371"/>
  <c r="V25" i="371"/>
  <c r="U25" i="371"/>
  <c r="T25" i="371"/>
  <c r="S25" i="371"/>
  <c r="R25" i="371"/>
  <c r="Q25" i="371"/>
  <c r="V24" i="371"/>
  <c r="T24" i="371"/>
  <c r="U24" i="371" s="1"/>
  <c r="S24" i="371"/>
  <c r="R24" i="371"/>
  <c r="Q24" i="371"/>
  <c r="V23" i="371"/>
  <c r="U23" i="371"/>
  <c r="T23" i="371"/>
  <c r="S23" i="371"/>
  <c r="R23" i="371"/>
  <c r="Q23" i="371"/>
  <c r="V22" i="371"/>
  <c r="T22" i="371"/>
  <c r="U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T10" i="371"/>
  <c r="U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7" i="371" l="1"/>
  <c r="V27" i="371"/>
  <c r="V33" i="371"/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E11" i="339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N6" i="419"/>
  <c r="F6" i="419"/>
  <c r="I6" i="419"/>
  <c r="AB6" i="419"/>
  <c r="L6" i="419"/>
  <c r="AS6" i="419"/>
  <c r="AO6" i="419"/>
  <c r="AK6" i="419"/>
  <c r="AG6" i="419"/>
  <c r="AC6" i="419"/>
  <c r="Y6" i="419"/>
  <c r="U6" i="419"/>
  <c r="Q6" i="419"/>
  <c r="E6" i="419"/>
  <c r="T6" i="419"/>
  <c r="AR6" i="419"/>
  <c r="AN6" i="419"/>
  <c r="AJ6" i="419"/>
  <c r="X6" i="419"/>
  <c r="H6" i="419"/>
  <c r="AQ6" i="419"/>
  <c r="AM6" i="419"/>
  <c r="AI6" i="419"/>
  <c r="AE6" i="419"/>
  <c r="AA6" i="419"/>
  <c r="W6" i="419"/>
  <c r="S6" i="419"/>
  <c r="O6" i="419"/>
  <c r="K6" i="419"/>
  <c r="G6" i="419"/>
  <c r="R6" i="419"/>
  <c r="J6" i="419"/>
  <c r="M6" i="419"/>
  <c r="AF6" i="419"/>
  <c r="P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8" i="414" l="1"/>
  <c r="G3" i="410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D4" i="414"/>
  <c r="C14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N3" i="372" l="1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H13" i="339" l="1"/>
  <c r="F15" i="339"/>
  <c r="J13" i="339"/>
  <c r="B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<sst xmlns="http://schemas.openxmlformats.org/spreadsheetml/2006/main" count="8218" uniqueCount="2904">
  <si>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</si>
  <si>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</si>
  <si>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</si>
  <si>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</si>
  <si>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</si>
  <si>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</si>
  <si>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</si>
  <si>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</si>
  <si>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</si>
  <si>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</si>
  <si>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</si>
  <si>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</si>
  <si>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</si>
  <si>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</si>
  <si>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</si>
  <si>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</si>
  <si>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</si>
  <si>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</si>
  <si>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</si>
  <si>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</si>
  <si>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</si>
  <si>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</si>
  <si>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</si>
  <si>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</si>
  <si>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</si>
  <si>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</si>
  <si>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</si>
  <si>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</si>
  <si>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</si>
  <si>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</si>
  <si>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</si>
  <si>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</si>
  <si>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</si>
  <si>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</si>
  <si>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</si>
  <si>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</si>
  <si>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</si>
  <si>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</si>
  <si>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</si>
  <si>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</si>
  <si>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</si>
  <si>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</si>
  <si>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</si>
  <si>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</si>
  <si>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</si>
  <si>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</si>
  <si>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</si>
  <si>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</si>
  <si>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</si>
  <si>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</si>
  <si>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</si>
  <si>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</si>
  <si>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</si>
  <si>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</si>
  <si>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</si>
  <si>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</si>
  <si>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</si>
  <si>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</si>
  <si>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</si>
  <si>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</si>
  <si>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</si>
  <si>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</si>
  <si>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</si>
  <si>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</si>
  <si>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</si>
  <si>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</si>
  <si>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</si>
  <si>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</si>
  <si>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</si>
  <si>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</si>
  <si>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</si>
  <si>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</si>
  <si>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</si>
  <si>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</si>
  <si>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</si>
  <si>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</si>
  <si>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</si>
  <si>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</si>
  <si>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</si>
  <si>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</si>
  <si>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</si>
  <si>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</si>
  <si>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</si>
  <si>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</si>
  <si>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</si>
  <si>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</si>
  <si>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</si>
  <si>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</si>
  <si>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</si>
  <si>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</si>
  <si>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</si>
  <si>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</si>
  <si>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</si>
  <si>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</si>
  <si>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</si>
  <si>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</si>
  <si>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</si>
  <si>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</si>
  <si>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</si>
  <si>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</si>
  <si>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</si>
  <si>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</si>
  <si>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</si>
  <si>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</si>
  <si>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</si>
  <si>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</si>
  <si>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</si>
  <si>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</si>
  <si>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</si>
  <si>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</si>
  <si>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</si>
  <si>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</si>
  <si>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</si>
  <si>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</si>
  <si>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</si>
  <si>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</si>
  <si>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</si>
  <si>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</si>
  <si>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</si>
  <si>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</si>
  <si>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</si>
  <si>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</si>
  <si>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</si>
  <si>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</si>
  <si>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</si>
  <si>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</si>
  <si>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</si>
  <si>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</si>
  <si>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</si>
  <si>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</si>
  <si>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</si>
  <si>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</si>
  <si>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</si>
  <si>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</si>
  <si>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</si>
  <si>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</si>
  <si>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</si>
  <si>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</si>
  <si>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</si>
  <si>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</si>
  <si>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</si>
  <si>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</si>
  <si>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</si>
  <si>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</si>
  <si>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</si>
  <si>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</si>
  <si>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</si>
  <si>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</si>
  <si>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</si>
  <si>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</si>
  <si>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</si>
  <si>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</si>
  <si>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</si>
  <si>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</si>
  <si>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</si>
  <si>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</si>
  <si>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</si>
  <si>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</si>
  <si>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</si>
  <si>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</si>
  <si>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</si>
  <si>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</si>
  <si>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</si>
  <si>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</si>
  <si>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</si>
  <si>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</si>
  <si>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</si>
  <si>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</si>
  <si>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</si>
  <si>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</si>
  <si>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</si>
  <si>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</si>
  <si>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</si>
  <si>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</si>
  <si>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</si>
  <si>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</si>
  <si>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</si>
  <si>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</si>
  <si>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</si>
  <si>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</si>
  <si>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</si>
  <si>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</si>
  <si>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</si>
  <si>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</si>
  <si>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</si>
  <si>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</si>
  <si>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</si>
  <si>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</si>
  <si>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</si>
  <si>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</si>
  <si>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</si>
  <si>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</si>
  <si>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</si>
  <si>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</si>
  <si>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</si>
  <si>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</si>
  <si>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</si>
  <si>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</si>
  <si>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</si>
  <si>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</si>
  <si>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</si>
  <si>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</si>
  <si>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</si>
  <si>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</si>
  <si>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</si>
  <si>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</si>
  <si>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</si>
  <si>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</si>
  <si>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</si>
  <si>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</si>
  <si>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</si>
  <si>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</si>
  <si>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</si>
  <si>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</si>
  <si>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</si>
  <si>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</si>
  <si>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</si>
  <si>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</si>
  <si>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</si>
  <si>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</si>
  <si>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</si>
  <si>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</si>
  <si>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</si>
  <si>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</si>
  <si>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</si>
  <si>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</si>
  <si>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</si>
  <si>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</si>
  <si>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</si>
  <si>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</si>
  <si>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</si>
  <si>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</si>
  <si>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</si>
  <si>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</si>
  <si>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</si>
  <si>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</si>
  <si>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</si>
  <si>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</si>
  <si>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</si>
  <si>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</si>
  <si>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</si>
  <si>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</si>
  <si>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</si>
  <si>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</si>
  <si>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</si>
  <si>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</si>
  <si>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</si>
  <si>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</si>
  <si>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</si>
  <si>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</si>
  <si>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</si>
  <si>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</si>
  <si>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</si>
  <si>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</si>
  <si>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</si>
  <si>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</si>
  <si>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</si>
  <si>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</si>
  <si>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</si>
  <si>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</si>
  <si>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</si>
  <si>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</si>
  <si>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</si>
  <si>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</si>
  <si>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</si>
  <si>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</si>
  <si>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</si>
  <si>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ergoterapeuti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</si>
  <si>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</si>
  <si>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</si>
  <si>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</si>
  <si>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</si>
  <si>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</si>
  <si>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</si>
  <si>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</si>
  <si>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</si>
  <si>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</si>
  <si>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</si>
  <si>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</si>
  <si>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</si>
  <si>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</si>
  <si>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</si>
  <si>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</si>
  <si>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</si>
  <si>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</si>
  <si>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</si>
  <si>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</si>
  <si>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</si>
  <si>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</si>
  <si>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</si>
  <si>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</si>
  <si>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</si>
  <si>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</si>
  <si>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</si>
  <si>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</si>
  <si>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</si>
  <si>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</si>
  <si>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</si>
  <si>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</si>
  <si>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</si>
  <si>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</si>
  <si>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</si>
  <si>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</si>
  <si>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</si>
  <si>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</si>
  <si>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</si>
  <si>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</si>
  <si>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</si>
  <si>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</si>
  <si>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</si>
  <si>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</si>
  <si>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</si>
  <si>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</si>
  <si>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</si>
  <si>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</si>
  <si>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</si>
  <si>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</si>
  <si>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</si>
  <si>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</si>
  <si>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</si>
  <si>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</si>
  <si>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</si>
  <si>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</si>
  <si>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</si>
  <si>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</si>
  <si>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</si>
  <si>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</si>
  <si>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</si>
  <si>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</si>
  <si>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</si>
  <si>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</si>
  <si>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</si>
  <si>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</si>
  <si>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</si>
  <si>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</si>
  <si>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</si>
  <si>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</si>
  <si>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</si>
  <si>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</si>
  <si>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</si>
  <si>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</si>
  <si>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</si>
  <si>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</si>
  <si>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</si>
  <si>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</si>
  <si>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</si>
  <si>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</si>
  <si>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</si>
  <si>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</si>
  <si>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</si>
  <si>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</si>
  <si>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</si>
  <si>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</si>
  <si>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</si>
  <si>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</si>
  <si>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</si>
  <si>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</si>
  <si>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</si>
  <si>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</si>
  <si>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</si>
  <si>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</si>
  <si>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</si>
  <si>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</si>
  <si>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</si>
  <si>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</si>
  <si>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</si>
  <si>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</si>
  <si>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</si>
  <si>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</si>
  <si>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</si>
  <si>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</si>
  <si>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</si>
  <si>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</si>
  <si>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</si>
  <si>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</si>
  <si>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</si>
  <si>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</si>
  <si>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</si>
  <si>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</si>
  <si>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</si>
  <si>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</si>
  <si>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</si>
  <si>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</si>
  <si>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</si>
  <si>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</si>
  <si>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</si>
  <si>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</si>
  <si>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</si>
  <si>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</si>
  <si>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</si>
  <si>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</si>
  <si>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</si>
  <si>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</si>
  <si>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</si>
  <si>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</si>
  <si>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</si>
  <si>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</si>
  <si>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</si>
  <si>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</si>
  <si>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</si>
  <si>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</si>
  <si>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</si>
  <si>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</si>
  <si>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</si>
  <si>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</si>
  <si>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</si>
  <si>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</si>
  <si>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</si>
  <si>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</si>
  <si>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</si>
  <si>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</si>
  <si>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</si>
  <si>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</si>
  <si>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</si>
  <si>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</si>
  <si>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</si>
  <si>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</si>
  <si>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</si>
  <si>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</si>
  <si>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</si>
  <si>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</si>
  <si>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</si>
  <si>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</si>
  <si>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</si>
  <si>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</si>
  <si>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</si>
  <si>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</si>
  <si>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</si>
  <si>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</si>
  <si>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</si>
  <si>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</si>
  <si>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</si>
  <si>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</si>
  <si>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</si>
  <si>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</si>
  <si>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</si>
  <si>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</si>
  <si>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</si>
  <si>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</si>
  <si>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</si>
  <si>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</si>
  <si>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</si>
  <si>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</si>
  <si>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</si>
  <si>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</si>
  <si>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</si>
  <si>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</si>
  <si>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</si>
  <si>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</si>
  <si>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</si>
  <si>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</si>
  <si>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</si>
  <si>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</si>
  <si>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</si>
  <si>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</si>
  <si>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</si>
  <si>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</si>
  <si>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</si>
  <si>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</si>
  <si>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</si>
  <si>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</si>
  <si>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</si>
  <si>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</si>
  <si>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</si>
  <si>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</si>
  <si>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</si>
  <si>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</si>
  <si>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</si>
  <si>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</si>
  <si>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</si>
  <si>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</si>
  <si>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</si>
  <si>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</si>
  <si>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</si>
  <si>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</si>
  <si>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</si>
  <si>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</si>
  <si>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</si>
  <si>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</si>
  <si>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</si>
  <si>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</si>
  <si>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</si>
  <si>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</si>
  <si>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</si>
  <si>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</si>
  <si>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</si>
  <si>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</si>
  <si>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</si>
  <si>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</si>
  <si>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</si>
  <si>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</si>
  <si>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</si>
  <si>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</si>
  <si>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</si>
  <si>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</si>
  <si>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</si>
  <si>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</si>
  <si>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</si>
  <si>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</si>
  <si>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</si>
  <si>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</si>
  <si>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</si>
  <si>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</si>
  <si>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</si>
  <si>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</si>
  <si>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</si>
  <si>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</si>
  <si>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</si>
  <si>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</si>
  <si>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</si>
  <si>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</si>
  <si>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</si>
  <si>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</si>
  <si>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</si>
  <si>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</si>
  <si>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</si>
  <si>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</si>
  <si>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</si>
  <si>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</si>
  <si>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</si>
  <si>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</si>
  <si>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</si>
  <si>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</si>
  <si>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128222</t>
  </si>
  <si>
    <t>28222</t>
  </si>
  <si>
    <t>LYRICA 150 MG</t>
  </si>
  <si>
    <t>POR CPSDUR14X150MG</t>
  </si>
  <si>
    <t>128216</t>
  </si>
  <si>
    <t>28216</t>
  </si>
  <si>
    <t>LYRICA 75 MG</t>
  </si>
  <si>
    <t>POR CPSDUR14X75MG</t>
  </si>
  <si>
    <t>185526</t>
  </si>
  <si>
    <t>85526</t>
  </si>
  <si>
    <t>SUFENTA FORTE I.V.</t>
  </si>
  <si>
    <t>INJ 5X1ML/0.05MG</t>
  </si>
  <si>
    <t>117191</t>
  </si>
  <si>
    <t>17191</t>
  </si>
  <si>
    <t>LACTULOSA BIOMEDICA</t>
  </si>
  <si>
    <t>POR SIR 500ML 50%</t>
  </si>
  <si>
    <t>128217</t>
  </si>
  <si>
    <t>28217</t>
  </si>
  <si>
    <t>POR CPSDUR56X75MG</t>
  </si>
  <si>
    <t>198757</t>
  </si>
  <si>
    <t>MIDAZOLAM B. BRAUN 1 MG/ML</t>
  </si>
  <si>
    <t>INJ+RCT SOL 10X50ML</t>
  </si>
  <si>
    <t>198054</t>
  </si>
  <si>
    <t>SANVAL 10 MG</t>
  </si>
  <si>
    <t>POR TBL FLM 20X10MG</t>
  </si>
  <si>
    <t>169251</t>
  </si>
  <si>
    <t>TROMBEX 75 MG POTAHOVANÉ TABLETY</t>
  </si>
  <si>
    <t>POR TBL FLM 30X75MG</t>
  </si>
  <si>
    <t>200358</t>
  </si>
  <si>
    <t>CHIROCAINE 7,5 MG/ML</t>
  </si>
  <si>
    <t>INJ SOL 10X10ML</t>
  </si>
  <si>
    <t>132853</t>
  </si>
  <si>
    <t>AULIN</t>
  </si>
  <si>
    <t>POR TBL NOB 30X100MG</t>
  </si>
  <si>
    <t>113476</t>
  </si>
  <si>
    <t>13476</t>
  </si>
  <si>
    <t>RAMIL 5</t>
  </si>
  <si>
    <t>POR TBLNOB 90X5MG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</si>
  <si>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</si>
  <si>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</si>
  <si>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</si>
  <si>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</si>
  <si>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</si>
  <si>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</si>
  <si>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</si>
  <si>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</si>
  <si>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</si>
  <si>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</si>
  <si>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</si>
  <si>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</si>
  <si>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</si>
  <si>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</si>
  <si>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</si>
  <si>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</si>
  <si>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</si>
  <si>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</si>
  <si>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</si>
  <si>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</si>
  <si>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</si>
  <si>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</si>
  <si>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</si>
  <si>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</si>
  <si>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</si>
  <si>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</si>
  <si>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</si>
  <si>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</si>
  <si>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</si>
  <si>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</si>
  <si>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</si>
  <si>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</si>
  <si>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</si>
  <si>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</si>
  <si>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</si>
  <si>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</si>
  <si>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</si>
  <si>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</si>
  <si>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</si>
  <si>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</si>
  <si>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</si>
  <si>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</si>
  <si>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</si>
  <si>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</si>
  <si>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</si>
  <si>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</si>
  <si>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</si>
  <si>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</si>
  <si>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</si>
  <si>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</si>
  <si>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</si>
  <si>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</si>
  <si>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</si>
  <si>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</si>
  <si>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</si>
  <si>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</si>
  <si>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</si>
  <si>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</si>
  <si>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</si>
  <si>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</si>
  <si>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</si>
  <si>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</si>
  <si>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</si>
  <si>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</si>
  <si>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</si>
  <si>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</si>
  <si>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</si>
  <si>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</si>
  <si>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</si>
  <si>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</si>
  <si>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</si>
  <si>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</si>
  <si>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</si>
  <si>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</si>
  <si>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</si>
  <si>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</si>
  <si>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</si>
  <si>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</si>
  <si>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</si>
  <si>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</si>
  <si>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</si>
  <si>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</si>
  <si>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</si>
  <si>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</si>
  <si>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</si>
  <si>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110151</t>
  </si>
  <si>
    <t>10151</t>
  </si>
  <si>
    <t>LOPERON CPS</t>
  </si>
  <si>
    <t>POR CPS DUR 10X2MG</t>
  </si>
  <si>
    <t>111696</t>
  </si>
  <si>
    <t>11696</t>
  </si>
  <si>
    <t>PLASMALYTE ROZTOK S GLUKOZOU 5%</t>
  </si>
  <si>
    <t>INF SOL 10X1000ML</t>
  </si>
  <si>
    <t>117293</t>
  </si>
  <si>
    <t>17293</t>
  </si>
  <si>
    <t>CELASKON 500MG ČERVENÝ POMERANČ</t>
  </si>
  <si>
    <t>POR TBLEFF20X500MG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</si>
  <si>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</si>
  <si>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</si>
  <si>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</si>
  <si>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</si>
  <si>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</si>
  <si>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</si>
  <si>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</si>
  <si>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132225</t>
  </si>
  <si>
    <t>32225</t>
  </si>
  <si>
    <t>BETALOC ZOK 25 MG</t>
  </si>
  <si>
    <t>TBL RET 28X25MG</t>
  </si>
  <si>
    <t>145310</t>
  </si>
  <si>
    <t>45310</t>
  </si>
  <si>
    <t>ANACID</t>
  </si>
  <si>
    <t>SUS 12X5ML(SACKY)</t>
  </si>
  <si>
    <t>149013</t>
  </si>
  <si>
    <t>49013</t>
  </si>
  <si>
    <t>SOTAHEXAL 80</t>
  </si>
  <si>
    <t>POR TBL NOB 50X80MG</t>
  </si>
  <si>
    <t>149014</t>
  </si>
  <si>
    <t>49014</t>
  </si>
  <si>
    <t>POR TBL NOB 100X80MG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</si>
  <si>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</si>
  <si>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</si>
  <si>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</si>
  <si>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</si>
  <si>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</si>
  <si>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</si>
  <si>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</si>
  <si>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</si>
  <si>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176496</t>
  </si>
  <si>
    <t>76496</t>
  </si>
  <si>
    <t>BERODUAL</t>
  </si>
  <si>
    <t>INH LIQ 1X20ML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</si>
  <si>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</si>
  <si>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</si>
  <si>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</si>
  <si>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</si>
  <si>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</si>
  <si>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</si>
  <si>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</si>
  <si>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</si>
  <si>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</si>
  <si>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</si>
  <si>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</si>
  <si>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</si>
  <si>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</si>
  <si>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</si>
  <si>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</si>
  <si>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</si>
  <si>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</si>
  <si>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</si>
  <si>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</si>
  <si>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</si>
  <si>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</si>
  <si>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</si>
  <si>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</si>
  <si>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</si>
  <si>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</si>
  <si>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</si>
  <si>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</si>
  <si>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</si>
  <si>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</si>
  <si>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</si>
  <si>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</si>
  <si>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</si>
  <si>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</si>
  <si>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</si>
  <si>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</si>
  <si>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</si>
  <si>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</si>
  <si>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</si>
  <si>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</si>
  <si>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</si>
  <si>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</si>
  <si>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</si>
  <si>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</si>
  <si>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</si>
  <si>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</si>
  <si>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</si>
  <si>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</si>
  <si>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</si>
  <si>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</si>
  <si>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</si>
  <si>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</si>
  <si>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</si>
  <si>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</si>
  <si>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</si>
  <si>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</si>
  <si>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840220</t>
  </si>
  <si>
    <t>0</t>
  </si>
  <si>
    <t>Lactobacillus acidophil.cps.75 bez laktózy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</si>
  <si>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</si>
  <si>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</si>
  <si>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</si>
  <si>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</si>
  <si>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</si>
  <si>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</si>
  <si>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</si>
  <si>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</si>
  <si>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</si>
  <si>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</si>
  <si>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</si>
  <si>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</si>
  <si>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</si>
  <si>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</si>
  <si>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</si>
  <si>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846758</t>
  </si>
  <si>
    <t>103387</t>
  </si>
  <si>
    <t>ACC INJEKT</t>
  </si>
  <si>
    <t>INJ SOL 5X3ML/300MG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</si>
  <si>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</si>
  <si>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</si>
  <si>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</si>
  <si>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</si>
  <si>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</si>
  <si>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</si>
  <si>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</si>
  <si>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</si>
  <si>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849713</t>
  </si>
  <si>
    <t>125046</t>
  </si>
  <si>
    <t>APO-AMLO 10</t>
  </si>
  <si>
    <t>POR TBL NOB 30X10MG</t>
  </si>
  <si>
    <t>849896</t>
  </si>
  <si>
    <t>134281</t>
  </si>
  <si>
    <t>VALSACOMBI 160 MG/12,5 MG</t>
  </si>
  <si>
    <t>POR TBL FLM 28</t>
  </si>
  <si>
    <t>850147</t>
  </si>
  <si>
    <t>107950</t>
  </si>
  <si>
    <t>CLEXANE FORTE</t>
  </si>
  <si>
    <t>INJ SOL 10X0.8ML/12KU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</si>
  <si>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</si>
  <si>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</si>
  <si>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</si>
  <si>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</si>
  <si>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</si>
  <si>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</si>
  <si>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</si>
  <si>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</si>
  <si>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100513</t>
  </si>
  <si>
    <t>513</t>
  </si>
  <si>
    <t>NATRIUM CHLORATUM BIOTIKA 10%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</si>
  <si>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</si>
  <si>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</si>
  <si>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</si>
  <si>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</si>
  <si>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</si>
  <si>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</si>
  <si>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</si>
  <si>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</si>
  <si>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</si>
  <si>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</si>
  <si>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</si>
  <si>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</si>
  <si>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</si>
  <si>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</si>
  <si>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</si>
  <si>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145981</t>
  </si>
  <si>
    <t>45981</t>
  </si>
  <si>
    <t>CERNEVIT</t>
  </si>
  <si>
    <t>INJ PLV SOL10X750MG</t>
  </si>
  <si>
    <t>172564</t>
  </si>
  <si>
    <t>72564</t>
  </si>
  <si>
    <t>SEROPRAM</t>
  </si>
  <si>
    <t>INF 5X0.5ML/20MG</t>
  </si>
  <si>
    <t>189244</t>
  </si>
  <si>
    <t>89244</t>
  </si>
  <si>
    <t>AQUA PRO INJECTIONE ARDEAPHARMA</t>
  </si>
  <si>
    <t>INF 1X250ML</t>
  </si>
  <si>
    <t>192757</t>
  </si>
  <si>
    <t>92757</t>
  </si>
  <si>
    <t>ERDOMED 300MG</t>
  </si>
  <si>
    <t>CPS 10X300MG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</si>
  <si>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</si>
  <si>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</si>
  <si>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</si>
  <si>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</si>
  <si>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</si>
  <si>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</si>
  <si>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</si>
  <si>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</si>
  <si>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104071</t>
  </si>
  <si>
    <t>4071</t>
  </si>
  <si>
    <t>DITHIADEN</t>
  </si>
  <si>
    <t>INJ 10X2ML</t>
  </si>
  <si>
    <t>165633</t>
  </si>
  <si>
    <t>165751</t>
  </si>
  <si>
    <t>GELASPAN 4% EBI20x500 ml</t>
  </si>
  <si>
    <t>INF SOL20X500ML VAK</t>
  </si>
  <si>
    <t>47706</t>
  </si>
  <si>
    <t>GLUKÓZA 20 BRAUN</t>
  </si>
  <si>
    <t>100874</t>
  </si>
  <si>
    <t>874</t>
  </si>
  <si>
    <t>OPHTHALMO-AZULEN</t>
  </si>
  <si>
    <t>142595</t>
  </si>
  <si>
    <t>42595</t>
  </si>
  <si>
    <t>VITALIPID N ADULT</t>
  </si>
  <si>
    <t>INF CNC SOL 10X10ML</t>
  </si>
  <si>
    <t>162597</t>
  </si>
  <si>
    <t>62597</t>
  </si>
  <si>
    <t>ENAP I.V.</t>
  </si>
  <si>
    <t>INJ 5X1ML/1.25MG</t>
  </si>
  <si>
    <t>194852</t>
  </si>
  <si>
    <t>94852</t>
  </si>
  <si>
    <t>SOLUVIT N PRO INFUS.</t>
  </si>
  <si>
    <t>INJ SIC 10</t>
  </si>
  <si>
    <t>100392</t>
  </si>
  <si>
    <t>392</t>
  </si>
  <si>
    <t>ATROPIN BIOTIKA 0.5MG</t>
  </si>
  <si>
    <t>100407</t>
  </si>
  <si>
    <t>407</t>
  </si>
  <si>
    <t>CALCIUM BIOTIKA</t>
  </si>
  <si>
    <t>INJ 10X10ML/1GM</t>
  </si>
  <si>
    <t>117294</t>
  </si>
  <si>
    <t>17294</t>
  </si>
  <si>
    <t>PORTBLEFF3X10PROMO</t>
  </si>
  <si>
    <t>198872</t>
  </si>
  <si>
    <t>98872</t>
  </si>
  <si>
    <t>FYZIOLOGICKÝ ROZTOK VIAFLO</t>
  </si>
  <si>
    <t>INF SOL 30X250ML</t>
  </si>
  <si>
    <t>900321</t>
  </si>
  <si>
    <t>KL PRIPRAVEK</t>
  </si>
  <si>
    <t>101127</t>
  </si>
  <si>
    <t>1127</t>
  </si>
  <si>
    <t>INJ 10X2ML/20MG</t>
  </si>
  <si>
    <t>117011</t>
  </si>
  <si>
    <t>17011</t>
  </si>
  <si>
    <t>DICYNONE 250</t>
  </si>
  <si>
    <t>INJ SOL 4X2ML/250MG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</si>
  <si>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</si>
  <si>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</si>
  <si>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</si>
  <si>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</si>
  <si>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</si>
  <si>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</si>
  <si>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</si>
  <si>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</si>
  <si>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100113</t>
  </si>
  <si>
    <t>113</t>
  </si>
  <si>
    <t>DILURAN</t>
  </si>
  <si>
    <t>TBL 20X250MG</t>
  </si>
  <si>
    <t>108499</t>
  </si>
  <si>
    <t>8499</t>
  </si>
  <si>
    <t>DIPIDOLOR</t>
  </si>
  <si>
    <t>INJ 5X2ML 7.5MG/ML</t>
  </si>
  <si>
    <t>159358</t>
  </si>
  <si>
    <t>59358</t>
  </si>
  <si>
    <t>RINGERUV ROZTOK BRAUN</t>
  </si>
  <si>
    <t>INF 10X1000ML(LDPE)</t>
  </si>
  <si>
    <t>187299</t>
  </si>
  <si>
    <t>87299</t>
  </si>
  <si>
    <t>IMUNOR</t>
  </si>
  <si>
    <t>LYO 4X10MG</t>
  </si>
  <si>
    <t>199466</t>
  </si>
  <si>
    <t>BURONIL 25 MG</t>
  </si>
  <si>
    <t>POR TBL OBD 50X25MG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</si>
  <si>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</si>
  <si>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</si>
  <si>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</si>
  <si>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</si>
  <si>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</si>
  <si>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</si>
  <si>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</si>
  <si>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</si>
  <si>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501065</t>
  </si>
  <si>
    <t>KL SIGNATURY</t>
  </si>
  <si>
    <t>106091</t>
  </si>
  <si>
    <t>6091</t>
  </si>
  <si>
    <t>GUTRON 2.5MG</t>
  </si>
  <si>
    <t>TBL 20X2.5MG</t>
  </si>
  <si>
    <t>847962</t>
  </si>
  <si>
    <t>AESCIN 30mg tbl.60 VULM</t>
  </si>
  <si>
    <t>102132</t>
  </si>
  <si>
    <t>2132</t>
  </si>
  <si>
    <t>CARDILAN</t>
  </si>
  <si>
    <t>INJ 10X10ML</t>
  </si>
  <si>
    <t>169667</t>
  </si>
  <si>
    <t>69667</t>
  </si>
  <si>
    <t>ARDEAELYTOSOL NA.HYDR.FOSF.8.7%</t>
  </si>
  <si>
    <t>INF 1X200ML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</si>
  <si>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</si>
  <si>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</si>
  <si>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</si>
  <si>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</si>
  <si>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</si>
  <si>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</si>
  <si>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</si>
  <si>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</si>
  <si>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920358</t>
  </si>
  <si>
    <t>KL SOL.BORGLYCEROLI 3% 200 G</t>
  </si>
  <si>
    <t>121393</t>
  </si>
  <si>
    <t>21393</t>
  </si>
  <si>
    <t>PATENTBLAU V - MIMOŘ.DOVOZ!!!</t>
  </si>
  <si>
    <t>INJ 5X2ML/50MG</t>
  </si>
  <si>
    <t>2584</t>
  </si>
  <si>
    <t>GLUKÓZA 40 BRAUN</t>
  </si>
  <si>
    <t>844242</t>
  </si>
  <si>
    <t>105937</t>
  </si>
  <si>
    <t>TETRASPAN 6%</t>
  </si>
  <si>
    <t>144980</t>
  </si>
  <si>
    <t>44980</t>
  </si>
  <si>
    <t>CONTRACTUBEX</t>
  </si>
  <si>
    <t>GEL 1X20GM</t>
  </si>
  <si>
    <t>127698</t>
  </si>
  <si>
    <t>27698</t>
  </si>
  <si>
    <t>TAMIFLU 75 MG</t>
  </si>
  <si>
    <t>POR CPS DUR 10X75MG</t>
  </si>
  <si>
    <t>149990</t>
  </si>
  <si>
    <t>49990</t>
  </si>
  <si>
    <t>EXACYL</t>
  </si>
  <si>
    <t>INJ 5X5ML/500MG</t>
  </si>
  <si>
    <t>187825</t>
  </si>
  <si>
    <t>87825</t>
  </si>
  <si>
    <t>ARDEAELYTOSOL NA.HYDR.CARB.8.4%</t>
  </si>
  <si>
    <t>190484</t>
  </si>
  <si>
    <t>NEPRESOL 25 MG-MIMOŘÁDNÝ DOVOZ!!</t>
  </si>
  <si>
    <t>INJ SIC 5X25MG+SOLV</t>
  </si>
  <si>
    <t>850305</t>
  </si>
  <si>
    <t>Biopron9 tob.120</t>
  </si>
  <si>
    <t>129027</t>
  </si>
  <si>
    <t>PROPOFOL-LIPURO 1 % (10MG/ML)</t>
  </si>
  <si>
    <t>INJ+INF EML 10X100ML/1000MG</t>
  </si>
  <si>
    <t>194763</t>
  </si>
  <si>
    <t>94763</t>
  </si>
  <si>
    <t>NALOXONE POLFA</t>
  </si>
  <si>
    <t>INJ 10X1ML/0.4MG</t>
  </si>
  <si>
    <t>921135</t>
  </si>
  <si>
    <t>KL UNG.ICHT.2G,CaCO3 10G,ZnO 6G,VAS.LEN. AA AD</t>
  </si>
  <si>
    <t>100G, 2% ichtamolu</t>
  </si>
  <si>
    <t>845827</t>
  </si>
  <si>
    <t>Recugel oční gel 10g</t>
  </si>
  <si>
    <t>850608</t>
  </si>
  <si>
    <t>169303</t>
  </si>
  <si>
    <t>ARTEOPTIC 2%</t>
  </si>
  <si>
    <t>OPH GTT SOL 3X5ML</t>
  </si>
  <si>
    <t>842703</t>
  </si>
  <si>
    <t>Hypromeloza -P 10ml</t>
  </si>
  <si>
    <t>176954</t>
  </si>
  <si>
    <t>ALGIFEN NEO</t>
  </si>
  <si>
    <t>POR GTT SOL 1X50ML</t>
  </si>
  <si>
    <t>182977</t>
  </si>
  <si>
    <t>CEFTRIAXON MEDOPHARM 1 G</t>
  </si>
  <si>
    <t>INJ+INF PLV SOL 10X1GM</t>
  </si>
  <si>
    <t>186204</t>
  </si>
  <si>
    <t>ISOPTIN 80 MG</t>
  </si>
  <si>
    <t>POR TBL FLM 50X80MG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</si>
  <si>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</si>
  <si>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</si>
  <si>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</si>
  <si>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</si>
  <si>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</si>
  <si>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</si>
  <si>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</si>
  <si>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</si>
  <si>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</si>
  <si>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168650</t>
  </si>
  <si>
    <t>DEXDOR</t>
  </si>
  <si>
    <t>INF CNC SOL 5X2ML</t>
  </si>
  <si>
    <t>920235</t>
  </si>
  <si>
    <t>15880</t>
  </si>
  <si>
    <t>DZ BRAUNOL 500 ML</t>
  </si>
  <si>
    <t>137275</t>
  </si>
  <si>
    <t>CALCIUM RESONIUM</t>
  </si>
  <si>
    <t>POR+RCT PLV SUS 300GM</t>
  </si>
  <si>
    <t>190963</t>
  </si>
  <si>
    <t>TRIPLIXAM 5 MG/1,25 MG/10 MG</t>
  </si>
  <si>
    <t>POR TBL FLM 30</t>
  </si>
  <si>
    <t>150660</t>
  </si>
  <si>
    <t>CEREBROLYSIN</t>
  </si>
  <si>
    <t>INJ SOL 5X10ML</t>
  </si>
  <si>
    <t>843072</t>
  </si>
  <si>
    <t>Artelac CL 10ml</t>
  </si>
  <si>
    <t>990413</t>
  </si>
  <si>
    <t>Catapresan inj.10x1ml/0.15mg</t>
  </si>
  <si>
    <t>134821</t>
  </si>
  <si>
    <t>ISOLYTE  FFX - VAK</t>
  </si>
  <si>
    <t>INF SOL 10X1000ML Freeflex</t>
  </si>
  <si>
    <t>215473</t>
  </si>
  <si>
    <t>EBRANTIL I.V. 25</t>
  </si>
  <si>
    <t>INJ SOL 5X5ML/25MG</t>
  </si>
  <si>
    <t>214616</t>
  </si>
  <si>
    <t>TRENTAL</t>
  </si>
  <si>
    <t>INF SOL 5X5ML/100MG</t>
  </si>
  <si>
    <t>197323</t>
  </si>
  <si>
    <t>ADDAVEN</t>
  </si>
  <si>
    <t>IVN INF CNC SOL 20X10ML</t>
  </si>
  <si>
    <t>216900</t>
  </si>
  <si>
    <t>NORADRENALIN LÉČIVA</t>
  </si>
  <si>
    <t>IVN INF CNC SOL 5X5ML</t>
  </si>
  <si>
    <t>215851</t>
  </si>
  <si>
    <t>TRANSMETIL 500 MG TABLETY</t>
  </si>
  <si>
    <t>POR TBL ENT 10X500MG</t>
  </si>
  <si>
    <t>147251</t>
  </si>
  <si>
    <t>0,9 % SODIUM CHLORIDE KABI</t>
  </si>
  <si>
    <t>1x1000 ml FFlx</t>
  </si>
  <si>
    <t>P</t>
  </si>
  <si>
    <t>107981</t>
  </si>
  <si>
    <t>7981</t>
  </si>
  <si>
    <t>NOVALGIN</t>
  </si>
  <si>
    <t>INJ 10X2ML/1000MG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</si>
  <si>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</si>
  <si>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</si>
  <si>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</si>
  <si>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</si>
  <si>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</si>
  <si>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</si>
  <si>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</si>
  <si>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</si>
  <si>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147740</t>
  </si>
  <si>
    <t>47740</t>
  </si>
  <si>
    <t>RIVOCOR 5</t>
  </si>
  <si>
    <t>POR TBL FLM 30X5MG</t>
  </si>
  <si>
    <t>155823</t>
  </si>
  <si>
    <t>55823</t>
  </si>
  <si>
    <t>TBL OBD 20X500MG</t>
  </si>
  <si>
    <t>158380</t>
  </si>
  <si>
    <t>58380</t>
  </si>
  <si>
    <t>VENTOLIN ROZTOK K INHALACI</t>
  </si>
  <si>
    <t>INH SOL1X20ML/120MG</t>
  </si>
  <si>
    <t>844651</t>
  </si>
  <si>
    <t>101205</t>
  </si>
  <si>
    <t>PRESTARIUM NEO</t>
  </si>
  <si>
    <t>846338</t>
  </si>
  <si>
    <t>122685</t>
  </si>
  <si>
    <t>PRESTARIUM NEO COMBI 5mg/1,25mg</t>
  </si>
  <si>
    <t>848765</t>
  </si>
  <si>
    <t>107938</t>
  </si>
  <si>
    <t>INJ SOL 6X3ML/150MG</t>
  </si>
  <si>
    <t>849990</t>
  </si>
  <si>
    <t>102596</t>
  </si>
  <si>
    <t>CARVESAN 6,25</t>
  </si>
  <si>
    <t>POR TBL NOB 30X6,25MG</t>
  </si>
  <si>
    <t>126786</t>
  </si>
  <si>
    <t>26786</t>
  </si>
  <si>
    <t>NOVORAPID 100 U/ML</t>
  </si>
  <si>
    <t>INJ SOL 1X10ML</t>
  </si>
  <si>
    <t>194882</t>
  </si>
  <si>
    <t>94882</t>
  </si>
  <si>
    <t>INJ SIC 1X250MG+4ML</t>
  </si>
  <si>
    <t>112354</t>
  </si>
  <si>
    <t>12354</t>
  </si>
  <si>
    <t>SIOFOR 500</t>
  </si>
  <si>
    <t>POR TBL FLM 120X500MG</t>
  </si>
  <si>
    <t>117431</t>
  </si>
  <si>
    <t>17431</t>
  </si>
  <si>
    <t>CITALEC 20 ZENTIVA</t>
  </si>
  <si>
    <t>POR TBL FLM30X20MG</t>
  </si>
  <si>
    <t>115245</t>
  </si>
  <si>
    <t>15245</t>
  </si>
  <si>
    <t>SANDOSTATIN 0.1 MG/ML</t>
  </si>
  <si>
    <t>INJ SOL 5X1ML/0.1MG</t>
  </si>
  <si>
    <t>850729</t>
  </si>
  <si>
    <t>157875</t>
  </si>
  <si>
    <t>PARACETAMOL KABI 10MG/ML</t>
  </si>
  <si>
    <t>INF SOL 10X100ML/1000MG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</si>
  <si>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</si>
  <si>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</si>
  <si>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</si>
  <si>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</si>
  <si>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</si>
  <si>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</si>
  <si>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</si>
  <si>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</si>
  <si>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184095</t>
  </si>
  <si>
    <t>MIDAZOLAM ACCORD 5 MG/ML</t>
  </si>
  <si>
    <t>INJ+INF SOL 10X10ML</t>
  </si>
  <si>
    <t>180081</t>
  </si>
  <si>
    <t>SYMBICORT TURBUHALER 400 MIKROGRAMŮ/12 MIKROGRAMŮ/</t>
  </si>
  <si>
    <t>INH PLV 1X60DÁV</t>
  </si>
  <si>
    <t>987473</t>
  </si>
  <si>
    <t>146894</t>
  </si>
  <si>
    <t>ZOLPIDEM MYLAN</t>
  </si>
  <si>
    <t>29449</t>
  </si>
  <si>
    <t>NOVOSEVEN 100 KIU (2 MG)</t>
  </si>
  <si>
    <t>INJ PSO LQF 2MG</t>
  </si>
  <si>
    <t>187158</t>
  </si>
  <si>
    <t>ANESIA 10 MG/ML INJ/INF EML.</t>
  </si>
  <si>
    <t>INJ+INF EML 5X20ML/200MG</t>
  </si>
  <si>
    <t>187607</t>
  </si>
  <si>
    <t>ONDANSETRON B. BRAUN 2 MG/ML</t>
  </si>
  <si>
    <t>INJ SOL 20X4ML/8MG LDPE</t>
  </si>
  <si>
    <t>213477</t>
  </si>
  <si>
    <t>FRAXIPARIN MULTI</t>
  </si>
  <si>
    <t>INJ 10X5ML/47.5KU</t>
  </si>
  <si>
    <t>214427</t>
  </si>
  <si>
    <t>CONTROLOC I.V.</t>
  </si>
  <si>
    <t>INJ PLV SOL 1X40MG</t>
  </si>
  <si>
    <t>187427</t>
  </si>
  <si>
    <t>LETROX 100</t>
  </si>
  <si>
    <t>POR TBL NOB 100X100RG II</t>
  </si>
  <si>
    <t>187156</t>
  </si>
  <si>
    <t>ANESIA 10 MG/ML INJEKČNÍ/INFUZNÍ EMULZE</t>
  </si>
  <si>
    <t>IVN INJ+INF EML 10X50ML</t>
  </si>
  <si>
    <t>127736</t>
  </si>
  <si>
    <t>MIDAZOLAM ACCORD 1 MG/ML</t>
  </si>
  <si>
    <t>INJ+INF SOL 10X5MLX1MG/ML</t>
  </si>
  <si>
    <t>127737</t>
  </si>
  <si>
    <t>INJ+INF SOL 10X1MLX5MG/ML</t>
  </si>
  <si>
    <t>127738</t>
  </si>
  <si>
    <t>INJ+INF SOL 10X3MLX5MG/ML</t>
  </si>
  <si>
    <t>187159</t>
  </si>
  <si>
    <t>ANESIA 20 MG/ML INJEKČNÍ/INFUZNÍ EMULZE</t>
  </si>
  <si>
    <t>INJ+INF EML 10X50MLX20MG/ML</t>
  </si>
  <si>
    <t>201082</t>
  </si>
  <si>
    <t>VERTIBETIS 16MG</t>
  </si>
  <si>
    <t>TBL NOB 60</t>
  </si>
  <si>
    <t>50113006</t>
  </si>
  <si>
    <t>33788</t>
  </si>
  <si>
    <t>ENSURE PLUS ADVANCE BANÁN</t>
  </si>
  <si>
    <t>POR SOL 1X220ML</t>
  </si>
  <si>
    <t>33790</t>
  </si>
  <si>
    <t>ENSURE PLUS ADVANCE VANILKA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</si>
  <si>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</si>
  <si>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</si>
  <si>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</si>
  <si>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</si>
  <si>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</si>
  <si>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</si>
  <si>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</si>
  <si>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</si>
  <si>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</si>
  <si>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991356</t>
  </si>
  <si>
    <t>Calogen Neutral 4x200ml</t>
  </si>
  <si>
    <t>217054</t>
  </si>
  <si>
    <t>NUTRISON</t>
  </si>
  <si>
    <t>POR SOL 8X1000ML</t>
  </si>
  <si>
    <t>217058</t>
  </si>
  <si>
    <t>NUTRISON PROTEIN PLUS MULTI FIBRE</t>
  </si>
  <si>
    <t>POR SOL 8X500ML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</si>
  <si>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</si>
  <si>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</si>
  <si>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</si>
  <si>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</si>
  <si>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</si>
  <si>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</si>
  <si>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</si>
  <si>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</si>
  <si>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</si>
  <si>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</si>
  <si>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</si>
  <si>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</si>
  <si>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</si>
  <si>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</si>
  <si>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</si>
  <si>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</si>
  <si>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</si>
  <si>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</si>
  <si>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</si>
  <si>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</si>
  <si>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</si>
  <si>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</si>
  <si>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987792</t>
  </si>
  <si>
    <t>33749</t>
  </si>
  <si>
    <t>NUTRIDRINK CREME S PŘÍCHUTÍ BANÁNOVOU</t>
  </si>
  <si>
    <t>33848</t>
  </si>
  <si>
    <t>NUTRIDRINK S PŘÍCHUTÍ ČOKOLÁDOVOU</t>
  </si>
  <si>
    <t>POR SOL 4X200ML</t>
  </si>
  <si>
    <t>33847</t>
  </si>
  <si>
    <t>NUTRIDRINK S PŘÍCHUTÍ VANILKOVOU</t>
  </si>
  <si>
    <t>33859</t>
  </si>
  <si>
    <t>NUTRIDRINK JUICE STYLE S PŘÍCHUTÍ JABLEČNOU</t>
  </si>
  <si>
    <t>33858</t>
  </si>
  <si>
    <t>NUTRIDRINK JUICE STYLE S PŘÍCHUTÍ JAHODOVOU</t>
  </si>
  <si>
    <t>990352</t>
  </si>
  <si>
    <t>33935</t>
  </si>
  <si>
    <t>NUTRIDRINK S PŘÍCHUTÍ JAHODOVOU</t>
  </si>
  <si>
    <t>50113013</t>
  </si>
  <si>
    <t>203855</t>
  </si>
  <si>
    <t>CEFOTAXIME LEK 1 G PRÁŠEK PRO INJEKČNÍ ROZTOK</t>
  </si>
  <si>
    <t>IMS+IVN INJ PLV SOL 10X1GM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</si>
  <si>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</si>
  <si>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</si>
  <si>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</si>
  <si>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</si>
  <si>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</si>
  <si>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</si>
  <si>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</si>
  <si>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</si>
  <si>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</si>
  <si>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</si>
  <si>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103708</t>
  </si>
  <si>
    <t>3708</t>
  </si>
  <si>
    <t>ZYVOXID</t>
  </si>
  <si>
    <t>INF SOL 10X300ML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</si>
  <si>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</si>
  <si>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</si>
  <si>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</si>
  <si>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</si>
  <si>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</si>
  <si>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</si>
  <si>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</si>
  <si>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</si>
  <si>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</si>
  <si>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</si>
  <si>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</si>
  <si>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</si>
  <si>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</si>
  <si>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</si>
  <si>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</si>
  <si>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172972</t>
  </si>
  <si>
    <t>72972</t>
  </si>
  <si>
    <t>AMOKSIKLAV 1.2GM</t>
  </si>
  <si>
    <t>INJ SIC 5X1.2GM</t>
  </si>
  <si>
    <t>193922</t>
  </si>
  <si>
    <t>93922</t>
  </si>
  <si>
    <t>BENEMICIN 300 MG</t>
  </si>
  <si>
    <t>CPS 100X300MG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</si>
  <si>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</si>
  <si>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</si>
  <si>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</si>
  <si>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</si>
  <si>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</si>
  <si>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</si>
  <si>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</si>
  <si>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113453</t>
  </si>
  <si>
    <t>PIPERACILLIN/TAZOBACTAM KABI 4 G/0,5 G</t>
  </si>
  <si>
    <t>INF PLV SOL 10X4.5GM</t>
  </si>
  <si>
    <t>183926</t>
  </si>
  <si>
    <t>AZEPO 1 G</t>
  </si>
  <si>
    <t>151458</t>
  </si>
  <si>
    <t>CEFUROXIM KABI 1500 MG</t>
  </si>
  <si>
    <t>INJ+INF PLV SOL 10X1.5GM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</si>
  <si>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</si>
  <si>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</si>
  <si>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</si>
  <si>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</si>
  <si>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</si>
  <si>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</si>
  <si>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</si>
  <si>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201961</t>
  </si>
  <si>
    <t>AMPICILIN 1,0 BIOTIKA</t>
  </si>
  <si>
    <t>INJ PLV SOL 10X1000MG</t>
  </si>
  <si>
    <t>195147</t>
  </si>
  <si>
    <t>AMIKACIN MEDOPHARM 500 MG/2 ML</t>
  </si>
  <si>
    <t>INJ+INF SOL 10X2ML/500MG</t>
  </si>
  <si>
    <t>216183</t>
  </si>
  <si>
    <t>KLACID I.V.</t>
  </si>
  <si>
    <t>INF PLV SOL 1X500MG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</si>
  <si>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</si>
  <si>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</si>
  <si>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</si>
  <si>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</si>
  <si>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</si>
  <si>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</si>
  <si>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</si>
  <si>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</si>
  <si>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</si>
  <si>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</si>
  <si>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</si>
  <si>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</si>
  <si>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</si>
  <si>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</si>
  <si>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</si>
  <si>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</si>
  <si>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</si>
  <si>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</si>
  <si>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</si>
  <si>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</si>
  <si>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</si>
  <si>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</si>
  <si>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</si>
  <si>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</si>
  <si>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</si>
  <si>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</si>
  <si>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</si>
  <si>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</si>
  <si>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</si>
  <si>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</si>
  <si>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</si>
  <si>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</si>
  <si>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</si>
  <si>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</si>
  <si>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</si>
  <si>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164407</t>
  </si>
  <si>
    <t>INF SOL 10X200ML/400MG</t>
  </si>
  <si>
    <t>196852</t>
  </si>
  <si>
    <t>VORIKONAZOL SANDOZ 200 MG PRÁŠEK PRO INFUZNÍ ROZTO</t>
  </si>
  <si>
    <t>INF PLV SOL 1X200MG</t>
  </si>
  <si>
    <t>50113008</t>
  </si>
  <si>
    <t>0062464</t>
  </si>
  <si>
    <t>Haemocomplettan P 1000mg</t>
  </si>
  <si>
    <t>0138455</t>
  </si>
  <si>
    <t>ALBUNORM 20%</t>
  </si>
  <si>
    <t>200G/L INF SOL 1X100ML</t>
  </si>
  <si>
    <t>6480</t>
  </si>
  <si>
    <t>Ocplex 20ml 500 I.U. Phoenix</t>
  </si>
  <si>
    <t>0129056</t>
  </si>
  <si>
    <t>ATENATIV 500 I.U. Phoenix</t>
  </si>
  <si>
    <t>0129057</t>
  </si>
  <si>
    <t>ATENATIV</t>
  </si>
  <si>
    <t>50IU/ML INF PSO LQF 1+1X20ML</t>
  </si>
  <si>
    <t>50113002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</si>
  <si>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</si>
  <si>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</si>
  <si>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</si>
  <si>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</si>
  <si>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</si>
  <si>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</si>
  <si>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</si>
  <si>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</si>
  <si>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</si>
  <si>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</si>
  <si>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</si>
  <si>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</si>
  <si>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</si>
  <si>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</si>
  <si>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</si>
  <si>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</si>
  <si>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</si>
  <si>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</si>
  <si>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</si>
  <si>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</si>
  <si>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</si>
  <si>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</si>
  <si>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</si>
  <si>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</si>
  <si>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</si>
  <si>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</si>
  <si>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</si>
  <si>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</si>
  <si>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</si>
  <si>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</si>
  <si>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116338</t>
  </si>
  <si>
    <t>16338</t>
  </si>
  <si>
    <t>INFEML10X500ML-SKLO</t>
  </si>
  <si>
    <t>396914</t>
  </si>
  <si>
    <t>52301</t>
  </si>
  <si>
    <t>AMINOPLASMAL HEPA-10%</t>
  </si>
  <si>
    <t>INF 10X500ML</t>
  </si>
  <si>
    <t>Oddělení int. péče chirurg. oborů</t>
  </si>
  <si>
    <t>IPCHO: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</si>
  <si>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</si>
  <si>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</si>
  <si>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</si>
  <si>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</si>
  <si>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</si>
  <si>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</si>
  <si>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5931 - IPCHO: JIP 51</t>
  </si>
  <si>
    <t>N01AH03 - Sufentanyl</t>
  </si>
  <si>
    <t>V06XX - Potraviny pro zvláštní lékařské účely (PZLÚ)</t>
  </si>
  <si>
    <t>N03AX16 - Pregabalin</t>
  </si>
  <si>
    <t>N05CD08 - Midazolam</t>
  </si>
  <si>
    <t>C09AA05 - Ramipril</t>
  </si>
  <si>
    <t>J01DD01 - Cefotaxim</t>
  </si>
  <si>
    <t>A06AD11 - Laktulóza</t>
  </si>
  <si>
    <t>M01AX17 - Nimesulid</t>
  </si>
  <si>
    <t>B01AC04 - Klopidogrel</t>
  </si>
  <si>
    <t>J02AC03 - Vorikonazol</t>
  </si>
  <si>
    <t>A10BA02 - Metformin</t>
  </si>
  <si>
    <t>N02BB02 - Sodná sůl metamizolu</t>
  </si>
  <si>
    <t>C07AG02 - Karvedilol</t>
  </si>
  <si>
    <t>B01AB06 - Nadroparin</t>
  </si>
  <si>
    <t>C09AA04 - Perindopril</t>
  </si>
  <si>
    <t>C01BD01 - Amiodaron</t>
  </si>
  <si>
    <t>A04AA01 - Ondansetron</t>
  </si>
  <si>
    <t>N03AG01 - Kyselina valproová</t>
  </si>
  <si>
    <t>C09BA04 - Perindopril a diuretika</t>
  </si>
  <si>
    <t>N06AB04 - Citalopram</t>
  </si>
  <si>
    <t>H01CB02 - Oktreotid</t>
  </si>
  <si>
    <t>J02AC01 - Flukonazol</t>
  </si>
  <si>
    <t>H02AB04 - Methylprednisolon</t>
  </si>
  <si>
    <t>B02BD08 - Eptakog alfa (aktivovaný)</t>
  </si>
  <si>
    <t>H03AA01 - Levothyroxin, sodná sůl</t>
  </si>
  <si>
    <t>N01AX10 - Propofol</t>
  </si>
  <si>
    <t>J01AA12 - Tigecyklin</t>
  </si>
  <si>
    <t>N02BE01 - Paracetamol</t>
  </si>
  <si>
    <t>A02BC02 - Pantoprazol</t>
  </si>
  <si>
    <t>A10AB05 - Inzulin aspart</t>
  </si>
  <si>
    <t>J01DH02 - Meropenem</t>
  </si>
  <si>
    <t>N05CF02 - Zolpidem</t>
  </si>
  <si>
    <t>J01MA03 - Pefloxacin</t>
  </si>
  <si>
    <t>R03AC02 - Salbutamol</t>
  </si>
  <si>
    <t>R03AK07 - Formoterol a budesonid</t>
  </si>
  <si>
    <t>C07AB07 - Bisoprolol</t>
  </si>
  <si>
    <t>J01XD01 - Metronidazol</t>
  </si>
  <si>
    <t>J01XA01 - Vankomycin</t>
  </si>
  <si>
    <t>A02BC02</t>
  </si>
  <si>
    <t>40MG INJ PLV SOL 1</t>
  </si>
  <si>
    <t>A04AA01</t>
  </si>
  <si>
    <t>ONDANSETRON B. BRAUN</t>
  </si>
  <si>
    <t>2MG/ML INJ SOL 20X4ML II</t>
  </si>
  <si>
    <t>A06AD11</t>
  </si>
  <si>
    <t>50% SIR 500ML</t>
  </si>
  <si>
    <t>A10AB05</t>
  </si>
  <si>
    <t>NOVORAPID</t>
  </si>
  <si>
    <t>100U/ML INJ SOL 1X10ML</t>
  </si>
  <si>
    <t>A10BA02</t>
  </si>
  <si>
    <t>500MG TBL FLM 120 I</t>
  </si>
  <si>
    <t>B01AB06</t>
  </si>
  <si>
    <t>9500IU/ML INJ SOL 10X5ML</t>
  </si>
  <si>
    <t>B01AC04</t>
  </si>
  <si>
    <t>TROMBEX</t>
  </si>
  <si>
    <t>75MG TBL FLM 30</t>
  </si>
  <si>
    <t>B02BD08</t>
  </si>
  <si>
    <t>NOVOSEVEN</t>
  </si>
  <si>
    <t>2MG(100KIU) INJ PSO LQF 1+1X2,1ML II</t>
  </si>
  <si>
    <t>C01BD01</t>
  </si>
  <si>
    <t>150MG/3ML INJ SOL 6X3ML</t>
  </si>
  <si>
    <t>200MG TBL NOB 30</t>
  </si>
  <si>
    <t>C07AB07</t>
  </si>
  <si>
    <t>5MG TBL FLM 30</t>
  </si>
  <si>
    <t>C07AG02</t>
  </si>
  <si>
    <t>6,25MG TBL NOB 30</t>
  </si>
  <si>
    <t>C09AA04</t>
  </si>
  <si>
    <t>C09AA05</t>
  </si>
  <si>
    <t>5MG TBL NOB 90</t>
  </si>
  <si>
    <t>C09BA04</t>
  </si>
  <si>
    <t>PRESTARIUM NEO COMBI</t>
  </si>
  <si>
    <t>5MG/1,25MG TBL FLM 30</t>
  </si>
  <si>
    <t>H01CB02</t>
  </si>
  <si>
    <t>SANDOSTATIN</t>
  </si>
  <si>
    <t>0,1MG/ML INJ+INF SOL 5X1ML</t>
  </si>
  <si>
    <t>H02AB04</t>
  </si>
  <si>
    <t>62,5MG/ML INJ PSO LQF 250MG+4ML</t>
  </si>
  <si>
    <t>40MG/ML INJ PSO LQF 40MG+1ML</t>
  </si>
  <si>
    <t>H03AA01</t>
  </si>
  <si>
    <t>100MCG TBL NOB 100 II</t>
  </si>
  <si>
    <t>J01AA12</t>
  </si>
  <si>
    <t>TYGACIL</t>
  </si>
  <si>
    <t>50MG INF PLV SOL 10</t>
  </si>
  <si>
    <t>J01DD01</t>
  </si>
  <si>
    <t>CEFOTAXIME LEK</t>
  </si>
  <si>
    <t>1G INJ PLV SOL 10</t>
  </si>
  <si>
    <t>J01DH02</t>
  </si>
  <si>
    <t>ARCHIFAR</t>
  </si>
  <si>
    <t>1G INJ+INF PLV SOL 10</t>
  </si>
  <si>
    <t>J01MA03</t>
  </si>
  <si>
    <t>ABAKTAL 400 MG/5 ML</t>
  </si>
  <si>
    <t>80MG/ML INF SOL 10X5ML</t>
  </si>
  <si>
    <t>J01XA01</t>
  </si>
  <si>
    <t>VANCOMYCIN MYLAN</t>
  </si>
  <si>
    <t>500MG INF PLV SOL 1</t>
  </si>
  <si>
    <t>1000MG INF PLV SOL 1</t>
  </si>
  <si>
    <t>J01XD01</t>
  </si>
  <si>
    <t>METRONIDAZOLE 0,5%-POLPHARMA</t>
  </si>
  <si>
    <t>5MG/ML INF SOL 1X100ML</t>
  </si>
  <si>
    <t>J02AC01</t>
  </si>
  <si>
    <t>FLUCONAZOL KABI</t>
  </si>
  <si>
    <t>2MG/ML INF SOL 10X100ML</t>
  </si>
  <si>
    <t>2MG/ML INF SOL 10X200ML</t>
  </si>
  <si>
    <t>J02AC03</t>
  </si>
  <si>
    <t>VORIKONAZOL SANDOZ</t>
  </si>
  <si>
    <t>200MG INF PLV SOL 1</t>
  </si>
  <si>
    <t>M01AX17</t>
  </si>
  <si>
    <t>100MG TBL NOB 30</t>
  </si>
  <si>
    <t>N01AH03</t>
  </si>
  <si>
    <t>SUFENTANIL TORREX</t>
  </si>
  <si>
    <t>50MCG/ML INJ SOL 5X5ML</t>
  </si>
  <si>
    <t>SUFENTA FORTE</t>
  </si>
  <si>
    <t>50MCG/ML INJ SOL 5X1ML</t>
  </si>
  <si>
    <t>N01AX10</t>
  </si>
  <si>
    <t>ANESIA</t>
  </si>
  <si>
    <t>10MG/ML INJ+INF EML 10X50ML</t>
  </si>
  <si>
    <t>10MG/ML INJ+INF EML 5X20ML</t>
  </si>
  <si>
    <t>20MG/ML INJ+INF EML 10X50ML</t>
  </si>
  <si>
    <t>N02BB02</t>
  </si>
  <si>
    <t>NOVALGIN TABLETY</t>
  </si>
  <si>
    <t>500MG TBL FLM 20</t>
  </si>
  <si>
    <t>NOVALGIN INJEKCE</t>
  </si>
  <si>
    <t>500MG/ML INJ SOL 10X2ML</t>
  </si>
  <si>
    <t>N02BE01</t>
  </si>
  <si>
    <t>PARACETAMOL KABI</t>
  </si>
  <si>
    <t>10MG/ML INF SOL 10X100ML</t>
  </si>
  <si>
    <t>N03AG01</t>
  </si>
  <si>
    <t>400MG/4ML INJ PSO LQF 4+4X4ML</t>
  </si>
  <si>
    <t>N03AX16</t>
  </si>
  <si>
    <t>LYRICA</t>
  </si>
  <si>
    <t>75MG CPS DUR 14</t>
  </si>
  <si>
    <t>75MG CPS DUR 56</t>
  </si>
  <si>
    <t>150MG CPS DUR 14</t>
  </si>
  <si>
    <t>N05CD08</t>
  </si>
  <si>
    <t>MIDAZOLAM ACCORD</t>
  </si>
  <si>
    <t>1MG/ML INJ+INF SOL 10X5ML</t>
  </si>
  <si>
    <t>5MG/ML INJ+INF SOL 10X1ML</t>
  </si>
  <si>
    <t>5MG/ML INJ+INF SOL 10X3ML</t>
  </si>
  <si>
    <t>5MG/ML INJ+INF SOL 10X10ML</t>
  </si>
  <si>
    <t>MIDAZOLAM B. BRAUN</t>
  </si>
  <si>
    <t>1MG/ML INJ+INF+RCT SOL 10X50ML</t>
  </si>
  <si>
    <t>N05CF02</t>
  </si>
  <si>
    <t>10MG TBL FLM 20</t>
  </si>
  <si>
    <t>N06AB04</t>
  </si>
  <si>
    <t>20MG TBL FLM 30</t>
  </si>
  <si>
    <t>R03AC02</t>
  </si>
  <si>
    <t>VENTOLIN</t>
  </si>
  <si>
    <t>5MG/ML INH SOL 1X20ML</t>
  </si>
  <si>
    <t>R03AK07</t>
  </si>
  <si>
    <t>SYMBICORT TURBUHALER 400 MIKROGRAMŮ/12 MIKROGRAMŮ/INHALACE</t>
  </si>
  <si>
    <t>320MCG/9MCG INH PLV 1X60DÁV</t>
  </si>
  <si>
    <t>V06XX</t>
  </si>
  <si>
    <t>CUBITAN S PŘÍCHUTÍ VANILKOVOU</t>
  </si>
  <si>
    <t>CUBITAN S PŘÍCHUTÍ JAHODOVOU</t>
  </si>
  <si>
    <t>POR SOL 1X1000ML</t>
  </si>
  <si>
    <t>POR SOL 4X125G</t>
  </si>
  <si>
    <t>ENSURE PLUS ADVANCE PŘÍCHUŤ BANÁN</t>
  </si>
  <si>
    <t>ENSURE PLUS ADVANCE PŘÍCHUŤ VANILKA</t>
  </si>
  <si>
    <t>Přehled plnění pozitivního listu - spotřeba léčivých přípravků - orientační přehled</t>
  </si>
  <si>
    <t>59 - Oddělení intenzivní péče chirurgických oborů</t>
  </si>
  <si>
    <t>5931 - JIP 51</t>
  </si>
  <si>
    <t>ZA008</t>
  </si>
  <si>
    <t>Obvaz elastický síťový pruban č. 10 427310</t>
  </si>
  <si>
    <t>ZA324</t>
  </si>
  <si>
    <t>Krytí tegaderm 10,0 cm x 12,0 cm bal. á 50 ks 1626W</t>
  </si>
  <si>
    <t>ZA325</t>
  </si>
  <si>
    <t>Krytí hypro-sorb R 65 x 55 mm 002</t>
  </si>
  <si>
    <t>ZA329</t>
  </si>
  <si>
    <t>Obinadlo fixa crep   6 cm x 4 m 1323100102</t>
  </si>
  <si>
    <t>ZA331</t>
  </si>
  <si>
    <t>Obinadlo fixa crep 10 cm x 4 m 1323100104</t>
  </si>
  <si>
    <t>ZA418</t>
  </si>
  <si>
    <t>Náplast metaline pod TS 8 x 9 cm 23094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</si>
  <si>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</si>
  <si>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</si>
  <si>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</si>
  <si>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</si>
  <si>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</si>
  <si>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5,0 cm x 9,2 m 9004540 (900429)</t>
  </si>
  <si>
    <t>ZA454</t>
  </si>
  <si>
    <t>Kompresa AB 10 x 10 cm/1 ks sterilní NT savá 1230114011</t>
  </si>
  <si>
    <t>ZA463</t>
  </si>
  <si>
    <t>Kompresa NT 10 x 20 cm/2 ks sterilní 26620</t>
  </si>
  <si>
    <t>ZA464</t>
  </si>
  <si>
    <t>Kompresa NT 10 x 10 cm/2 ks sterilní 26520</t>
  </si>
  <si>
    <t>ZA466</t>
  </si>
  <si>
    <t>Tyčinka vatová sterilní 14 cm bal. á 200 ks 9679501</t>
  </si>
  <si>
    <t>ZA478</t>
  </si>
  <si>
    <t>Krytí actisorb plus 10,5 x 10,5 cm bal. á 10 ks s aktivním uhlím SYSMAP105EE</t>
  </si>
  <si>
    <t>ZA530</t>
  </si>
  <si>
    <t>Vložky hygienické samu 7162212</t>
  </si>
  <si>
    <t>ZA537</t>
  </si>
  <si>
    <t>Krytí mepilex heel 13 x 20 cm bal. á 5 ks 288100-01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</si>
  <si>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</si>
  <si>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</si>
  <si>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</si>
  <si>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</si>
  <si>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</si>
  <si>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</si>
  <si>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</si>
  <si>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</si>
  <si>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ZA558</t>
  </si>
  <si>
    <t>Tampon-gazin sterilní bal. á 125 ks 14962</t>
  </si>
  <si>
    <t>ZA561</t>
  </si>
  <si>
    <t>Kompresa AB 20 x 40 cm/1 ks sterilní NT savá 1230114051</t>
  </si>
  <si>
    <t>ZA562</t>
  </si>
  <si>
    <t>Náplast cosmopor i. v. 6 x 8 cm bal. á 50 ks 9008054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</si>
  <si>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</si>
  <si>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</si>
  <si>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</si>
  <si>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</si>
  <si>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</si>
  <si>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Krytí gelové hydrokoloidní Flamigel 250 ml 1002-C</t>
  </si>
  <si>
    <t>ZB084</t>
  </si>
  <si>
    <t>Náplast transpore 2,50 cm x 9,14 m 1527-1</t>
  </si>
  <si>
    <t>ZC100</t>
  </si>
  <si>
    <t>Vata buničitá dělená 2 role / 500 ks 40 x 50 mm 1230200310</t>
  </si>
  <si>
    <t>ZC702</t>
  </si>
  <si>
    <t>Krytí tegaderm 6,0 cm x 7,0 cm bal. á 100 ks 1624W</t>
  </si>
  <si>
    <t>ZC845</t>
  </si>
  <si>
    <t>Kompresa NT 10 x 20 cm/5 ks sterilní 26621</t>
  </si>
  <si>
    <t>ZC885</t>
  </si>
  <si>
    <t>Náplast omnifix E 10 cm x 10 m 900650</t>
  </si>
  <si>
    <t>ZD631</t>
  </si>
  <si>
    <t>Krytí pharmafoam-trach. s výřezem 8 x 8 cm bal. á 10 ks P-Tracheo 808</t>
  </si>
  <si>
    <t>ZD633</t>
  </si>
  <si>
    <t>Krytí mepilex border sacrum 18 x 18 cm bal. á 5 ks 282000-01</t>
  </si>
  <si>
    <t>ZD668</t>
  </si>
  <si>
    <t>Kompresa gáza 10 x 10 cm/5 ks sterilní 1325019275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</si>
  <si>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</si>
  <si>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</si>
  <si>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</si>
  <si>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</si>
  <si>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</si>
  <si>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</si>
  <si>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</si>
  <si>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</si>
  <si>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ZK404</t>
  </si>
  <si>
    <t>Krytí prontosan roztok 350 ml 400416</t>
  </si>
  <si>
    <t>ZA437</t>
  </si>
  <si>
    <t>Obvaz elastický síťový pruban č. 14 427314</t>
  </si>
  <si>
    <t>ZA442</t>
  </si>
  <si>
    <t>Steh náplasťový Steri-strip 6 x 75 mm bal. á 50 ks R1541</t>
  </si>
  <si>
    <t>ZL664</t>
  </si>
  <si>
    <t>Krytí mastný tyl pharmatull 10 x 20 cm bal. á 10 ks P-Tull1020</t>
  </si>
  <si>
    <t>ZK087</t>
  </si>
  <si>
    <t>Krém cavilon ochranný bariérový á 28 g bal. á 12 ks 3391E</t>
  </si>
  <si>
    <t>ZL975</t>
  </si>
  <si>
    <t>Pěna renasys-F malý set (S) 66800794</t>
  </si>
  <si>
    <t>ZL973</t>
  </si>
  <si>
    <t>Pěna renasys-F střední set (M) 66800795</t>
  </si>
  <si>
    <t>ZF042</t>
  </si>
  <si>
    <t>Krytí mastný tyl jelonet 10 x 10 cm á 10 ks 7404</t>
  </si>
  <si>
    <t>ZD819</t>
  </si>
  <si>
    <t>Krytí debrisoft 10 x 10 cm bal. á 5 ks 31222</t>
  </si>
  <si>
    <t>ZF749</t>
  </si>
  <si>
    <t>Fixace nosních katetrů nasofix niko střední S+M, bal. á 100 ks 49-625-S-M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</si>
  <si>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</si>
  <si>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</si>
  <si>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</si>
  <si>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</si>
  <si>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ZD632</t>
  </si>
  <si>
    <t>Krytí pharmapore silver-polšt. se stříbrem 8 x 10 cm bal. á 100 ks P8010S</t>
  </si>
  <si>
    <t>ZN477</t>
  </si>
  <si>
    <t>Obinadlo elastické universal 12 cm x 5 m 1323100314</t>
  </si>
  <si>
    <t>ZN476</t>
  </si>
  <si>
    <t>Obinadlo elastické universal 15 cm x 5 m 1323100315</t>
  </si>
  <si>
    <t>ZA479</t>
  </si>
  <si>
    <t>Krytí tielle pěnové 11 x 11 cm bal. á 10 ks SYS MTL101 EE</t>
  </si>
  <si>
    <t>ZA428</t>
  </si>
  <si>
    <t>Systém odsávací uzavřený 14F jednocestný 57 cm 72 hod. bal. á 20 ks Z110-14</t>
  </si>
  <si>
    <t>ZA688</t>
  </si>
  <si>
    <t>Sáček močový curity s hod. diurézou 400 ml hadička 150 cm 8150</t>
  </si>
  <si>
    <t>ZA713</t>
  </si>
  <si>
    <t>Měřič žilního tlaku 01 646992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</si>
  <si>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</si>
  <si>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</si>
  <si>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</si>
  <si>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</si>
  <si>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</si>
  <si>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</si>
  <si>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</si>
  <si>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</si>
  <si>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</si>
  <si>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</si>
  <si>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</si>
  <si>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</si>
  <si>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</si>
  <si>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</si>
  <si>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</si>
  <si>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</si>
  <si>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ZA964</t>
  </si>
  <si>
    <t>Stříkačka janett 3-dílná 60 ml sterilní vyplachovací 050ML3CZ-CEW (MRG564)</t>
  </si>
  <si>
    <t>ZA967</t>
  </si>
  <si>
    <t>Flocare 800 Pack set Transition nový pro enter. vaky ( APA 3227171) 586511</t>
  </si>
  <si>
    <t>ZB103</t>
  </si>
  <si>
    <t>Láhev k odsávačce flovac 2l hadice 1,8 m 000-036-021</t>
  </si>
  <si>
    <t>ZB249</t>
  </si>
  <si>
    <t>Sáček močový s křížovou výpustí 2000 ml ZAR-TNU201601</t>
  </si>
  <si>
    <t>ZB314</t>
  </si>
  <si>
    <t>Kanyla TS 8,0 s manžetou bal. á 2 ks 100/523/080</t>
  </si>
  <si>
    <t>ZB361</t>
  </si>
  <si>
    <t>Láhev respiflo 1000 ml 21000</t>
  </si>
  <si>
    <t>ZB488</t>
  </si>
  <si>
    <t>Sprej cavilon 28 ml bal. á 12 ks 3346E</t>
  </si>
  <si>
    <t>ZB543</t>
  </si>
  <si>
    <t>Souprava odběrová tracheální na odběr sekretu G05206</t>
  </si>
  <si>
    <t>ZB621</t>
  </si>
  <si>
    <t>Adaptér respiflo MN 1072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</si>
  <si>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</si>
  <si>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</si>
  <si>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</si>
  <si>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</si>
  <si>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</si>
  <si>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</si>
  <si>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</si>
  <si>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</si>
  <si>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</si>
  <si>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</si>
  <si>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</si>
  <si>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</si>
  <si>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</si>
  <si>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</si>
  <si>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</si>
  <si>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</si>
  <si>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</si>
  <si>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</si>
  <si>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</si>
  <si>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</si>
  <si>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</si>
  <si>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</si>
  <si>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</si>
  <si>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</si>
  <si>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</si>
  <si>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</si>
  <si>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ZC738</t>
  </si>
  <si>
    <t>Husí krk Expandi-flex bal. á 25 ks 22362</t>
  </si>
  <si>
    <t>ZC906</t>
  </si>
  <si>
    <t>Škrtidlo se sponou pro dospělé 25 x 500 mm KVS25500</t>
  </si>
  <si>
    <t>ZC948</t>
  </si>
  <si>
    <t>Páska bepa clip pro TS kanylu s háčky 31-43 cm á 12 ks NKS:200443</t>
  </si>
  <si>
    <t>ZD190</t>
  </si>
  <si>
    <t>Kyveta CO2 pro dospělé á 10 ks MP01062</t>
  </si>
  <si>
    <t>ZD650</t>
  </si>
  <si>
    <t>Aquapak - sterilní voda 340 ml s adaptérem bal. á 20 ks 400340</t>
  </si>
  <si>
    <t>ZD809</t>
  </si>
  <si>
    <t>Kanyla vasofix 20G růžová safety 4269110S-01</t>
  </si>
  <si>
    <t>ZD962</t>
  </si>
  <si>
    <t>Systém hrudní drenážní altitude 8888571370</t>
  </si>
  <si>
    <t>ZE146</t>
  </si>
  <si>
    <t>Souprava nebulizační uzavřená In-Line-Neb Tee Kit  bal. á 50 ks 41745</t>
  </si>
  <si>
    <t>ZE159</t>
  </si>
  <si>
    <t>Nádoba na kontaminovaný odpad 2 l 15-0003</t>
  </si>
  <si>
    <t>ZF018</t>
  </si>
  <si>
    <t>Kanyla vasofix 16G šedá safety 4269179S-01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</si>
  <si>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</si>
  <si>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</si>
  <si>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</si>
  <si>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</si>
  <si>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</si>
  <si>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</si>
  <si>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</si>
  <si>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</si>
  <si>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</si>
  <si>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</si>
  <si>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</si>
  <si>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</si>
  <si>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ZJ310</t>
  </si>
  <si>
    <t>Katetr močový foley CH12 180605-000120</t>
  </si>
  <si>
    <t>ZJ659</t>
  </si>
  <si>
    <t>Kohout trojcestný s bezjehlovým konektorem Discofix C bal. á 100 ks 16494CSF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</si>
  <si>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</si>
  <si>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</si>
  <si>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</si>
  <si>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</si>
  <si>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</si>
  <si>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</si>
  <si>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</si>
  <si>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</si>
  <si>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</si>
  <si>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</si>
  <si>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</si>
  <si>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</si>
  <si>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</si>
  <si>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</si>
  <si>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</si>
  <si>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</si>
  <si>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ZA725</t>
  </si>
  <si>
    <t>Kanyla TS 8,0 s manžetou bal. á 10 ks 100/860/080</t>
  </si>
  <si>
    <t>ZB038</t>
  </si>
  <si>
    <t>Medisize hydrovent S filt./HM</t>
  </si>
  <si>
    <t>ZB056</t>
  </si>
  <si>
    <t>Kanyla TS 8,5 s manžetou bal. á 10 ks 100/800/085</t>
  </si>
  <si>
    <t>ZC490</t>
  </si>
  <si>
    <t>Kartáček zubní s odsáváním P2220</t>
  </si>
  <si>
    <t>ZF512</t>
  </si>
  <si>
    <t>Páska bepa clip vario pro TS kanylu 30/V á 6 ks NKS:200602</t>
  </si>
  <si>
    <t>ZI347</t>
  </si>
  <si>
    <t>Podložka natura flexibilní 57 mm bal. á 5 ks 0086766 125903</t>
  </si>
  <si>
    <t>ZL688</t>
  </si>
  <si>
    <t>Proužky Accu-Check Inform IIStrip 50 EU1 á 50 ks 05942861041</t>
  </si>
  <si>
    <t>ZL689</t>
  </si>
  <si>
    <t>Roztok Accu-Check Performa Int´l Controls 1+2 level 04861736</t>
  </si>
  <si>
    <t>ZL952</t>
  </si>
  <si>
    <t>Stříkačka injekční 50 ml LL light protected bal.á 60 ks 2022920A</t>
  </si>
  <si>
    <t>ZL951</t>
  </si>
  <si>
    <t>Hadička prodlužovací PVC 150 cm pro světlocitlivé léky NO DOP bal. á 20  ks V686423-ND</t>
  </si>
  <si>
    <t>ZL954</t>
  </si>
  <si>
    <t>Rampa 5 cestná - 5 x konektor s BV NO PVC V696425</t>
  </si>
  <si>
    <t>ZB505</t>
  </si>
  <si>
    <t>Tubo-fix pro ET rourky á 8 ks komplet NKS:20-10</t>
  </si>
  <si>
    <t>ZB507</t>
  </si>
  <si>
    <t>Páska fixační SOFT FIX, set-4druhy, 9 rolí NKS:30-05</t>
  </si>
  <si>
    <t>ZM513</t>
  </si>
  <si>
    <t>Konektor ventil jednocestný back check valve 8502802</t>
  </si>
  <si>
    <t>ZJ194</t>
  </si>
  <si>
    <t>Sáček výpustný natura 57 mm průhledný urostomický bal. á 10 ks 401536</t>
  </si>
  <si>
    <t>ZL953</t>
  </si>
  <si>
    <t>Rampa 3 cestná - 3 x konektor s BV NO PVC V696423</t>
  </si>
  <si>
    <t>ZA978</t>
  </si>
  <si>
    <t>Houbička odsávací s reg. vakua 2201</t>
  </si>
  <si>
    <t>ZN296</t>
  </si>
  <si>
    <t>Hadička spojovací Gamaplus 1,8 x 450 UNIV NO DOP 606306-ND</t>
  </si>
  <si>
    <t>ZN297</t>
  </si>
  <si>
    <t>Hadička spojovací Gamaplus 1,8 x 450 LL NO DOP 606301-ND</t>
  </si>
  <si>
    <t>ZN298</t>
  </si>
  <si>
    <t>Hadička spojovací Gamaplus 1,8 x 1800 LL NO DOP 606304-ND</t>
  </si>
  <si>
    <t>ZN410</t>
  </si>
  <si>
    <t>Katetr močový nelaton 16CH Silasil balónkový 28 dní bal. á 10 ks 186005-000160</t>
  </si>
  <si>
    <t>ZI789</t>
  </si>
  <si>
    <t>Sáček výpustný natura urostomický průhledný standard 45 mm á 10 ks 401535</t>
  </si>
  <si>
    <t>ZN598</t>
  </si>
  <si>
    <t>Set odsávací jednorázový starset vak 2000 ml odsávací hadice 180 cm přerušovač sání bal. á 25 ks ZMF 160 203 PS</t>
  </si>
  <si>
    <t>ZF911</t>
  </si>
  <si>
    <t>Nůžky oční rovné hrotnaté 105 mm B397113920043</t>
  </si>
  <si>
    <t>ZN854</t>
  </si>
  <si>
    <t>Stříkačka injekční arteriální 3 ml bez jehly s heparinem bal. á 100 ks safePICO Aspirator 956-622</t>
  </si>
  <si>
    <t>ZA364</t>
  </si>
  <si>
    <t>Sáček kolostomický draina S mini 75 mm á 30 ks H08560U</t>
  </si>
  <si>
    <t>ZB548</t>
  </si>
  <si>
    <t>Kanyla TS 9,0 s manžetou bal. á 10 ks 100/800/090</t>
  </si>
  <si>
    <t>ZB656</t>
  </si>
  <si>
    <t>Senzor flotrac set 152 cm MHD6R</t>
  </si>
  <si>
    <t>ZO372</t>
  </si>
  <si>
    <t>Konektor bezjehlový OptiSyte JIM:JSM4001</t>
  </si>
  <si>
    <t>ZO932</t>
  </si>
  <si>
    <t>Zkumavka 13 ml PP 101/16,5 mm bílý uzávěr sterilní 60.540.012</t>
  </si>
  <si>
    <t>ZO930</t>
  </si>
  <si>
    <t>Kontejner 100 ml PP 72/62 mm s přiloženým uzávěrem bílé víčko sterilní na tekutý materiál 75.562.105</t>
  </si>
  <si>
    <t>ZA696</t>
  </si>
  <si>
    <t>Elektroda EKG ARBO H92 31.1925.21</t>
  </si>
  <si>
    <t>ZD880</t>
  </si>
  <si>
    <t>Pasta vyplňovací stomahesive 30 g 0002708 149730</t>
  </si>
  <si>
    <t>ZD963</t>
  </si>
  <si>
    <t>Systém hrudní drenážní altitude 8888571371</t>
  </si>
  <si>
    <t>ZC052</t>
  </si>
  <si>
    <t>Tlouček drsný 24 x 115 mm JIZE213A/1</t>
  </si>
  <si>
    <t>ZC048</t>
  </si>
  <si>
    <t>Miska třecí drsná 211a/0 6,0 cm JIZE211A/0</t>
  </si>
  <si>
    <t>ZC637</t>
  </si>
  <si>
    <t>Arteriofix bal. á 20 ks 20G 5206324</t>
  </si>
  <si>
    <t>ZD827</t>
  </si>
  <si>
    <t>Katetr CVC 3 lumen 7 Fr x 20 cm certofix trio SB720 bal. á 10 ks 4163206E</t>
  </si>
  <si>
    <t>ZD909</t>
  </si>
  <si>
    <t>Katetr CVC 2 lumen 7 Fr x 20 cm certofix duo ECO 720 á 10 ks 4162200E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</si>
  <si>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</si>
  <si>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</si>
  <si>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</si>
  <si>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</si>
  <si>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</si>
  <si>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</si>
  <si>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ZB161</t>
  </si>
  <si>
    <t>Set ohřívací s Y portem DI-50</t>
  </si>
  <si>
    <t>ZB834</t>
  </si>
  <si>
    <t>Šití nurolon bk 2-0 bal. á 36 ks EH6604H</t>
  </si>
  <si>
    <t>ZF937</t>
  </si>
  <si>
    <t>Šití premicron zelený 3/0 (2) bal. á 36 ks C0026553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</si>
  <si>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</si>
  <si>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</si>
  <si>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</si>
  <si>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</si>
  <si>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</si>
  <si>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</si>
  <si>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</si>
  <si>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</si>
  <si>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</si>
  <si>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</si>
  <si>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</si>
  <si>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</si>
  <si>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ZM294</t>
  </si>
  <si>
    <t>Rukavice nitril sempercare bez p. XL bal. á 180 ks 30818</t>
  </si>
  <si>
    <t>ZM293</t>
  </si>
  <si>
    <t>Rukavice nitril sempercare bez p. L bal. á 200 ks 30804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</si>
  <si>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</si>
  <si>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</si>
  <si>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</si>
  <si>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</si>
  <si>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</si>
  <si>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</si>
  <si>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ZK792</t>
  </si>
  <si>
    <t>Rukavice operační gammex PFXP cytostatické vel. 7,5 latex chemo bal. á 50 párů 330054075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</si>
  <si>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</si>
  <si>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</si>
  <si>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</si>
  <si>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</si>
  <si>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</si>
  <si>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</si>
  <si>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DC320</t>
  </si>
  <si>
    <t>AUTOCHECK TM5+/LEVEL3/S7755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</si>
  <si>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</si>
  <si>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</si>
  <si>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</si>
  <si>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</si>
  <si>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</si>
  <si>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</si>
  <si>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</si>
  <si>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</si>
  <si>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</si>
  <si>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</si>
  <si>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DF445</t>
  </si>
  <si>
    <t>Odpadni nadoba D512 600 ml</t>
  </si>
  <si>
    <t>DH594</t>
  </si>
  <si>
    <t>Cartridge complete</t>
  </si>
  <si>
    <t>DH758</t>
  </si>
  <si>
    <t>Bactec Plus Aerobic-plastic</t>
  </si>
  <si>
    <t>DH759</t>
  </si>
  <si>
    <t>Bactec Lytic/ 10 Anaerobic- plastic</t>
  </si>
  <si>
    <t>ZB751</t>
  </si>
  <si>
    <t>Hadice PVC 8/12 á 30 m P00468</t>
  </si>
  <si>
    <t>ZC366</t>
  </si>
  <si>
    <t>Převodník tlakový PX260 150 cm 1 linka bal. á 10 ks (T100209A) T100209B</t>
  </si>
  <si>
    <t>ZC367</t>
  </si>
  <si>
    <t>Převodník tlakový dvoukomorový 150 cm set 2 linky bal. á 10 ks T001650A</t>
  </si>
  <si>
    <t>ZD534</t>
  </si>
  <si>
    <t>Okruh dýchací compact II 2,0 m 2151000</t>
  </si>
  <si>
    <t>ZN620</t>
  </si>
  <si>
    <t>Maska kyslíková dospělá s nebulizací a hadičkou 2 m bal. á 100 ks A0400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</si>
  <si>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</si>
  <si>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</si>
  <si>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</si>
  <si>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</si>
  <si>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</si>
  <si>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</si>
  <si>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</si>
  <si>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</si>
  <si>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</si>
  <si>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</si>
  <si>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</si>
  <si>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</si>
  <si>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</si>
  <si>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</si>
  <si>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</si>
  <si>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</si>
  <si>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</si>
  <si>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</si>
  <si>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</si>
  <si>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</si>
  <si>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</si>
  <si>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</si>
  <si>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5F1</t>
  </si>
  <si>
    <t>V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</si>
  <si>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</si>
  <si>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</si>
  <si>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</si>
  <si>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</si>
  <si>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</si>
  <si>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</si>
  <si>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</si>
  <si>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</si>
  <si>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</si>
  <si>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</si>
  <si>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</si>
  <si>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</si>
  <si>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</si>
  <si>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</si>
  <si>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</si>
  <si>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</si>
  <si>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</si>
  <si>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</si>
  <si>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</si>
  <si>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</si>
  <si>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</si>
  <si>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</si>
  <si>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</si>
  <si>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</si>
  <si>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</si>
  <si>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</si>
  <si>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</si>
  <si>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</si>
  <si>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</si>
  <si>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</si>
  <si>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07416</t>
  </si>
  <si>
    <t>(VZP) JINÉ REKONSTRUKCE V OBLASTI STEHNA</t>
  </si>
  <si>
    <t>07565</t>
  </si>
  <si>
    <t>(DRG) KATASTROFICKÁ OPERACE KVCH</t>
  </si>
  <si>
    <t>07335</t>
  </si>
  <si>
    <t>(VZP) BYPASS AORTO - ILICKÝ NEBO NÁHRADA OBOUSTRAN</t>
  </si>
  <si>
    <t>07543</t>
  </si>
  <si>
    <t>(DRG) PRIMOOPERACE</t>
  </si>
  <si>
    <t>51396</t>
  </si>
  <si>
    <t>PUNKCE DUTINY BŘIŠNÍ S DRENÁŽÍ EV. LAVAŽÍ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</si>
  <si>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</si>
  <si>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</si>
  <si>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</si>
  <si>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</si>
  <si>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</si>
  <si>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</si>
  <si>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</si>
  <si>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</si>
  <si>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</si>
  <si>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</si>
  <si>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51821</t>
  </si>
  <si>
    <t>CHIRURGICKÉ ODSTRANĚNÍ CIZÍHO TĚLESA</t>
  </si>
  <si>
    <t>54120</t>
  </si>
  <si>
    <t>ANEURYSMA BŘIŠNÍ AORTY (NÁHRADA BIFURKAČNÍ PROTÉZO</t>
  </si>
  <si>
    <t>07552</t>
  </si>
  <si>
    <t>(DRG) OPERAČNÍ VÝKON BEZ MIMOTĚLNÍHO OBĚHU</t>
  </si>
  <si>
    <t>66851</t>
  </si>
  <si>
    <t>AMPUTACE DLOUHÉ KOSTI / EXARTIKULACE VELKÉHO KLOUB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</si>
  <si>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</si>
  <si>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</si>
  <si>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</si>
  <si>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</si>
  <si>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</si>
  <si>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</si>
  <si>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</si>
  <si>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</si>
  <si>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54340</t>
  </si>
  <si>
    <t>TEPENNÁ EMBOLEKTOMIE, TROMBEKTOMIE</t>
  </si>
  <si>
    <t>57235</t>
  </si>
  <si>
    <t>TORAKOTOMIE PROSTÁ NEBO S BIOPSIÍ, EVAKUACÍ HEMATO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</si>
  <si>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</si>
  <si>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</si>
  <si>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</si>
  <si>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</si>
  <si>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</si>
  <si>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</si>
  <si>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51326</t>
  </si>
  <si>
    <t>DRENÁŽNÍ OPERACE PŘI AKUTNÍ PANKEATITIDĚ, DRENÁŽ A</t>
  </si>
  <si>
    <t>07388</t>
  </si>
  <si>
    <t>(VZP) ENDARTERECTOMIE  A.ILIACA</t>
  </si>
  <si>
    <t>07387</t>
  </si>
  <si>
    <t>(VZP) JINÉ REKONSTRUKCE V OBLASTI PÁNEVNÍCH TEPEN</t>
  </si>
  <si>
    <t>5F3</t>
  </si>
  <si>
    <t>51819</t>
  </si>
  <si>
    <t>OŠETŘENÍ A OBVAZ ROZSÁHLÉ RÁNY V CELKOVÉ ANESTEZII</t>
  </si>
  <si>
    <t>53469</t>
  </si>
  <si>
    <t>ZLOMENINA DIAFÝZY A SUPRAKONDYLICKÉ OBLASTI FEMURU</t>
  </si>
  <si>
    <t>66819</t>
  </si>
  <si>
    <t>APLIKACE ZEVNÍHO FIXATÉRU</t>
  </si>
  <si>
    <t>66127</t>
  </si>
  <si>
    <t>MANIPULACE V CELKOVÉ NEBO LOKÁLNÍ ANESTÉZII</t>
  </si>
  <si>
    <t>53471</t>
  </si>
  <si>
    <t>ZLOMENINA HORNÍHO KONCE FEMURU - REPOZICE OTEVŘENÁ</t>
  </si>
  <si>
    <t>66825</t>
  </si>
  <si>
    <t>UPRAVENÍ ZEVNÍHO FIXATÉRU</t>
  </si>
  <si>
    <t>5T1</t>
  </si>
  <si>
    <t>1</t>
  </si>
  <si>
    <t>0003708</t>
  </si>
  <si>
    <t>0003952</t>
  </si>
  <si>
    <t>AMIKIN 500 MG</t>
  </si>
  <si>
    <t>0006480</t>
  </si>
  <si>
    <t>OCPLEX</t>
  </si>
  <si>
    <t>0008807</t>
  </si>
  <si>
    <t>DALACIN C</t>
  </si>
  <si>
    <t>0011592</t>
  </si>
  <si>
    <t>METRONIDAZOL B. BRAUN</t>
  </si>
  <si>
    <t>0011785</t>
  </si>
  <si>
    <t>AMIKIN 1 G</t>
  </si>
  <si>
    <t>0016600</t>
  </si>
  <si>
    <t>0020605</t>
  </si>
  <si>
    <t>COLOMYCIN INJEKCE 1 000 000 MEZINÁRODNÍCH JEDNOTEK</t>
  </si>
  <si>
    <t>0026127</t>
  </si>
  <si>
    <t>0026902</t>
  </si>
  <si>
    <t>VFEND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</si>
  <si>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</si>
  <si>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</si>
  <si>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</si>
  <si>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</si>
  <si>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</si>
  <si>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</si>
  <si>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HAEMOCOMPLETTAN P</t>
  </si>
  <si>
    <t>0065989</t>
  </si>
  <si>
    <t>MYCOMAX INF</t>
  </si>
  <si>
    <t>0066137</t>
  </si>
  <si>
    <t>OFLOXIN INF</t>
  </si>
  <si>
    <t>0072972</t>
  </si>
  <si>
    <t>AMOKSIKLAV 1,2 G</t>
  </si>
  <si>
    <t>0072973</t>
  </si>
  <si>
    <t>AMOKSIKLAV 600 MG</t>
  </si>
  <si>
    <t>0075634</t>
  </si>
  <si>
    <t>PROTHROMPLEX TOTAL NF</t>
  </si>
  <si>
    <t>0076360</t>
  </si>
  <si>
    <t>ZINACEF</t>
  </si>
  <si>
    <t>0077018</t>
  </si>
  <si>
    <t>ULTRAVIST 370</t>
  </si>
  <si>
    <t>0083417</t>
  </si>
  <si>
    <t>MERONEM</t>
  </si>
  <si>
    <t>0091148</t>
  </si>
  <si>
    <t>VULMIZOLIN 1,0</t>
  </si>
  <si>
    <t>0092290</t>
  </si>
  <si>
    <t>EDICIN</t>
  </si>
  <si>
    <t>0094155</t>
  </si>
  <si>
    <t>0094176</t>
  </si>
  <si>
    <t>0096414</t>
  </si>
  <si>
    <t>0097000</t>
  </si>
  <si>
    <t>0097910</t>
  </si>
  <si>
    <t>HUMAN ALBUMIN GRIFOLS 20%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</si>
  <si>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</si>
  <si>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</si>
  <si>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</si>
  <si>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</si>
  <si>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</si>
  <si>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</si>
  <si>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</si>
  <si>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</si>
  <si>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0142077</t>
  </si>
  <si>
    <t>TIENAM 500 MG/500 MG I.V.</t>
  </si>
  <si>
    <t>0151458</t>
  </si>
  <si>
    <t>CEFUROXIM KABI</t>
  </si>
  <si>
    <t>0162180</t>
  </si>
  <si>
    <t>CIPROFLOXACIN KABI 200 MG/100 ML INFUZNÍ ROZTOK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</si>
  <si>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</si>
  <si>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</si>
  <si>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</si>
  <si>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</si>
  <si>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</si>
  <si>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</si>
  <si>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</si>
  <si>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</si>
  <si>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MYCAMINE</t>
  </si>
  <si>
    <t>0164407</t>
  </si>
  <si>
    <t>0198192</t>
  </si>
  <si>
    <t>SEFOTAK 1 G</t>
  </si>
  <si>
    <t>0137483</t>
  </si>
  <si>
    <t>ANBINEX</t>
  </si>
  <si>
    <t>0162496</t>
  </si>
  <si>
    <t>TAZIP</t>
  </si>
  <si>
    <t>0113453</t>
  </si>
  <si>
    <t>PIPERACILLIN/TAZOBACTAM KABI</t>
  </si>
  <si>
    <t>0149384</t>
  </si>
  <si>
    <t>ECALTA</t>
  </si>
  <si>
    <t>0156835</t>
  </si>
  <si>
    <t>MEROPENEM KABI</t>
  </si>
  <si>
    <t>0151460</t>
  </si>
  <si>
    <t>0129834</t>
  </si>
  <si>
    <t>CLINDAMYCIN KABI</t>
  </si>
  <si>
    <t>0129836</t>
  </si>
  <si>
    <t>0166265</t>
  </si>
  <si>
    <t>0183926</t>
  </si>
  <si>
    <t>AZEPO</t>
  </si>
  <si>
    <t>0183817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</si>
  <si>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</si>
  <si>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</si>
  <si>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</si>
  <si>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</si>
  <si>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</si>
  <si>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</si>
  <si>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</si>
  <si>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</si>
  <si>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</si>
  <si>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</si>
  <si>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</si>
  <si>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</si>
  <si>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</si>
  <si>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</si>
  <si>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</si>
  <si>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</si>
  <si>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</si>
  <si>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</si>
  <si>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0002425</t>
  </si>
  <si>
    <t>FIXÁTOR ZEVNÍ JEDNOROVINNÝ/DVOUROVINNÝ TRUBKOVÝ, S</t>
  </si>
  <si>
    <t>0010484</t>
  </si>
  <si>
    <t>ČEP SAMOŘEZNÝ JISTÍCÍ OCEL</t>
  </si>
  <si>
    <t>0013002</t>
  </si>
  <si>
    <t>STAPLER LINEÁRNÍ - TL60; TLH60 (S PZT 0013006)</t>
  </si>
  <si>
    <t>0013004</t>
  </si>
  <si>
    <t>STAPLER LINEÁRNÍ - TX60B; TX60G (S PZT 0053770)</t>
  </si>
  <si>
    <t>0013010</t>
  </si>
  <si>
    <t xml:space="preserve">STAPLER LINEÁRNÍ S NOŽEM - TCT75; TLC75; TCD75 (S 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</si>
  <si>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</si>
  <si>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</si>
  <si>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</si>
  <si>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</si>
  <si>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</si>
  <si>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</si>
  <si>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0030409</t>
  </si>
  <si>
    <t>ŠROUB LCP SAMOŘEZNÝ VELKÝ FRAGMENT OCEL</t>
  </si>
  <si>
    <t>0030415</t>
  </si>
  <si>
    <t>0030617</t>
  </si>
  <si>
    <t>STAPLER KOŽNÍ ROYAL - 35W</t>
  </si>
  <si>
    <t>0031495</t>
  </si>
  <si>
    <t>DLAHA LCP FEMUR DISTÁLNÍ VELKÝ FRAGMENT OCEL TITAN</t>
  </si>
  <si>
    <t>0046612</t>
  </si>
  <si>
    <t>DRÁT VODÍCÍ LUNDERQUIST RE-420780..180..380</t>
  </si>
  <si>
    <t>0046898</t>
  </si>
  <si>
    <t>PROTÉZA CÉVNÍ BIF.GELSOFT PLUS DÉLKA 45CM</t>
  </si>
  <si>
    <t>0051334</t>
  </si>
  <si>
    <t>KATETR URETERÁLNÍ,POLLACK,FLEXI-TIP U-021305</t>
  </si>
  <si>
    <t>0051607</t>
  </si>
  <si>
    <t>SADA GASTROSTOMICKÁ - PEG</t>
  </si>
  <si>
    <t>0053772</t>
  </si>
  <si>
    <t>STAPLER LINEÁRNÍ S NOŽEM - TCT10; TLC10 (S PZT 005</t>
  </si>
  <si>
    <t>0054525</t>
  </si>
  <si>
    <t>DRÁT VODÍCÍ</t>
  </si>
  <si>
    <t>0056291</t>
  </si>
  <si>
    <t>KATETR BALÓNKOVÝ FOGARTY EMBOLEKTOMICKÝ - 120804F</t>
  </si>
  <si>
    <t>0056292</t>
  </si>
  <si>
    <t>KATETR BALÓNKOVÝ FOGARTY EMBOLEKTOMICKÝ - 120805F</t>
  </si>
  <si>
    <t>0058622</t>
  </si>
  <si>
    <t>STENT PERIFERNÍ URETERÁLNÍ WHITE STAR STENOSIS</t>
  </si>
  <si>
    <t>0058756</t>
  </si>
  <si>
    <t>VODIČ DRÁTĚNÝ ROADRUNNER</t>
  </si>
  <si>
    <t>0069500</t>
  </si>
  <si>
    <t>KANYLA TRACHEOSTOMICKÁ  S NÍZKOTLAKOU  MANŽETOU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</si>
  <si>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</si>
  <si>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</si>
  <si>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</si>
  <si>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</si>
  <si>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</si>
  <si>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</si>
  <si>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</si>
  <si>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</si>
  <si>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</si>
  <si>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FIXÁTOR ZEVNÍ JEDNOROVINNÝ/DVOUROVINNÝ TRUBKOVÝ SY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</si>
  <si>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</si>
  <si>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</si>
  <si>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</si>
  <si>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</si>
  <si>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</si>
  <si>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</si>
  <si>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</si>
  <si>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0082079</t>
  </si>
  <si>
    <t>KRYTÍ COM 30 OBVAZOVÁ TEXTÍLIE KOMBINOVANÁ</t>
  </si>
  <si>
    <t>0163241</t>
  </si>
  <si>
    <t xml:space="preserve">IMPLANTÁT MAXILLOFACIÁLNÍ STŘEDNÍ OBLIČEJOVÁ ETÁŽ </t>
  </si>
  <si>
    <t>0163243</t>
  </si>
  <si>
    <t>0163251</t>
  </si>
  <si>
    <t>0163261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</si>
  <si>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</si>
  <si>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</si>
  <si>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</si>
  <si>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</si>
  <si>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</si>
  <si>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0081995</t>
  </si>
  <si>
    <t>NPWT-RENASYS EZ SBĚRNÁ NÁDOBA VELKÁ</t>
  </si>
  <si>
    <t>0046895</t>
  </si>
  <si>
    <t>PROTÉZA CÉVNÍ GELSOFT PLUS DÉLKA 25 CM</t>
  </si>
  <si>
    <t>0082142</t>
  </si>
  <si>
    <t>NPWT-RENASYS F PŘEVAZOVÝ SET STŘEDNÍ 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</si>
  <si>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</si>
  <si>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</si>
  <si>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</si>
  <si>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</si>
  <si>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</si>
  <si>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</si>
  <si>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</si>
  <si>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</si>
  <si>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0002263</t>
  </si>
  <si>
    <t>FIXÁTOR ZEVNÍ JEDNOROVINNÝ TUBULÁRNÍ,SYNTHES</t>
  </si>
  <si>
    <t>00655</t>
  </si>
  <si>
    <t>OD TYPU 55 - PRO NEMOCNICE TYPU 3, (KATEGORIE 6) -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</si>
  <si>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</si>
  <si>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</si>
  <si>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</si>
  <si>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</si>
  <si>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</si>
  <si>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</si>
  <si>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</si>
  <si>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</si>
  <si>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</si>
  <si>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</si>
  <si>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</si>
  <si>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</si>
  <si>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</si>
  <si>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</si>
  <si>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</si>
  <si>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</si>
  <si>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</si>
  <si>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</si>
  <si>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</si>
  <si>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</si>
  <si>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</si>
  <si>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</si>
  <si>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</si>
  <si>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</si>
  <si>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</si>
  <si>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</si>
  <si>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99980</t>
  </si>
  <si>
    <t>(VZP) PACIENT S DIAGNOSTIKOVANÝM POLYTRAUMATEM S I</t>
  </si>
  <si>
    <t>90905</t>
  </si>
  <si>
    <t>6F1</t>
  </si>
  <si>
    <t>61113</t>
  </si>
  <si>
    <t xml:space="preserve">REVIZE, EXCIZE A SUTURA PORANĚNÍ KŮŽE A PODKOŽÍ A </t>
  </si>
  <si>
    <t>61115</t>
  </si>
  <si>
    <t>61151</t>
  </si>
  <si>
    <t>UZAVŘENÍ DEFEKTU KOŽNÍM LALOKEM MÍSTNÍM NAD 20 CM^</t>
  </si>
  <si>
    <t>6F5</t>
  </si>
  <si>
    <t>04860</t>
  </si>
  <si>
    <t>IMOBILIZACE ČELISTÍ</t>
  </si>
  <si>
    <t>65219</t>
  </si>
  <si>
    <t>KOMPLEXNÍ OŠETŘENÍ VĚTŠÍCH OBLIČEJOVÝCH DEFEKTŮ</t>
  </si>
  <si>
    <t>65211</t>
  </si>
  <si>
    <t>OŠETŘENÍ ZLOMENINY ČELISTI DESTIČKOVOU ŠROUBOVANOU</t>
  </si>
  <si>
    <t>65935</t>
  </si>
  <si>
    <t xml:space="preserve">REPOZICE A FIXACE ZLOMENINY ZYGOMATIKOMAXILÁRNÍHO </t>
  </si>
  <si>
    <t>7F1</t>
  </si>
  <si>
    <t>71751</t>
  </si>
  <si>
    <t>EXENTERACE KRČNÍCH UZLIN JEDNOSTRANNÁ</t>
  </si>
  <si>
    <t>71811</t>
  </si>
  <si>
    <t>LIGATURA A. CAROTIS EXT.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</si>
  <si>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</si>
  <si>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</si>
  <si>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</si>
  <si>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</si>
  <si>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</si>
  <si>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</si>
  <si>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71665</t>
  </si>
  <si>
    <t>FENESTRACE ČELNÍ DUTINY</t>
  </si>
  <si>
    <t>7F6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</si>
  <si>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</si>
  <si>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</si>
  <si>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</si>
  <si>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</si>
  <si>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</si>
  <si>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</si>
  <si>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</si>
  <si>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</si>
  <si>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</si>
  <si>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</si>
  <si>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</si>
  <si>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</si>
  <si>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</si>
  <si>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</si>
  <si>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</si>
  <si>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</si>
  <si>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</si>
  <si>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</si>
  <si>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</si>
  <si>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</si>
  <si>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</si>
  <si>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</si>
  <si>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</si>
  <si>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</si>
  <si>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</si>
  <si>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</si>
  <si>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</si>
  <si>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</si>
  <si>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</si>
  <si>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</si>
  <si>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</si>
  <si>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</si>
  <si>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</si>
  <si>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</si>
  <si>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</si>
  <si>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05093</t>
  </si>
  <si>
    <t xml:space="preserve">VELKÉ ABDOMINÁLNÍ VASKULÁRNÍ VÝKONY S MCC                                                           </t>
  </si>
  <si>
    <t>05142</t>
  </si>
  <si>
    <t xml:space="preserve">JINÉ VASKULÁRNÍ VÝKONY S CC                                                                         </t>
  </si>
  <si>
    <t>05371</t>
  </si>
  <si>
    <t xml:space="preserve">NEOBJASNĚNÁ SRDEČNÍ ZÁSTAVA BEZ CC            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</si>
  <si>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</si>
  <si>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</si>
  <si>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</si>
  <si>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</si>
  <si>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06083</t>
  </si>
  <si>
    <t xml:space="preserve">LAPAROTOMICKÉ VÝKONY PŘI TŘÍSELNÉ, STEHENNÍ, UMBILIKÁLNÍ NEBO                                       </t>
  </si>
  <si>
    <t>06322</t>
  </si>
  <si>
    <t xml:space="preserve">PORUCHY JÍCNU S CC                                                                                  </t>
  </si>
  <si>
    <t>08152</t>
  </si>
  <si>
    <t xml:space="preserve">VÝKONY NA HORNÍCH KONČETINÁCH S CC                                                                  </t>
  </si>
  <si>
    <t>10053</t>
  </si>
  <si>
    <t xml:space="preserve">VÝKONY NA ŠTÍTNÉ A PŘÍŠTITNÉ ŽLÁZE, THYROGLOSSÁLNÍ VÝKONY S M                                       </t>
  </si>
  <si>
    <t>11032</t>
  </si>
  <si>
    <t xml:space="preserve">VELKÉ VÝKONY NA LEDVINÁCH A MOČOVÝCH CESTÁCH S CC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</si>
  <si>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</si>
  <si>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</si>
  <si>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</si>
  <si>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</si>
  <si>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11303</t>
  </si>
  <si>
    <t>13301</t>
  </si>
  <si>
    <t xml:space="preserve">MALIGNÍ ONEMOCNĚNÍ ŽENSKÉHO REPRODUKČNÍHO SYSTÉMU BEZ CC                                            </t>
  </si>
  <si>
    <t>13321</t>
  </si>
  <si>
    <t xml:space="preserve">MENSTRUAČNÍ A JINÉ PORUCHY ŽENSKÉHO REPRODUKČNÍHO SYSTÉMU BEZ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</si>
  <si>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</si>
  <si>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</si>
  <si>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</si>
  <si>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</si>
  <si>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21301</t>
  </si>
  <si>
    <t xml:space="preserve">PORANĚNÍ NA NESPECIFIKOVANÉM MÍSTĚ NEBO NA VÍCE MÍSTECH BEZ 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</si>
  <si>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</si>
  <si>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</si>
  <si>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</si>
  <si>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</si>
  <si>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</si>
  <si>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</si>
  <si>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</si>
  <si>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</si>
  <si>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</si>
  <si>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</si>
  <si>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</si>
  <si>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</si>
  <si>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</si>
  <si>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</si>
  <si>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</si>
  <si>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</si>
  <si>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</si>
  <si>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</si>
  <si>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</si>
  <si>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</si>
  <si>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</si>
  <si>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</si>
  <si>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</si>
  <si>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</si>
  <si>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</si>
  <si>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</si>
  <si>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</si>
  <si>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</si>
  <si>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</si>
  <si>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</si>
  <si>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</si>
  <si>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</si>
  <si>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</si>
  <si>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</si>
  <si>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</si>
  <si>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</si>
  <si>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</si>
  <si>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</si>
  <si>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</si>
  <si>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</si>
  <si>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</si>
  <si>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</si>
  <si>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</si>
  <si>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</si>
  <si>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</si>
  <si>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</si>
  <si>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</si>
  <si>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</si>
  <si>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</si>
  <si>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96889</t>
  </si>
  <si>
    <t>TROMBIN GENERAČNÍ ČAS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</si>
  <si>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</si>
  <si>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</si>
  <si>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</si>
  <si>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</si>
  <si>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</si>
  <si>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</si>
  <si>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</si>
  <si>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</si>
  <si>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</si>
  <si>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</si>
  <si>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</si>
  <si>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</si>
  <si>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</si>
  <si>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</si>
  <si>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</si>
  <si>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</si>
  <si>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</si>
  <si>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</si>
  <si>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</si>
  <si>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</si>
  <si>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</si>
  <si>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</si>
  <si>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</si>
  <si>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</si>
  <si>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</si>
  <si>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</si>
  <si>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</si>
  <si>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</si>
  <si>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</si>
  <si>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</si>
  <si>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</si>
  <si>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</si>
  <si>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</si>
  <si>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</si>
  <si>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</si>
  <si>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</si>
  <si>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</si>
  <si>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</si>
  <si>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</si>
  <si>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</si>
  <si>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</si>
  <si>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</si>
  <si>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</si>
  <si>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</si>
  <si>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</si>
  <si>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</si>
  <si>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</si>
  <si>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</si>
  <si>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</si>
  <si>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</si>
  <si>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</si>
  <si>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</si>
  <si>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</si>
  <si>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</si>
  <si>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</si>
  <si>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</si>
  <si>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</si>
  <si>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</si>
  <si>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</si>
  <si>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</si>
  <si>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</si>
  <si>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</si>
  <si>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</si>
  <si>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</si>
  <si>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</si>
  <si>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</si>
  <si>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</si>
  <si>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</si>
  <si>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</si>
  <si>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</si>
  <si>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</si>
  <si>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</si>
  <si>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</si>
  <si>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</si>
  <si>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</si>
  <si>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</si>
  <si>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</si>
  <si>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</si>
  <si>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</si>
  <si>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</si>
  <si>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</si>
  <si>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</si>
  <si>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</si>
  <si>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</si>
  <si>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</si>
  <si>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</si>
  <si>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</si>
  <si>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</si>
  <si>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</si>
  <si>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</si>
  <si>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</si>
  <si>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</si>
  <si>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</si>
  <si>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</si>
  <si>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</si>
  <si>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</si>
  <si>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</si>
  <si>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</si>
  <si>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</si>
  <si>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</si>
  <si>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</si>
  <si>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</si>
  <si>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</si>
  <si>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</si>
  <si>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</si>
  <si>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</si>
  <si>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</si>
  <si>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</si>
  <si>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</si>
  <si>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</si>
  <si>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</si>
  <si>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</si>
  <si>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</si>
  <si>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</si>
  <si>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</si>
  <si>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</si>
  <si>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</si>
  <si>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</si>
  <si>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</si>
  <si>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</si>
  <si>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81533</t>
  </si>
  <si>
    <t>LIPÁZA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</si>
  <si>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</si>
  <si>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</si>
  <si>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</si>
  <si>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</si>
  <si>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</si>
  <si>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</si>
  <si>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</si>
  <si>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</si>
  <si>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</si>
  <si>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</si>
  <si>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</si>
  <si>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</si>
  <si>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</si>
  <si>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</si>
  <si>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</si>
  <si>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</si>
  <si>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</si>
  <si>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</si>
  <si>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</si>
  <si>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</si>
  <si>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</si>
  <si>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</si>
  <si>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93223</t>
  </si>
  <si>
    <t>NÁDOROVÉ ANTIGENY CA - TYPU</t>
  </si>
  <si>
    <t>81129</t>
  </si>
  <si>
    <t>BÍLKOVINA KVANTITATIVNĚ (MOČ, VÝPOTEK, CSF)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</si>
  <si>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</si>
  <si>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</si>
  <si>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</si>
  <si>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</si>
  <si>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</si>
  <si>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</si>
  <si>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</si>
  <si>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</si>
  <si>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</si>
  <si>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</si>
  <si>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</si>
  <si>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</si>
  <si>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</si>
  <si>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</si>
  <si>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</si>
  <si>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</si>
  <si>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</si>
  <si>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</si>
  <si>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</si>
  <si>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</si>
  <si>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0017039</t>
  </si>
  <si>
    <t>0022075</t>
  </si>
  <si>
    <t>IOMERON 400</t>
  </si>
  <si>
    <t>0042433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</si>
  <si>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</si>
  <si>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</si>
  <si>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</si>
  <si>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</si>
  <si>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</si>
  <si>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</si>
  <si>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</si>
  <si>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</si>
  <si>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</si>
  <si>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</si>
  <si>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</si>
  <si>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</si>
  <si>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</si>
  <si>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</si>
  <si>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</si>
  <si>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</si>
  <si>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</si>
  <si>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</si>
  <si>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</si>
  <si>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</si>
  <si>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</si>
  <si>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</si>
  <si>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</si>
  <si>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</si>
  <si>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</si>
  <si>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</si>
  <si>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</si>
  <si>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</si>
  <si>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</si>
  <si>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</si>
  <si>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</si>
  <si>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</si>
  <si>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</si>
  <si>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</si>
  <si>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</si>
  <si>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</si>
  <si>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</si>
  <si>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</si>
  <si>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</si>
  <si>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</si>
  <si>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</si>
  <si>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</si>
  <si>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</si>
  <si>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</si>
  <si>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</si>
  <si>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</si>
  <si>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</si>
  <si>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</si>
  <si>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0057840</t>
  </si>
  <si>
    <t>TĚLÍSKO EMBOLIZAČNÍ IMWCE</t>
  </si>
  <si>
    <t>0057844</t>
  </si>
  <si>
    <t>TĚLÍSKO EMBOLIZAČNÍ TORNADO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</si>
  <si>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</si>
  <si>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</si>
  <si>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</si>
  <si>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</si>
  <si>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</si>
  <si>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</si>
  <si>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</si>
  <si>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</si>
  <si>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</si>
  <si>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</si>
  <si>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</si>
  <si>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</si>
  <si>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0051244</t>
  </si>
  <si>
    <t>KATETR VODÍCÍ GUIDER</t>
  </si>
  <si>
    <t>0111638</t>
  </si>
  <si>
    <t>STENT PERIFERNÍ VASKUL. - ISTHMUS LOGIC CARBOSTENT</t>
  </si>
  <si>
    <t>0092131</t>
  </si>
  <si>
    <t>KATETR BALÓNKOVÝ PTA - RX MUSO</t>
  </si>
  <si>
    <t>0059986</t>
  </si>
  <si>
    <t>SYSTÉM BALÓN UZÁVĚROVÝ EQUINOX 104-4011..104-4470</t>
  </si>
  <si>
    <t>0034083</t>
  </si>
  <si>
    <t>JEHLA BIOPTICKÁ ASPIRAČNÍ PLICNÍ, FRANSEENOVA,ECHO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</si>
  <si>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</si>
  <si>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</si>
  <si>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</si>
  <si>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</si>
  <si>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</si>
  <si>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</si>
  <si>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</si>
  <si>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</si>
  <si>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</si>
  <si>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</si>
  <si>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</si>
  <si>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</si>
  <si>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</si>
  <si>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</si>
  <si>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</si>
  <si>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</si>
  <si>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</si>
  <si>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</si>
  <si>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</si>
  <si>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</si>
  <si>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</si>
  <si>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</si>
  <si>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</si>
  <si>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</si>
  <si>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</si>
  <si>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</si>
  <si>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</si>
  <si>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</si>
  <si>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</si>
  <si>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</si>
  <si>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</si>
  <si>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</si>
  <si>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</si>
  <si>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</si>
  <si>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</si>
  <si>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</si>
  <si>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</si>
  <si>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</si>
  <si>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</si>
  <si>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</si>
  <si>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</si>
  <si>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</si>
  <si>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</si>
  <si>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</si>
  <si>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</si>
  <si>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</si>
  <si>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</si>
  <si>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</si>
  <si>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</si>
  <si>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</si>
  <si>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</si>
  <si>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</si>
  <si>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</si>
  <si>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</si>
  <si>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</si>
  <si>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</si>
  <si>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</si>
  <si>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</si>
  <si>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</si>
  <si>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</si>
  <si>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</si>
  <si>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</si>
  <si>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</si>
  <si>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</si>
  <si>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</si>
  <si>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</si>
  <si>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</si>
  <si>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</si>
  <si>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</si>
  <si>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</si>
  <si>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</si>
  <si>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</si>
  <si>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</si>
  <si>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</si>
  <si>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</si>
  <si>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</si>
  <si>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</si>
  <si>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</si>
  <si>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</si>
  <si>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</si>
  <si>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</si>
  <si>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</si>
  <si>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</si>
  <si>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</si>
  <si>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</si>
  <si>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</si>
  <si>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</si>
  <si>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</si>
  <si>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</si>
  <si>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</si>
  <si>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</si>
  <si>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</si>
  <si>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</si>
  <si>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</si>
  <si>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</si>
  <si>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</si>
  <si>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</si>
  <si>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</si>
  <si>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</si>
  <si>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</si>
  <si>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</si>
  <si>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</si>
  <si>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</si>
  <si>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</si>
  <si>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</si>
  <si>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</si>
  <si>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</si>
  <si>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</si>
  <si>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</si>
  <si>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</si>
  <si>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</si>
  <si>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</si>
  <si>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</si>
  <si>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</si>
  <si>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</si>
  <si>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</si>
  <si>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</si>
  <si>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</si>
  <si>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</si>
  <si>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</si>
  <si>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</si>
  <si>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</si>
  <si>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</si>
  <si>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</si>
  <si>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</si>
  <si>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</si>
  <si>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</si>
  <si>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</si>
  <si>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</si>
  <si>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</si>
  <si>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</si>
  <si>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</si>
  <si>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</si>
  <si>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</si>
  <si>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</si>
  <si>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</si>
  <si>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</si>
  <si>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</si>
  <si>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</si>
  <si>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</si>
  <si>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</si>
  <si>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</si>
  <si>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</si>
  <si>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</si>
  <si>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</si>
  <si>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</si>
  <si>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</si>
  <si>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</si>
  <si>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</si>
  <si>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</si>
  <si>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</si>
  <si>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</si>
  <si>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</si>
  <si>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</si>
  <si>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</si>
  <si>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</si>
  <si>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</si>
  <si>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</si>
  <si>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</si>
  <si>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</si>
  <si>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</si>
  <si>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</si>
  <si>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</si>
  <si>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</si>
  <si>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</si>
  <si>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</si>
  <si>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</si>
  <si>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</si>
  <si>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</si>
  <si>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</si>
  <si>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</si>
  <si>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</si>
  <si>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</si>
  <si>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</si>
  <si>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</si>
  <si>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</si>
  <si>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</si>
  <si>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</si>
  <si>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</si>
  <si>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</si>
  <si>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</si>
  <si>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</si>
  <si>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</si>
  <si>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</si>
  <si>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</si>
  <si>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</si>
  <si>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</si>
  <si>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</si>
  <si>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</si>
  <si>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</si>
  <si>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</si>
  <si>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</si>
  <si>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</si>
  <si>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</si>
  <si>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</si>
  <si>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</si>
  <si>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91131</t>
  </si>
  <si>
    <t>STANOVENÍ IgA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</si>
  <si>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</si>
  <si>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</si>
  <si>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</si>
  <si>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</si>
  <si>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</si>
  <si>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</si>
  <si>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</si>
  <si>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</si>
  <si>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</si>
  <si>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</si>
  <si>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</si>
  <si>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</si>
  <si>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91159</t>
  </si>
  <si>
    <t>STANOVENÍ C3 SLOŽKY KOMPLEMENTU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</si>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</sst>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76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0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8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45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59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4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6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0" xfId="0" applyFont="1" applyFill="1" applyBorder="1"/>
    <xf numFmtId="0" fontId="35" fillId="5" borderId="48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2" xfId="53" applyFont="1" applyFill="1" applyBorder="1" applyAlignment="1">
      <alignment horizontal="right"/>
    </xf>
    <xf numFmtId="164" fontId="34" fillId="0" borderId="67" xfId="53" applyNumberFormat="1" applyFont="1" applyFill="1" applyBorder="1"/>
    <xf numFmtId="164" fontId="34" fillId="0" borderId="68" xfId="53" applyNumberFormat="1" applyFont="1" applyFill="1" applyBorder="1"/>
    <xf numFmtId="9" fontId="34" fillId="0" borderId="69" xfId="83" applyNumberFormat="1" applyFont="1" applyFill="1" applyBorder="1"/>
    <xf numFmtId="3" fontId="34" fillId="0" borderId="69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8" xfId="26" applyFont="1" applyFill="1" applyBorder="1" applyAlignment="1">
      <alignment horizontal="right"/>
    </xf>
    <xf numFmtId="170" fontId="32" fillId="0" borderId="44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6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4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4" xfId="74" applyFont="1" applyFill="1" applyBorder="1" applyAlignment="1">
      <alignment horizontal="center"/>
    </xf>
    <xf numFmtId="0" fontId="30" fillId="5" borderId="40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73" xfId="26" applyNumberFormat="1" applyFont="1" applyFill="1" applyBorder="1"/>
    <xf numFmtId="3" fontId="32" fillId="7" borderId="56" xfId="26" applyNumberFormat="1" applyFont="1" applyFill="1" applyBorder="1"/>
    <xf numFmtId="167" fontId="34" fillId="7" borderId="61" xfId="86" applyNumberFormat="1" applyFont="1" applyFill="1" applyBorder="1" applyAlignment="1">
      <alignment horizontal="right"/>
    </xf>
    <xf numFmtId="3" fontId="32" fillId="7" borderId="74" xfId="26" applyNumberFormat="1" applyFont="1" applyFill="1" applyBorder="1"/>
    <xf numFmtId="167" fontId="34" fillId="7" borderId="61" xfId="86" applyNumberFormat="1" applyFont="1" applyFill="1" applyBorder="1"/>
    <xf numFmtId="3" fontId="32" fillId="0" borderId="73" xfId="26" applyNumberFormat="1" applyFont="1" applyFill="1" applyBorder="1" applyAlignment="1">
      <alignment horizontal="center"/>
    </xf>
    <xf numFmtId="3" fontId="32" fillId="0" borderId="61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3" fontId="32" fillId="7" borderId="61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8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1" xfId="0" applyNumberFormat="1" applyFont="1" applyFill="1" applyBorder="1"/>
    <xf numFmtId="3" fontId="42" fillId="2" borderId="53" xfId="0" applyNumberFormat="1" applyFont="1" applyFill="1" applyBorder="1"/>
    <xf numFmtId="9" fontId="42" fillId="2" borderId="58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55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0" xfId="0" applyFont="1" applyFill="1" applyBorder="1" applyAlignment="1">
      <alignment horizontal="left" indent="2"/>
    </xf>
    <xf numFmtId="0" fontId="35" fillId="0" borderId="40" xfId="0" applyFont="1" applyBorder="1" applyAlignment="1"/>
    <xf numFmtId="3" fontId="35" fillId="0" borderId="40" xfId="0" applyNumberFormat="1" applyFont="1" applyBorder="1" applyAlignment="1"/>
    <xf numFmtId="9" fontId="35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8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0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8" xfId="0" applyNumberFormat="1" applyFont="1" applyFill="1" applyBorder="1" applyAlignment="1"/>
    <xf numFmtId="9" fontId="35" fillId="0" borderId="48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5" xfId="0" applyNumberFormat="1" applyFont="1" applyFill="1" applyBorder="1"/>
    <xf numFmtId="3" fontId="59" fillId="9" borderId="76" xfId="0" applyNumberFormat="1" applyFont="1" applyFill="1" applyBorder="1"/>
    <xf numFmtId="3" fontId="59" fillId="9" borderId="75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9" xfId="0" applyNumberFormat="1" applyFont="1" applyFill="1" applyBorder="1" applyAlignment="1">
      <alignment horizontal="center" vertical="center"/>
    </xf>
    <xf numFmtId="0" fontId="42" fillId="2" borderId="80" xfId="0" applyFont="1" applyFill="1" applyBorder="1" applyAlignment="1">
      <alignment horizontal="center" vertical="center"/>
    </xf>
    <xf numFmtId="3" fontId="61" fillId="2" borderId="82" xfId="0" applyNumberFormat="1" applyFont="1" applyFill="1" applyBorder="1" applyAlignment="1">
      <alignment horizontal="center" vertical="center" wrapText="1"/>
    </xf>
    <xf numFmtId="0" fontId="61" fillId="2" borderId="83" xfId="0" applyFont="1" applyFill="1" applyBorder="1" applyAlignment="1">
      <alignment horizontal="center" vertical="center" wrapText="1"/>
    </xf>
    <xf numFmtId="0" fontId="42" fillId="2" borderId="85" xfId="0" applyFont="1" applyFill="1" applyBorder="1" applyAlignment="1"/>
    <xf numFmtId="0" fontId="42" fillId="2" borderId="87" xfId="0" applyFont="1" applyFill="1" applyBorder="1" applyAlignment="1">
      <alignment horizontal="left" indent="1"/>
    </xf>
    <xf numFmtId="0" fontId="42" fillId="2" borderId="93" xfId="0" applyFont="1" applyFill="1" applyBorder="1" applyAlignment="1">
      <alignment horizontal="left" indent="1"/>
    </xf>
    <xf numFmtId="0" fontId="42" fillId="4" borderId="85" xfId="0" applyFont="1" applyFill="1" applyBorder="1" applyAlignment="1"/>
    <xf numFmtId="0" fontId="42" fillId="4" borderId="87" xfId="0" applyFont="1" applyFill="1" applyBorder="1" applyAlignment="1">
      <alignment horizontal="left" indent="1"/>
    </xf>
    <xf numFmtId="0" fontId="42" fillId="4" borderId="98" xfId="0" applyFont="1" applyFill="1" applyBorder="1" applyAlignment="1">
      <alignment horizontal="left" indent="1"/>
    </xf>
    <xf numFmtId="0" fontId="35" fillId="2" borderId="87" xfId="0" quotePrefix="1" applyFont="1" applyFill="1" applyBorder="1" applyAlignment="1">
      <alignment horizontal="left" indent="2"/>
    </xf>
    <xf numFmtId="0" fontId="35" fillId="2" borderId="93" xfId="0" quotePrefix="1" applyFont="1" applyFill="1" applyBorder="1" applyAlignment="1">
      <alignment horizontal="left" indent="2"/>
    </xf>
    <xf numFmtId="0" fontId="42" fillId="2" borderId="85" xfId="0" applyFont="1" applyFill="1" applyBorder="1" applyAlignment="1">
      <alignment horizontal="left" indent="1"/>
    </xf>
    <xf numFmtId="0" fontId="42" fillId="2" borderId="98" xfId="0" applyFont="1" applyFill="1" applyBorder="1" applyAlignment="1">
      <alignment horizontal="left" indent="1"/>
    </xf>
    <xf numFmtId="0" fontId="42" fillId="4" borderId="93" xfId="0" applyFont="1" applyFill="1" applyBorder="1" applyAlignment="1">
      <alignment horizontal="left" indent="1"/>
    </xf>
    <xf numFmtId="0" fontId="35" fillId="0" borderId="103" xfId="0" applyFont="1" applyBorder="1"/>
    <xf numFmtId="3" fontId="35" fillId="0" borderId="103" xfId="0" applyNumberFormat="1" applyFont="1" applyBorder="1"/>
    <xf numFmtId="0" fontId="42" fillId="4" borderId="77" xfId="0" applyFont="1" applyFill="1" applyBorder="1" applyAlignment="1">
      <alignment horizontal="center" vertical="center"/>
    </xf>
    <xf numFmtId="0" fontId="42" fillId="4" borderId="59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02" xfId="0" applyNumberFormat="1" applyFont="1" applyFill="1" applyBorder="1" applyAlignment="1">
      <alignment horizontal="center" vertical="center"/>
    </xf>
    <xf numFmtId="3" fontId="61" fillId="2" borderId="100" xfId="0" applyNumberFormat="1" applyFont="1" applyFill="1" applyBorder="1" applyAlignment="1">
      <alignment horizontal="center" vertical="center" wrapText="1"/>
    </xf>
    <xf numFmtId="173" fontId="42" fillId="4" borderId="86" xfId="0" applyNumberFormat="1" applyFont="1" applyFill="1" applyBorder="1" applyAlignment="1"/>
    <xf numFmtId="173" fontId="42" fillId="4" borderId="79" xfId="0" applyNumberFormat="1" applyFont="1" applyFill="1" applyBorder="1" applyAlignment="1"/>
    <xf numFmtId="173" fontId="42" fillId="4" borderId="80" xfId="0" applyNumberFormat="1" applyFont="1" applyFill="1" applyBorder="1" applyAlignment="1"/>
    <xf numFmtId="173" fontId="42" fillId="0" borderId="88" xfId="0" applyNumberFormat="1" applyFont="1" applyBorder="1"/>
    <xf numFmtId="173" fontId="35" fillId="0" borderId="92" xfId="0" applyNumberFormat="1" applyFont="1" applyBorder="1"/>
    <xf numFmtId="173" fontId="35" fillId="0" borderId="90" xfId="0" applyNumberFormat="1" applyFont="1" applyBorder="1"/>
    <xf numFmtId="173" fontId="35" fillId="0" borderId="91" xfId="0" applyNumberFormat="1" applyFont="1" applyBorder="1"/>
    <xf numFmtId="173" fontId="42" fillId="0" borderId="99" xfId="0" applyNumberFormat="1" applyFont="1" applyBorder="1"/>
    <xf numFmtId="173" fontId="35" fillId="0" borderId="100" xfId="0" applyNumberFormat="1" applyFont="1" applyBorder="1"/>
    <xf numFmtId="173" fontId="35" fillId="0" borderId="83" xfId="0" applyNumberFormat="1" applyFont="1" applyBorder="1"/>
    <xf numFmtId="173" fontId="35" fillId="0" borderId="84" xfId="0" applyNumberFormat="1" applyFont="1" applyBorder="1"/>
    <xf numFmtId="173" fontId="42" fillId="2" borderId="101" xfId="0" applyNumberFormat="1" applyFont="1" applyFill="1" applyBorder="1" applyAlignment="1"/>
    <xf numFmtId="173" fontId="42" fillId="2" borderId="79" xfId="0" applyNumberFormat="1" applyFont="1" applyFill="1" applyBorder="1" applyAlignment="1"/>
    <xf numFmtId="173" fontId="42" fillId="2" borderId="80" xfId="0" applyNumberFormat="1" applyFont="1" applyFill="1" applyBorder="1" applyAlignment="1"/>
    <xf numFmtId="173" fontId="42" fillId="0" borderId="94" xfId="0" applyNumberFormat="1" applyFont="1" applyBorder="1"/>
    <xf numFmtId="173" fontId="35" fillId="0" borderId="95" xfId="0" applyNumberFormat="1" applyFont="1" applyBorder="1"/>
    <xf numFmtId="173" fontId="35" fillId="0" borderId="96" xfId="0" applyNumberFormat="1" applyFont="1" applyBorder="1"/>
    <xf numFmtId="173" fontId="42" fillId="0" borderId="86" xfId="0" applyNumberFormat="1" applyFont="1" applyBorder="1"/>
    <xf numFmtId="173" fontId="35" fillId="0" borderId="102" xfId="0" applyNumberFormat="1" applyFont="1" applyBorder="1"/>
    <xf numFmtId="173" fontId="35" fillId="0" borderId="80" xfId="0" applyNumberFormat="1" applyFont="1" applyBorder="1"/>
    <xf numFmtId="174" fontId="42" fillId="2" borderId="86" xfId="0" applyNumberFormat="1" applyFont="1" applyFill="1" applyBorder="1" applyAlignment="1"/>
    <xf numFmtId="174" fontId="35" fillId="2" borderId="79" xfId="0" applyNumberFormat="1" applyFont="1" applyFill="1" applyBorder="1" applyAlignment="1"/>
    <xf numFmtId="174" fontId="35" fillId="2" borderId="80" xfId="0" applyNumberFormat="1" applyFont="1" applyFill="1" applyBorder="1" applyAlignment="1"/>
    <xf numFmtId="174" fontId="42" fillId="0" borderId="88" xfId="0" applyNumberFormat="1" applyFont="1" applyBorder="1"/>
    <xf numFmtId="174" fontId="35" fillId="0" borderId="89" xfId="0" applyNumberFormat="1" applyFont="1" applyBorder="1"/>
    <xf numFmtId="174" fontId="35" fillId="0" borderId="90" xfId="0" applyNumberFormat="1" applyFont="1" applyBorder="1"/>
    <xf numFmtId="174" fontId="35" fillId="0" borderId="92" xfId="0" applyNumberFormat="1" applyFont="1" applyBorder="1"/>
    <xf numFmtId="174" fontId="42" fillId="0" borderId="94" xfId="0" applyNumberFormat="1" applyFont="1" applyBorder="1"/>
    <xf numFmtId="174" fontId="35" fillId="0" borderId="95" xfId="0" applyNumberFormat="1" applyFont="1" applyBorder="1"/>
    <xf numFmtId="174" fontId="35" fillId="0" borderId="96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6" xfId="0" applyNumberFormat="1" applyFont="1" applyFill="1" applyBorder="1" applyAlignment="1">
      <alignment horizontal="center"/>
    </xf>
    <xf numFmtId="175" fontId="42" fillId="0" borderId="94" xfId="0" applyNumberFormat="1" applyFont="1" applyBorder="1"/>
    <xf numFmtId="0" fontId="34" fillId="2" borderId="110" xfId="74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7" xfId="53" applyNumberFormat="1" applyFont="1" applyFill="1" applyBorder="1"/>
    <xf numFmtId="3" fontId="34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91" xfId="0" applyFont="1" applyFill="1" applyBorder="1"/>
    <xf numFmtId="0" fontId="35" fillId="0" borderId="92" xfId="0" applyFont="1" applyBorder="1" applyAlignment="1"/>
    <xf numFmtId="9" fontId="35" fillId="0" borderId="90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8" xfId="0" applyNumberFormat="1" applyFont="1" applyBorder="1"/>
    <xf numFmtId="9" fontId="35" fillId="0" borderId="92" xfId="0" applyNumberFormat="1" applyFont="1" applyBorder="1"/>
    <xf numFmtId="9" fontId="35" fillId="0" borderId="90" xfId="0" applyNumberFormat="1" applyFont="1" applyBorder="1"/>
    <xf numFmtId="9" fontId="35" fillId="0" borderId="91" xfId="0" applyNumberFormat="1" applyFont="1" applyBorder="1"/>
    <xf numFmtId="0" fontId="61" fillId="2" borderId="100" xfId="0" applyFont="1" applyFill="1" applyBorder="1" applyAlignment="1">
      <alignment horizontal="center" vertical="center" wrapText="1"/>
    </xf>
    <xf numFmtId="174" fontId="35" fillId="2" borderId="102" xfId="0" applyNumberFormat="1" applyFont="1" applyFill="1" applyBorder="1" applyAlignment="1"/>
    <xf numFmtId="173" fontId="42" fillId="4" borderId="102" xfId="0" applyNumberFormat="1" applyFont="1" applyFill="1" applyBorder="1" applyAlignment="1"/>
    <xf numFmtId="173" fontId="42" fillId="2" borderId="102" xfId="0" applyNumberFormat="1" applyFont="1" applyFill="1" applyBorder="1" applyAlignment="1"/>
    <xf numFmtId="49" fontId="40" fillId="2" borderId="90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0" xfId="26" applyNumberFormat="1" applyFont="1" applyFill="1" applyBorder="1"/>
    <xf numFmtId="167" fontId="34" fillId="3" borderId="50" xfId="26" applyNumberFormat="1" applyFont="1" applyFill="1" applyBorder="1"/>
    <xf numFmtId="167" fontId="34" fillId="4" borderId="50" xfId="26" applyNumberFormat="1" applyFont="1" applyFill="1" applyBorder="1"/>
    <xf numFmtId="167" fontId="34" fillId="10" borderId="50" xfId="26" applyNumberFormat="1" applyFont="1" applyFill="1" applyBorder="1"/>
    <xf numFmtId="167" fontId="32" fillId="7" borderId="17" xfId="26" applyNumberFormat="1" applyFont="1" applyFill="1" applyBorder="1"/>
    <xf numFmtId="167" fontId="32" fillId="7" borderId="104" xfId="26" applyNumberFormat="1" applyFont="1" applyFill="1" applyBorder="1"/>
    <xf numFmtId="167" fontId="32" fillId="7" borderId="113" xfId="26" applyNumberFormat="1" applyFont="1" applyFill="1" applyBorder="1"/>
    <xf numFmtId="0" fontId="28" fillId="4" borderId="8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89" xfId="0" applyFont="1" applyBorder="1"/>
    <xf numFmtId="0" fontId="34" fillId="2" borderId="42" xfId="81" applyFont="1" applyFill="1" applyBorder="1" applyAlignment="1">
      <alignment horizontal="center"/>
    </xf>
    <xf numFmtId="0" fontId="34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80" xfId="0" applyNumberFormat="1" applyFont="1" applyFill="1" applyBorder="1" applyAlignment="1">
      <alignment horizontal="center" vertical="center"/>
    </xf>
    <xf numFmtId="3" fontId="61" fillId="2" borderId="8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4" fillId="7" borderId="55" xfId="26" applyNumberFormat="1" applyFont="1" applyFill="1" applyBorder="1"/>
    <xf numFmtId="3" fontId="34" fillId="7" borderId="87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0" fontId="42" fillId="3" borderId="29" xfId="0" applyFont="1" applyFill="1" applyBorder="1" applyAlignment="1"/>
    <xf numFmtId="0" fontId="35" fillId="0" borderId="41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6" xfId="81" applyFont="1" applyFill="1" applyBorder="1" applyAlignment="1">
      <alignment horizontal="center"/>
    </xf>
    <xf numFmtId="0" fontId="34" fillId="2" borderId="47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72" xfId="81" applyFont="1" applyFill="1" applyBorder="1" applyAlignment="1">
      <alignment horizontal="center"/>
    </xf>
    <xf numFmtId="0" fontId="34" fillId="2" borderId="45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34" fillId="2" borderId="8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9" xfId="81" applyFont="1" applyFill="1" applyBorder="1" applyAlignment="1">
      <alignment horizontal="center"/>
    </xf>
    <xf numFmtId="0" fontId="34" fillId="2" borderId="9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0" xfId="78" applyNumberFormat="1" applyFont="1" applyFill="1" applyBorder="1" applyAlignment="1">
      <alignment horizontal="left"/>
    </xf>
    <xf numFmtId="0" fontId="35" fillId="2" borderId="52" xfId="0" applyFont="1" applyFill="1" applyBorder="1" applyAlignment="1"/>
    <xf numFmtId="3" fontId="31" fillId="2" borderId="54" xfId="78" applyNumberFormat="1" applyFont="1" applyFill="1" applyBorder="1" applyAlignment="1"/>
    <xf numFmtId="0" fontId="42" fillId="2" borderId="60" xfId="0" applyFont="1" applyFill="1" applyBorder="1" applyAlignment="1">
      <alignment horizontal="left"/>
    </xf>
    <xf numFmtId="0" fontId="35" fillId="2" borderId="48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42" fillId="2" borderId="54" xfId="0" applyFont="1" applyFill="1" applyBorder="1" applyAlignment="1">
      <alignment horizontal="left"/>
    </xf>
    <xf numFmtId="3" fontId="42" fillId="2" borderId="54" xfId="0" applyNumberFormat="1" applyFont="1" applyFill="1" applyBorder="1" applyAlignment="1">
      <alignment horizontal="left"/>
    </xf>
    <xf numFmtId="3" fontId="35" fillId="2" borderId="49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8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8" xfId="0" applyFont="1" applyFill="1" applyBorder="1" applyAlignment="1">
      <alignment vertical="center"/>
    </xf>
    <xf numFmtId="3" fontId="34" fillId="2" borderId="60" xfId="26" applyNumberFormat="1" applyFont="1" applyFill="1" applyBorder="1" applyAlignment="1">
      <alignment horizont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103" xfId="26" applyNumberFormat="1" applyFont="1" applyFill="1" applyBorder="1" applyAlignment="1">
      <alignment horizontal="center"/>
    </xf>
    <xf numFmtId="3" fontId="34" fillId="2" borderId="4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49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0" xfId="0" quotePrefix="1" applyNumberFormat="1" applyFont="1" applyFill="1" applyBorder="1" applyAlignment="1">
      <alignment horizontal="center"/>
    </xf>
    <xf numFmtId="0" fontId="34" fillId="2" borderId="49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77" xfId="26" applyNumberFormat="1" applyFont="1" applyFill="1" applyBorder="1" applyAlignment="1">
      <alignment horizontal="center" vertical="center"/>
    </xf>
    <xf numFmtId="3" fontId="34" fillId="2" borderId="59" xfId="26" applyNumberFormat="1" applyFont="1" applyFill="1" applyBorder="1" applyAlignment="1">
      <alignment horizontal="center" vertical="center"/>
    </xf>
    <xf numFmtId="3" fontId="34" fillId="0" borderId="48" xfId="26" applyNumberFormat="1" applyFont="1" applyFill="1" applyBorder="1" applyAlignment="1">
      <alignment horizontal="right" vertical="top"/>
    </xf>
    <xf numFmtId="3" fontId="34" fillId="0" borderId="103" xfId="26" applyNumberFormat="1" applyFont="1" applyFill="1" applyBorder="1" applyAlignment="1">
      <alignment horizontal="right" vertical="top"/>
    </xf>
    <xf numFmtId="3" fontId="34" fillId="3" borderId="77" xfId="26" applyNumberFormat="1" applyFont="1" applyFill="1" applyBorder="1" applyAlignment="1">
      <alignment horizontal="center" vertical="center" wrapText="1"/>
    </xf>
    <xf numFmtId="3" fontId="34" fillId="3" borderId="59" xfId="26" applyNumberFormat="1" applyFont="1" applyFill="1" applyBorder="1" applyAlignment="1">
      <alignment horizontal="center" vertical="center" wrapText="1"/>
    </xf>
    <xf numFmtId="3" fontId="34" fillId="3" borderId="60" xfId="26" applyNumberFormat="1" applyFont="1" applyFill="1" applyBorder="1" applyAlignment="1">
      <alignment horizontal="center"/>
    </xf>
    <xf numFmtId="3" fontId="34" fillId="3" borderId="48" xfId="26" applyNumberFormat="1" applyFont="1" applyFill="1" applyBorder="1" applyAlignment="1">
      <alignment horizontal="center"/>
    </xf>
    <xf numFmtId="3" fontId="34" fillId="3" borderId="103" xfId="26" applyNumberFormat="1" applyFont="1" applyFill="1" applyBorder="1" applyAlignment="1">
      <alignment horizontal="center"/>
    </xf>
    <xf numFmtId="3" fontId="34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48" xfId="0" applyFont="1" applyFill="1" applyBorder="1" applyAlignment="1">
      <alignment horizontal="right" vertical="top"/>
    </xf>
    <xf numFmtId="0" fontId="35" fillId="0" borderId="103" xfId="0" applyFont="1" applyFill="1" applyBorder="1" applyAlignment="1">
      <alignment horizontal="right" vertical="top"/>
    </xf>
    <xf numFmtId="3" fontId="34" fillId="10" borderId="77" xfId="26" applyNumberFormat="1" applyFont="1" applyFill="1" applyBorder="1" applyAlignment="1">
      <alignment horizontal="center" vertical="center" wrapText="1"/>
    </xf>
    <xf numFmtId="3" fontId="34" fillId="10" borderId="59" xfId="26" applyNumberFormat="1" applyFont="1" applyFill="1" applyBorder="1" applyAlignment="1">
      <alignment horizontal="center" vertical="center" wrapText="1"/>
    </xf>
    <xf numFmtId="3" fontId="34" fillId="10" borderId="60" xfId="26" applyNumberFormat="1" applyFont="1" applyFill="1" applyBorder="1" applyAlignment="1">
      <alignment horizontal="center"/>
    </xf>
    <xf numFmtId="3" fontId="34" fillId="10" borderId="48" xfId="26" applyNumberFormat="1" applyFont="1" applyFill="1" applyBorder="1" applyAlignment="1">
      <alignment horizontal="center"/>
    </xf>
    <xf numFmtId="3" fontId="34" fillId="10" borderId="103" xfId="26" applyNumberFormat="1" applyFont="1" applyFill="1" applyBorder="1" applyAlignment="1">
      <alignment horizontal="center"/>
    </xf>
    <xf numFmtId="3" fontId="34" fillId="10" borderId="49" xfId="26" applyNumberFormat="1" applyFont="1" applyFill="1" applyBorder="1" applyAlignment="1">
      <alignment horizontal="center"/>
    </xf>
    <xf numFmtId="3" fontId="34" fillId="4" borderId="77" xfId="26" applyNumberFormat="1" applyFont="1" applyFill="1" applyBorder="1" applyAlignment="1">
      <alignment horizontal="center" vertical="center" wrapText="1"/>
    </xf>
    <xf numFmtId="3" fontId="34" fillId="4" borderId="59" xfId="26" applyNumberFormat="1" applyFont="1" applyFill="1" applyBorder="1" applyAlignment="1">
      <alignment horizontal="center" vertical="center" wrapText="1"/>
    </xf>
    <xf numFmtId="3" fontId="34" fillId="4" borderId="60" xfId="26" applyNumberFormat="1" applyFont="1" applyFill="1" applyBorder="1" applyAlignment="1">
      <alignment horizontal="center"/>
    </xf>
    <xf numFmtId="3" fontId="34" fillId="4" borderId="48" xfId="26" applyNumberFormat="1" applyFont="1" applyFill="1" applyBorder="1" applyAlignment="1">
      <alignment horizontal="center"/>
    </xf>
    <xf numFmtId="3" fontId="34" fillId="4" borderId="103" xfId="26" applyNumberFormat="1" applyFont="1" applyFill="1" applyBorder="1" applyAlignment="1">
      <alignment horizontal="center"/>
    </xf>
    <xf numFmtId="3" fontId="34" fillId="4" borderId="49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5" fillId="2" borderId="48" xfId="14" applyFont="1" applyFill="1" applyBorder="1" applyAlignment="1">
      <alignment horizontal="center"/>
    </xf>
    <xf numFmtId="0" fontId="35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1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0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16" xfId="0" applyNumberFormat="1" applyFont="1" applyFill="1" applyBorder="1" applyAlignment="1">
      <alignment horizontal="right" vertical="top"/>
    </xf>
    <xf numFmtId="3" fontId="36" fillId="11" borderId="117" xfId="0" applyNumberFormat="1" applyFont="1" applyFill="1" applyBorder="1" applyAlignment="1">
      <alignment horizontal="right" vertical="top"/>
    </xf>
    <xf numFmtId="176" fontId="36" fillId="11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6" fontId="36" fillId="11" borderId="119" xfId="0" applyNumberFormat="1" applyFont="1" applyFill="1" applyBorder="1" applyAlignment="1">
      <alignment horizontal="right" vertical="top"/>
    </xf>
    <xf numFmtId="3" fontId="38" fillId="11" borderId="121" xfId="0" applyNumberFormat="1" applyFont="1" applyFill="1" applyBorder="1" applyAlignment="1">
      <alignment horizontal="right" vertical="top"/>
    </xf>
    <xf numFmtId="3" fontId="38" fillId="11" borderId="122" xfId="0" applyNumberFormat="1" applyFont="1" applyFill="1" applyBorder="1" applyAlignment="1">
      <alignment horizontal="right" vertical="top"/>
    </xf>
    <xf numFmtId="0" fontId="38" fillId="11" borderId="123" xfId="0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11" borderId="124" xfId="0" applyFont="1" applyFill="1" applyBorder="1" applyAlignment="1">
      <alignment horizontal="right" vertical="top"/>
    </xf>
    <xf numFmtId="0" fontId="36" fillId="11" borderId="118" xfId="0" applyFont="1" applyFill="1" applyBorder="1" applyAlignment="1">
      <alignment horizontal="right" vertical="top"/>
    </xf>
    <xf numFmtId="0" fontId="36" fillId="11" borderId="119" xfId="0" applyFont="1" applyFill="1" applyBorder="1" applyAlignment="1">
      <alignment horizontal="right" vertical="top"/>
    </xf>
    <xf numFmtId="176" fontId="38" fillId="11" borderId="123" xfId="0" applyNumberFormat="1" applyFont="1" applyFill="1" applyBorder="1" applyAlignment="1">
      <alignment horizontal="right" vertical="top"/>
    </xf>
    <xf numFmtId="176" fontId="38" fillId="11" borderId="124" xfId="0" applyNumberFormat="1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0" fontId="38" fillId="0" borderId="127" xfId="0" applyFont="1" applyBorder="1" applyAlignment="1">
      <alignment horizontal="right" vertical="top"/>
    </xf>
    <xf numFmtId="176" fontId="38" fillId="11" borderId="128" xfId="0" applyNumberFormat="1" applyFont="1" applyFill="1" applyBorder="1" applyAlignment="1">
      <alignment horizontal="right" vertical="top"/>
    </xf>
    <xf numFmtId="0" fontId="40" fillId="12" borderId="115" xfId="0" applyFont="1" applyFill="1" applyBorder="1" applyAlignment="1">
      <alignment vertical="top"/>
    </xf>
    <xf numFmtId="0" fontId="40" fillId="12" borderId="115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4"/>
    </xf>
    <xf numFmtId="0" fontId="41" fillId="12" borderId="120" xfId="0" applyFont="1" applyFill="1" applyBorder="1" applyAlignment="1">
      <alignment vertical="top" indent="6"/>
    </xf>
    <xf numFmtId="0" fontId="40" fillId="12" borderId="115" xfId="0" applyFont="1" applyFill="1" applyBorder="1" applyAlignment="1">
      <alignment vertical="top" indent="8"/>
    </xf>
    <xf numFmtId="0" fontId="41" fillId="12" borderId="120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6"/>
    </xf>
    <xf numFmtId="0" fontId="41" fillId="12" borderId="120" xfId="0" applyFont="1" applyFill="1" applyBorder="1" applyAlignment="1">
      <alignment vertical="top" indent="4"/>
    </xf>
    <xf numFmtId="0" fontId="41" fillId="12" borderId="120" xfId="0" applyFont="1" applyFill="1" applyBorder="1" applyAlignment="1">
      <alignment vertical="top"/>
    </xf>
    <xf numFmtId="0" fontId="35" fillId="12" borderId="115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9" xfId="53" applyNumberFormat="1" applyFont="1" applyFill="1" applyBorder="1" applyAlignment="1">
      <alignment horizontal="left"/>
    </xf>
    <xf numFmtId="164" fontId="34" fillId="2" borderId="130" xfId="53" applyNumberFormat="1" applyFont="1" applyFill="1" applyBorder="1" applyAlignment="1">
      <alignment horizontal="left"/>
    </xf>
    <xf numFmtId="164" fontId="34" fillId="2" borderId="56" xfId="53" applyNumberFormat="1" applyFont="1" applyFill="1" applyBorder="1" applyAlignment="1">
      <alignment horizontal="left"/>
    </xf>
    <xf numFmtId="3" fontId="34" fillId="2" borderId="56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5" fillId="0" borderId="130" xfId="0" applyNumberFormat="1" applyFont="1" applyFill="1" applyBorder="1"/>
    <xf numFmtId="3" fontId="35" fillId="0" borderId="131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35" fillId="0" borderId="89" xfId="0" applyFont="1" applyFill="1" applyBorder="1"/>
    <xf numFmtId="0" fontId="35" fillId="0" borderId="90" xfId="0" applyFont="1" applyFill="1" applyBorder="1"/>
    <xf numFmtId="164" fontId="35" fillId="0" borderId="90" xfId="0" applyNumberFormat="1" applyFont="1" applyFill="1" applyBorder="1"/>
    <xf numFmtId="164" fontId="35" fillId="0" borderId="90" xfId="0" applyNumberFormat="1" applyFont="1" applyFill="1" applyBorder="1" applyAlignment="1">
      <alignment horizontal="right"/>
    </xf>
    <xf numFmtId="3" fontId="35" fillId="0" borderId="90" xfId="0" applyNumberFormat="1" applyFont="1" applyFill="1" applyBorder="1"/>
    <xf numFmtId="3" fontId="35" fillId="0" borderId="91" xfId="0" applyNumberFormat="1" applyFont="1" applyFill="1" applyBorder="1"/>
    <xf numFmtId="0" fontId="35" fillId="0" borderId="82" xfId="0" applyFont="1" applyFill="1" applyBorder="1"/>
    <xf numFmtId="0" fontId="35" fillId="0" borderId="83" xfId="0" applyFont="1" applyFill="1" applyBorder="1"/>
    <xf numFmtId="164" fontId="35" fillId="0" borderId="83" xfId="0" applyNumberFormat="1" applyFont="1" applyFill="1" applyBorder="1"/>
    <xf numFmtId="164" fontId="35" fillId="0" borderId="83" xfId="0" applyNumberFormat="1" applyFont="1" applyFill="1" applyBorder="1" applyAlignment="1">
      <alignment horizontal="right"/>
    </xf>
    <xf numFmtId="3" fontId="35" fillId="0" borderId="83" xfId="0" applyNumberFormat="1" applyFont="1" applyFill="1" applyBorder="1"/>
    <xf numFmtId="3" fontId="35" fillId="0" borderId="84" xfId="0" applyNumberFormat="1" applyFont="1" applyFill="1" applyBorder="1"/>
    <xf numFmtId="0" fontId="42" fillId="2" borderId="129" xfId="0" applyFont="1" applyFill="1" applyBorder="1"/>
    <xf numFmtId="3" fontId="42" fillId="2" borderId="113" xfId="0" applyNumberFormat="1" applyFont="1" applyFill="1" applyBorder="1"/>
    <xf numFmtId="9" fontId="42" fillId="2" borderId="74" xfId="0" applyNumberFormat="1" applyFont="1" applyFill="1" applyBorder="1"/>
    <xf numFmtId="3" fontId="42" fillId="2" borderId="61" xfId="0" applyNumberFormat="1" applyFont="1" applyFill="1" applyBorder="1"/>
    <xf numFmtId="9" fontId="35" fillId="0" borderId="130" xfId="0" applyNumberFormat="1" applyFont="1" applyFill="1" applyBorder="1"/>
    <xf numFmtId="9" fontId="35" fillId="0" borderId="80" xfId="0" applyNumberFormat="1" applyFont="1" applyFill="1" applyBorder="1"/>
    <xf numFmtId="9" fontId="35" fillId="0" borderId="83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129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0" xfId="0" applyNumberFormat="1" applyFont="1" applyFill="1" applyBorder="1"/>
    <xf numFmtId="3" fontId="35" fillId="0" borderId="96" xfId="0" applyNumberFormat="1" applyFont="1" applyFill="1" applyBorder="1"/>
    <xf numFmtId="9" fontId="35" fillId="0" borderId="96" xfId="0" applyNumberFormat="1" applyFont="1" applyFill="1" applyBorder="1"/>
    <xf numFmtId="3" fontId="35" fillId="0" borderId="97" xfId="0" applyNumberFormat="1" applyFont="1" applyFill="1" applyBorder="1"/>
    <xf numFmtId="0" fontId="42" fillId="0" borderId="79" xfId="0" applyFont="1" applyFill="1" applyBorder="1"/>
    <xf numFmtId="0" fontId="42" fillId="0" borderId="89" xfId="0" applyFont="1" applyFill="1" applyBorder="1"/>
    <xf numFmtId="0" fontId="42" fillId="0" borderId="114" xfId="0" applyFont="1" applyFill="1" applyBorder="1"/>
    <xf numFmtId="0" fontId="42" fillId="2" borderId="130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5" fillId="0" borderId="81" xfId="0" applyNumberFormat="1" applyFont="1" applyFill="1" applyBorder="1"/>
    <xf numFmtId="9" fontId="35" fillId="0" borderId="84" xfId="0" applyNumberFormat="1" applyFont="1" applyFill="1" applyBorder="1"/>
    <xf numFmtId="0" fontId="42" fillId="0" borderId="110" xfId="0" applyFont="1" applyFill="1" applyBorder="1"/>
    <xf numFmtId="0" fontId="42" fillId="0" borderId="109" xfId="0" applyFont="1" applyFill="1" applyBorder="1" applyAlignment="1">
      <alignment horizontal="left" indent="1"/>
    </xf>
    <xf numFmtId="9" fontId="35" fillId="0" borderId="102" xfId="0" applyNumberFormat="1" applyFont="1" applyFill="1" applyBorder="1"/>
    <xf numFmtId="9" fontId="35" fillId="0" borderId="100" xfId="0" applyNumberFormat="1" applyFont="1" applyFill="1" applyBorder="1"/>
    <xf numFmtId="3" fontId="35" fillId="0" borderId="79" xfId="0" applyNumberFormat="1" applyFont="1" applyFill="1" applyBorder="1"/>
    <xf numFmtId="3" fontId="35" fillId="0" borderId="82" xfId="0" applyNumberFormat="1" applyFont="1" applyFill="1" applyBorder="1"/>
    <xf numFmtId="9" fontId="35" fillId="0" borderId="106" xfId="0" applyNumberFormat="1" applyFont="1" applyFill="1" applyBorder="1"/>
    <xf numFmtId="9" fontId="35" fillId="0" borderId="105" xfId="0" applyNumberFormat="1" applyFont="1" applyFill="1" applyBorder="1"/>
    <xf numFmtId="0" fontId="0" fillId="0" borderId="133" xfId="0" applyBorder="1" applyAlignment="1">
      <alignment horizontal="center"/>
    </xf>
    <xf numFmtId="0" fontId="0" fillId="0" borderId="134" xfId="0" applyBorder="1" applyAlignment="1">
      <alignment horizontal="center"/>
    </xf>
    <xf numFmtId="173" fontId="42" fillId="4" borderId="134" xfId="0" applyNumberFormat="1" applyFont="1" applyFill="1" applyBorder="1" applyAlignment="1">
      <alignment horizontal="center"/>
    </xf>
    <xf numFmtId="0" fontId="0" fillId="0" borderId="134" xfId="0" applyBorder="1" applyAlignment="1"/>
    <xf numFmtId="0" fontId="0" fillId="0" borderId="135" xfId="0" applyBorder="1" applyAlignment="1">
      <alignment horizontal="right"/>
    </xf>
    <xf numFmtId="0" fontId="0" fillId="0" borderId="136" xfId="0" applyBorder="1" applyAlignment="1">
      <alignment horizontal="right"/>
    </xf>
    <xf numFmtId="173" fontId="35" fillId="0" borderId="136" xfId="0" applyNumberFormat="1" applyFont="1" applyBorder="1" applyAlignment="1">
      <alignment horizontal="right"/>
    </xf>
    <xf numFmtId="173" fontId="35" fillId="0" borderId="136" xfId="0" applyNumberFormat="1" applyFont="1" applyBorder="1" applyAlignment="1">
      <alignment horizontal="right" wrapText="1"/>
    </xf>
    <xf numFmtId="0" fontId="0" fillId="0" borderId="136" xfId="0" applyBorder="1" applyAlignment="1">
      <alignment horizontal="right" wrapText="1"/>
    </xf>
    <xf numFmtId="175" fontId="35" fillId="0" borderId="136" xfId="0" applyNumberFormat="1" applyFont="1" applyBorder="1" applyAlignment="1">
      <alignment horizontal="right"/>
    </xf>
    <xf numFmtId="0" fontId="0" fillId="0" borderId="137" xfId="0" applyBorder="1" applyAlignment="1">
      <alignment horizontal="right"/>
    </xf>
    <xf numFmtId="0" fontId="0" fillId="0" borderId="138" xfId="0" applyBorder="1" applyAlignment="1">
      <alignment horizontal="right"/>
    </xf>
    <xf numFmtId="173" fontId="35" fillId="0" borderId="138" xfId="0" applyNumberFormat="1" applyFont="1" applyBorder="1" applyAlignment="1">
      <alignment horizontal="right"/>
    </xf>
    <xf numFmtId="0" fontId="42" fillId="2" borderId="106" xfId="0" applyFont="1" applyFill="1" applyBorder="1" applyAlignment="1">
      <alignment horizontal="center" vertical="center"/>
    </xf>
    <xf numFmtId="0" fontId="61" fillId="2" borderId="105" xfId="0" applyFont="1" applyFill="1" applyBorder="1" applyAlignment="1">
      <alignment horizontal="center" vertical="center" wrapText="1"/>
    </xf>
    <xf numFmtId="174" fontId="35" fillId="2" borderId="106" xfId="0" applyNumberFormat="1" applyFont="1" applyFill="1" applyBorder="1" applyAlignment="1"/>
    <xf numFmtId="174" fontId="35" fillId="0" borderId="104" xfId="0" applyNumberFormat="1" applyFont="1" applyBorder="1"/>
    <xf numFmtId="174" fontId="35" fillId="0" borderId="140" xfId="0" applyNumberFormat="1" applyFont="1" applyBorder="1"/>
    <xf numFmtId="173" fontId="42" fillId="4" borderId="106" xfId="0" applyNumberFormat="1" applyFont="1" applyFill="1" applyBorder="1" applyAlignment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2" borderId="106" xfId="0" applyNumberFormat="1" applyFont="1" applyFill="1" applyBorder="1" applyAlignment="1"/>
    <xf numFmtId="173" fontId="35" fillId="0" borderId="140" xfId="0" applyNumberFormat="1" applyFont="1" applyBorder="1"/>
    <xf numFmtId="173" fontId="35" fillId="0" borderId="106" xfId="0" applyNumberFormat="1" applyFont="1" applyBorder="1"/>
    <xf numFmtId="0" fontId="0" fillId="0" borderId="141" xfId="0" applyBorder="1" applyAlignment="1">
      <alignment horizontal="center"/>
    </xf>
    <xf numFmtId="0" fontId="0" fillId="0" borderId="142" xfId="0" applyBorder="1" applyAlignment="1">
      <alignment horizontal="right"/>
    </xf>
    <xf numFmtId="0" fontId="0" fillId="0" borderId="142" xfId="0" applyBorder="1" applyAlignment="1">
      <alignment horizontal="right" wrapText="1"/>
    </xf>
    <xf numFmtId="0" fontId="0" fillId="0" borderId="143" xfId="0" applyBorder="1" applyAlignment="1">
      <alignment horizontal="right"/>
    </xf>
    <xf numFmtId="0" fontId="0" fillId="0" borderId="139" xfId="0" applyBorder="1"/>
    <xf numFmtId="173" fontId="42" fillId="4" borderId="85" xfId="0" applyNumberFormat="1" applyFont="1" applyFill="1" applyBorder="1" applyAlignment="1">
      <alignment horizontal="center"/>
    </xf>
    <xf numFmtId="173" fontId="35" fillId="0" borderId="87" xfId="0" applyNumberFormat="1" applyFont="1" applyBorder="1" applyAlignment="1">
      <alignment horizontal="right"/>
    </xf>
    <xf numFmtId="175" fontId="35" fillId="0" borderId="87" xfId="0" applyNumberFormat="1" applyFont="1" applyBorder="1" applyAlignment="1">
      <alignment horizontal="right"/>
    </xf>
    <xf numFmtId="173" fontId="35" fillId="0" borderId="98" xfId="0" applyNumberFormat="1" applyFont="1" applyBorder="1" applyAlignment="1">
      <alignment horizontal="right"/>
    </xf>
    <xf numFmtId="0" fontId="35" fillId="2" borderId="61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69" fontId="35" fillId="0" borderId="30" xfId="0" applyNumberFormat="1" applyFont="1" applyFill="1" applyBorder="1"/>
    <xf numFmtId="0" fontId="35" fillId="0" borderId="30" xfId="0" applyFont="1" applyFill="1" applyBorder="1"/>
    <xf numFmtId="0" fontId="42" fillId="0" borderId="22" xfId="0" applyFont="1" applyFill="1" applyBorder="1"/>
    <xf numFmtId="0" fontId="34" fillId="2" borderId="34" xfId="0" applyFont="1" applyFill="1" applyBorder="1" applyAlignment="1">
      <alignment horizontal="center" vertical="top"/>
    </xf>
    <xf numFmtId="0" fontId="35" fillId="2" borderId="34" xfId="0" applyFont="1" applyFill="1" applyBorder="1" applyAlignment="1">
      <alignment horizontal="center" vertical="top" wrapText="1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3" fontId="12" fillId="0" borderId="132" xfId="0" applyNumberFormat="1" applyFont="1" applyBorder="1" applyAlignment="1">
      <alignment horizontal="right"/>
    </xf>
    <xf numFmtId="166" fontId="12" fillId="0" borderId="132" xfId="0" applyNumberFormat="1" applyFont="1" applyBorder="1" applyAlignment="1">
      <alignment horizontal="right"/>
    </xf>
    <xf numFmtId="166" fontId="12" fillId="0" borderId="94" xfId="0" applyNumberFormat="1" applyFont="1" applyBorder="1" applyAlignment="1">
      <alignment horizontal="right"/>
    </xf>
    <xf numFmtId="3" fontId="5" fillId="0" borderId="132" xfId="0" applyNumberFormat="1" applyFont="1" applyBorder="1" applyAlignment="1">
      <alignment horizontal="right"/>
    </xf>
    <xf numFmtId="166" fontId="5" fillId="0" borderId="132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2" xfId="0" applyNumberFormat="1" applyFont="1" applyBorder="1" applyAlignment="1">
      <alignment horizontal="right"/>
    </xf>
    <xf numFmtId="4" fontId="5" fillId="0" borderId="132" xfId="0" applyNumberFormat="1" applyFont="1" applyBorder="1" applyAlignment="1">
      <alignment horizontal="right"/>
    </xf>
    <xf numFmtId="3" fontId="5" fillId="0" borderId="132" xfId="0" applyNumberFormat="1" applyFont="1" applyBorder="1"/>
    <xf numFmtId="3" fontId="11" fillId="0" borderId="93" xfId="0" applyNumberFormat="1" applyFont="1" applyBorder="1" applyAlignment="1">
      <alignment horizontal="center"/>
    </xf>
    <xf numFmtId="3" fontId="12" fillId="0" borderId="132" xfId="0" applyNumberFormat="1" applyFont="1" applyBorder="1"/>
    <xf numFmtId="166" fontId="12" fillId="0" borderId="132" xfId="0" applyNumberFormat="1" applyFont="1" applyBorder="1"/>
    <xf numFmtId="166" fontId="12" fillId="0" borderId="94" xfId="0" applyNumberFormat="1" applyFont="1" applyBorder="1"/>
    <xf numFmtId="166" fontId="12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3" fontId="35" fillId="0" borderId="132" xfId="0" applyNumberFormat="1" applyFont="1" applyBorder="1"/>
    <xf numFmtId="166" fontId="35" fillId="0" borderId="132" xfId="0" applyNumberFormat="1" applyFont="1" applyBorder="1"/>
    <xf numFmtId="166" fontId="35" fillId="0" borderId="94" xfId="0" applyNumberFormat="1" applyFont="1" applyBorder="1"/>
    <xf numFmtId="0" fontId="5" fillId="0" borderId="132" xfId="0" applyFont="1" applyBorder="1"/>
    <xf numFmtId="9" fontId="35" fillId="0" borderId="132" xfId="0" applyNumberFormat="1" applyFont="1" applyBorder="1"/>
    <xf numFmtId="3" fontId="35" fillId="0" borderId="132" xfId="0" applyNumberFormat="1" applyFont="1" applyBorder="1" applyAlignment="1">
      <alignment horizontal="right"/>
    </xf>
    <xf numFmtId="166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166" fontId="35" fillId="0" borderId="103" xfId="0" applyNumberFormat="1" applyFont="1" applyBorder="1"/>
    <xf numFmtId="166" fontId="35" fillId="0" borderId="78" xfId="0" applyNumberFormat="1" applyFont="1" applyBorder="1"/>
    <xf numFmtId="3" fontId="12" fillId="0" borderId="103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2" fillId="0" borderId="78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66" fontId="5" fillId="0" borderId="78" xfId="0" applyNumberFormat="1" applyFont="1" applyBorder="1" applyAlignment="1">
      <alignment horizontal="right"/>
    </xf>
    <xf numFmtId="177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0" fontId="5" fillId="0" borderId="103" xfId="0" applyFont="1" applyBorder="1"/>
    <xf numFmtId="3" fontId="5" fillId="0" borderId="103" xfId="0" applyNumberFormat="1" applyFont="1" applyBorder="1"/>
    <xf numFmtId="9" fontId="35" fillId="0" borderId="103" xfId="0" applyNumberFormat="1" applyFont="1" applyBorder="1"/>
    <xf numFmtId="3" fontId="11" fillId="0" borderId="77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77" xfId="0" applyNumberFormat="1" applyFont="1" applyBorder="1" applyAlignment="1">
      <alignment horizontal="center"/>
    </xf>
    <xf numFmtId="49" fontId="3" fillId="0" borderId="9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98" xfId="0" applyNumberFormat="1" applyFont="1" applyBorder="1" applyAlignment="1">
      <alignment horizontal="center"/>
    </xf>
    <xf numFmtId="3" fontId="35" fillId="0" borderId="108" xfId="0" applyNumberFormat="1" applyFont="1" applyBorder="1"/>
    <xf numFmtId="166" fontId="35" fillId="0" borderId="108" xfId="0" applyNumberFormat="1" applyFont="1" applyBorder="1"/>
    <xf numFmtId="166" fontId="35" fillId="0" borderId="99" xfId="0" applyNumberFormat="1" applyFont="1" applyBorder="1"/>
    <xf numFmtId="3" fontId="35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99" xfId="0" applyNumberFormat="1" applyFont="1" applyBorder="1" applyAlignment="1">
      <alignment horizontal="right"/>
    </xf>
    <xf numFmtId="3" fontId="12" fillId="0" borderId="108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66" fontId="11" fillId="0" borderId="9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9" fontId="35" fillId="0" borderId="108" xfId="0" applyNumberFormat="1" applyFont="1" applyBorder="1"/>
    <xf numFmtId="3" fontId="11" fillId="0" borderId="9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80" xfId="0" applyNumberFormat="1" applyFont="1" applyFill="1" applyBorder="1"/>
    <xf numFmtId="169" fontId="35" fillId="0" borderId="90" xfId="0" applyNumberFormat="1" applyFont="1" applyFill="1" applyBorder="1"/>
    <xf numFmtId="9" fontId="35" fillId="0" borderId="91" xfId="0" applyNumberFormat="1" applyFont="1" applyFill="1" applyBorder="1"/>
    <xf numFmtId="169" fontId="35" fillId="0" borderId="83" xfId="0" applyNumberFormat="1" applyFont="1" applyFill="1" applyBorder="1"/>
    <xf numFmtId="0" fontId="42" fillId="0" borderId="82" xfId="0" applyFont="1" applyFill="1" applyBorder="1"/>
    <xf numFmtId="3" fontId="34" fillId="2" borderId="73" xfId="76" applyNumberFormat="1" applyFont="1" applyFill="1" applyBorder="1" applyAlignment="1">
      <alignment horizontal="center" vertical="center"/>
    </xf>
    <xf numFmtId="3" fontId="34" fillId="2" borderId="56" xfId="76" applyNumberFormat="1" applyFont="1" applyFill="1" applyBorder="1" applyAlignment="1">
      <alignment horizontal="center" vertical="center"/>
    </xf>
    <xf numFmtId="0" fontId="32" fillId="0" borderId="79" xfId="76" applyFont="1" applyFill="1" applyBorder="1"/>
    <xf numFmtId="0" fontId="32" fillId="0" borderId="89" xfId="76" applyFont="1" applyFill="1" applyBorder="1"/>
    <xf numFmtId="0" fontId="32" fillId="0" borderId="82" xfId="76" applyFont="1" applyFill="1" applyBorder="1"/>
    <xf numFmtId="0" fontId="32" fillId="0" borderId="106" xfId="76" applyFont="1" applyFill="1" applyBorder="1"/>
    <xf numFmtId="0" fontId="32" fillId="0" borderId="104" xfId="76" applyFont="1" applyFill="1" applyBorder="1"/>
    <xf numFmtId="0" fontId="32" fillId="0" borderId="105" xfId="76" applyFont="1" applyFill="1" applyBorder="1"/>
    <xf numFmtId="0" fontId="34" fillId="2" borderId="96" xfId="76" applyNumberFormat="1" applyFont="1" applyFill="1" applyBorder="1" applyAlignment="1">
      <alignment horizontal="left"/>
    </xf>
    <xf numFmtId="0" fontId="34" fillId="2" borderId="144" xfId="76" applyNumberFormat="1" applyFont="1" applyFill="1" applyBorder="1" applyAlignment="1">
      <alignment horizontal="left"/>
    </xf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3" fontId="32" fillId="0" borderId="89" xfId="76" applyNumberFormat="1" applyFont="1" applyFill="1" applyBorder="1"/>
    <xf numFmtId="3" fontId="32" fillId="0" borderId="90" xfId="76" applyNumberFormat="1" applyFont="1" applyFill="1" applyBorder="1"/>
    <xf numFmtId="3" fontId="32" fillId="0" borderId="82" xfId="76" applyNumberFormat="1" applyFont="1" applyFill="1" applyBorder="1"/>
    <xf numFmtId="3" fontId="32" fillId="0" borderId="83" xfId="76" applyNumberFormat="1" applyFont="1" applyFill="1" applyBorder="1"/>
    <xf numFmtId="9" fontId="32" fillId="0" borderId="106" xfId="76" applyNumberFormat="1" applyFont="1" applyFill="1" applyBorder="1"/>
    <xf numFmtId="9" fontId="32" fillId="0" borderId="104" xfId="76" applyNumberFormat="1" applyFont="1" applyFill="1" applyBorder="1"/>
    <xf numFmtId="9" fontId="32" fillId="0" borderId="105" xfId="76" applyNumberFormat="1" applyFont="1" applyFill="1" applyBorder="1"/>
    <xf numFmtId="0" fontId="34" fillId="2" borderId="95" xfId="76" applyNumberFormat="1" applyFont="1" applyFill="1" applyBorder="1" applyAlignment="1">
      <alignment horizontal="left"/>
    </xf>
    <xf numFmtId="0" fontId="34" fillId="2" borderId="97" xfId="76" applyNumberFormat="1" applyFont="1" applyFill="1" applyBorder="1" applyAlignment="1">
      <alignment horizontal="left"/>
    </xf>
    <xf numFmtId="3" fontId="32" fillId="0" borderId="81" xfId="76" applyNumberFormat="1" applyFont="1" applyFill="1" applyBorder="1"/>
    <xf numFmtId="3" fontId="32" fillId="0" borderId="91" xfId="76" applyNumberFormat="1" applyFont="1" applyFill="1" applyBorder="1"/>
    <xf numFmtId="3" fontId="32" fillId="0" borderId="84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0.10915317801177141</c:v>
                </c:pt>
                <c:pt idx="1">
                  <c:v>0.13430368277813926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84818656"/>
        <c:axId val="-8848202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0.2238117303886599</c:v>
                </c:pt>
                <c:pt idx="1">
                  <c:v>0.2238117303886599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84821920"/>
        <c:axId val="-884819200"/>
      </c:scatterChart>
      <c:catAx>
        <c:axId val="-88481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8482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84820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84818656"/>
        <c:crosses val="autoZero"/>
        <c:crossBetween val="between"/>
      </c:valAx>
      <c:valAx>
        <c:axId val="-8848219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84819200"/>
        <c:crosses val="max"/>
        <c:crossBetween val="midCat"/>
      </c:valAx>
      <c:valAx>
        <c:axId val="-884819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848219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0.72602739726027399</c:v>
                </c:pt>
                <c:pt idx="1">
                  <c:v>0.72727272727272729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199664"/>
        <c:axId val="-96419803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199120"/>
        <c:axId val="-964202384"/>
      </c:scatterChart>
      <c:catAx>
        <c:axId val="-96419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19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1980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964199664"/>
        <c:crosses val="autoZero"/>
        <c:crossBetween val="between"/>
      </c:valAx>
      <c:valAx>
        <c:axId val="-9641991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202384"/>
        <c:crosses val="max"/>
        <c:crossBetween val="midCat"/>
      </c:valAx>
      <c:valAx>
        <c:axId val="-9642023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96419912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8" t="s">
        <v>119</v>
      </c>
      <c r="B1" s="488"/>
    </row>
    <row r="2" spans="1:3" ht="14.4" customHeight="1" thickBot="1" x14ac:dyDescent="0.35">
      <c r="A2" s="351" t="s">
        <v>322</v>
      </c>
      <c r="B2" s="50"/>
    </row>
    <row r="3" spans="1:3" ht="14.4" customHeight="1" thickBot="1" x14ac:dyDescent="0.35">
      <c r="A3" s="484" t="s">
        <v>163</v>
      </c>
      <c r="B3" s="485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136</v>
      </c>
      <c r="C4" s="51" t="s">
        <v>137</v>
      </c>
    </row>
    <row r="5" spans="1:3" ht="14.4" customHeight="1" x14ac:dyDescent="0.3">
      <c r="A5" s="247" t="str">
        <f t="shared" si="0"/>
        <v>HI</v>
      </c>
      <c r="B5" s="164" t="s">
        <v>157</v>
      </c>
      <c r="C5" s="51" t="s">
        <v>123</v>
      </c>
    </row>
    <row r="6" spans="1:3" ht="14.4" customHeight="1" x14ac:dyDescent="0.3">
      <c r="A6" s="248" t="str">
        <f t="shared" si="0"/>
        <v>HI Graf</v>
      </c>
      <c r="B6" s="165" t="s">
        <v>115</v>
      </c>
      <c r="C6" s="51" t="s">
        <v>124</v>
      </c>
    </row>
    <row r="7" spans="1:3" ht="14.4" customHeight="1" x14ac:dyDescent="0.3">
      <c r="A7" s="248" t="str">
        <f t="shared" si="0"/>
        <v>Man Tab</v>
      </c>
      <c r="B7" s="165" t="s">
        <v>324</v>
      </c>
      <c r="C7" s="51" t="s">
        <v>125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6" t="s">
        <v>120</v>
      </c>
      <c r="B10" s="485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158</v>
      </c>
      <c r="C11" s="51" t="s">
        <v>126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180</v>
      </c>
      <c r="C12" s="51" t="s">
        <v>127</v>
      </c>
    </row>
    <row r="13" spans="1:3" ht="28.8" customHeight="1" x14ac:dyDescent="0.3">
      <c r="A13" s="248" t="str">
        <f t="shared" si="2"/>
        <v>LŽ PL</v>
      </c>
      <c r="B13" s="685" t="s">
        <v>181</v>
      </c>
      <c r="C13" s="51" t="s">
        <v>167</v>
      </c>
    </row>
    <row r="14" spans="1:3" ht="14.4" customHeight="1" x14ac:dyDescent="0.3">
      <c r="A14" s="248" t="str">
        <f t="shared" si="2"/>
        <v>LŽ PL Detail</v>
      </c>
      <c r="B14" s="165" t="s">
        <v>1553</v>
      </c>
      <c r="C14" s="51" t="s">
        <v>168</v>
      </c>
    </row>
    <row r="15" spans="1:3" ht="14.4" customHeight="1" x14ac:dyDescent="0.3">
      <c r="A15" s="248" t="str">
        <f t="shared" si="2"/>
        <v>LŽ Statim</v>
      </c>
      <c r="B15" s="432" t="s">
        <v>255</v>
      </c>
      <c r="C15" s="51" t="s">
        <v>265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159</v>
      </c>
      <c r="C16" s="51" t="s">
        <v>128</v>
      </c>
    </row>
    <row r="17" spans="1:3" ht="14.4" customHeight="1" x14ac:dyDescent="0.3">
      <c r="A17" s="248" t="str">
        <f t="shared" si="2"/>
        <v>MŽ Detail</v>
      </c>
      <c r="B17" s="165" t="s">
        <v>1952</v>
      </c>
      <c r="C17" s="51" t="s">
        <v>129</v>
      </c>
    </row>
    <row r="18" spans="1:3" ht="14.4" customHeight="1" thickBot="1" x14ac:dyDescent="0.35">
      <c r="A18" s="250" t="str">
        <f t="shared" si="2"/>
        <v>Osobní náklady</v>
      </c>
      <c r="B18" s="165" t="s">
        <v>117</v>
      </c>
      <c r="C18" s="51" t="s">
        <v>130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7" t="s">
        <v>121</v>
      </c>
      <c r="B20" s="485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140</v>
      </c>
      <c r="C21" s="51" t="s">
        <v>138</v>
      </c>
    </row>
    <row r="22" spans="1:3" ht="14.4" customHeight="1" x14ac:dyDescent="0.3">
      <c r="A22" s="248" t="str">
        <f t="shared" si="4"/>
        <v>ZV Vykáz.-H Detail</v>
      </c>
      <c r="B22" s="165" t="s">
        <v>2332</v>
      </c>
      <c r="C22" s="51" t="s">
        <v>139</v>
      </c>
    </row>
    <row r="23" spans="1:3" ht="14.4" customHeight="1" x14ac:dyDescent="0.3">
      <c r="A23" s="251" t="str">
        <f t="shared" si="4"/>
        <v>CaseMix</v>
      </c>
      <c r="B23" s="165" t="s">
        <v>122</v>
      </c>
      <c r="C23" s="51" t="s">
        <v>131</v>
      </c>
    </row>
    <row r="24" spans="1:3" ht="14.4" customHeight="1" x14ac:dyDescent="0.3">
      <c r="A24" s="248" t="str">
        <f t="shared" si="4"/>
        <v>ALOS</v>
      </c>
      <c r="B24" s="165" t="s">
        <v>102</v>
      </c>
      <c r="C24" s="51" t="s">
        <v>73</v>
      </c>
    </row>
    <row r="25" spans="1:3" ht="14.4" customHeight="1" x14ac:dyDescent="0.3">
      <c r="A25" s="248" t="str">
        <f t="shared" si="4"/>
        <v>Total</v>
      </c>
      <c r="B25" s="165" t="s">
        <v>2391</v>
      </c>
      <c r="C25" s="51" t="s">
        <v>132</v>
      </c>
    </row>
    <row r="26" spans="1:3" ht="14.4" customHeight="1" x14ac:dyDescent="0.3">
      <c r="A26" s="248" t="str">
        <f t="shared" si="4"/>
        <v>ZV Vyžád.</v>
      </c>
      <c r="B26" s="165" t="s">
        <v>141</v>
      </c>
      <c r="C26" s="51" t="s">
        <v>135</v>
      </c>
    </row>
    <row r="27" spans="1:3" ht="14.4" customHeight="1" x14ac:dyDescent="0.3">
      <c r="A27" s="248" t="str">
        <f t="shared" si="4"/>
        <v>ZV Vyžád. Detail</v>
      </c>
      <c r="B27" s="165" t="s">
        <v>2902</v>
      </c>
      <c r="C27" s="51" t="s">
        <v>134</v>
      </c>
    </row>
    <row r="28" spans="1:3" ht="14.4" customHeight="1" x14ac:dyDescent="0.3">
      <c r="A28" s="248" t="str">
        <f t="shared" si="4"/>
        <v>OD TISS</v>
      </c>
      <c r="B28" s="165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" style="310" customWidth="1"/>
    <col min="11" max="11" width="6.77734375" style="313" bestFit="1" customWidth="1"/>
    <col min="12" max="12" width="6.6640625" style="310" customWidth="1"/>
    <col min="13" max="13" width="10" style="310" customWidth="1"/>
    <col min="14" max="16384" width="8.88671875" style="231"/>
  </cols>
  <sheetData>
    <row r="1" spans="1:13" ht="18.600000000000001" customHeight="1" thickBot="1" x14ac:dyDescent="0.4">
      <c r="A1" s="527" t="s">
        <v>1553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488"/>
      <c r="M1" s="488"/>
    </row>
    <row r="2" spans="1:13" ht="14.4" customHeight="1" thickBot="1" x14ac:dyDescent="0.35">
      <c r="A2" s="351" t="s">
        <v>322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142</v>
      </c>
      <c r="F3" s="47">
        <f>SUBTOTAL(9,F6:F1048576)</f>
        <v>87</v>
      </c>
      <c r="G3" s="47">
        <f>SUBTOTAL(9,G6:G1048576)</f>
        <v>7701.2800000000007</v>
      </c>
      <c r="H3" s="48">
        <f>IF(M3=0,0,G3/M3)</f>
        <v>7.5110239476786451E-3</v>
      </c>
      <c r="I3" s="47">
        <f>SUBTOTAL(9,I6:I1048576)</f>
        <v>1446.5</v>
      </c>
      <c r="J3" s="47">
        <f>SUBTOTAL(9,J6:J1048576)</f>
        <v>1017628.9617415613</v>
      </c>
      <c r="K3" s="48">
        <f>IF(M3=0,0,J3/M3)</f>
        <v>0.99248897605232145</v>
      </c>
      <c r="L3" s="47">
        <f>SUBTOTAL(9,L6:L1048576)</f>
        <v>1533.5</v>
      </c>
      <c r="M3" s="49">
        <f>SUBTOTAL(9,M6:M1048576)</f>
        <v>1025330.2417415612</v>
      </c>
    </row>
    <row r="4" spans="1:13" ht="14.4" customHeight="1" thickBot="1" x14ac:dyDescent="0.35">
      <c r="A4" s="45"/>
      <c r="B4" s="45"/>
      <c r="C4" s="45"/>
      <c r="D4" s="45"/>
      <c r="E4" s="46"/>
      <c r="F4" s="531" t="s">
        <v>144</v>
      </c>
      <c r="G4" s="532"/>
      <c r="H4" s="533"/>
      <c r="I4" s="534" t="s">
        <v>143</v>
      </c>
      <c r="J4" s="532"/>
      <c r="K4" s="533"/>
      <c r="L4" s="535" t="s">
        <v>3</v>
      </c>
      <c r="M4" s="536"/>
    </row>
    <row r="5" spans="1:13" ht="14.4" customHeight="1" thickBot="1" x14ac:dyDescent="0.35">
      <c r="A5" s="673" t="s">
        <v>145</v>
      </c>
      <c r="B5" s="693" t="s">
        <v>146</v>
      </c>
      <c r="C5" s="693" t="s">
        <v>77</v>
      </c>
      <c r="D5" s="693" t="s">
        <v>147</v>
      </c>
      <c r="E5" s="693" t="s">
        <v>148</v>
      </c>
      <c r="F5" s="694" t="s">
        <v>15</v>
      </c>
      <c r="G5" s="694" t="s">
        <v>14</v>
      </c>
      <c r="H5" s="675" t="s">
        <v>149</v>
      </c>
      <c r="I5" s="674" t="s">
        <v>15</v>
      </c>
      <c r="J5" s="694" t="s">
        <v>14</v>
      </c>
      <c r="K5" s="675" t="s">
        <v>149</v>
      </c>
      <c r="L5" s="674" t="s">
        <v>15</v>
      </c>
      <c r="M5" s="695" t="s">
        <v>14</v>
      </c>
    </row>
    <row r="6" spans="1:13" ht="14.4" customHeight="1" x14ac:dyDescent="0.3">
      <c r="A6" s="655" t="s">
        <v>517</v>
      </c>
      <c r="B6" s="656" t="s">
        <v>1434</v>
      </c>
      <c r="C6" s="656" t="s">
        <v>1142</v>
      </c>
      <c r="D6" s="656" t="s">
        <v>1143</v>
      </c>
      <c r="E6" s="656" t="s">
        <v>1435</v>
      </c>
      <c r="F6" s="659"/>
      <c r="G6" s="659"/>
      <c r="H6" s="678">
        <v>0</v>
      </c>
      <c r="I6" s="659">
        <v>490</v>
      </c>
      <c r="J6" s="659">
        <v>33203.161543298513</v>
      </c>
      <c r="K6" s="678">
        <v>1</v>
      </c>
      <c r="L6" s="659">
        <v>490</v>
      </c>
      <c r="M6" s="660">
        <v>33203.161543298513</v>
      </c>
    </row>
    <row r="7" spans="1:13" ht="14.4" customHeight="1" x14ac:dyDescent="0.3">
      <c r="A7" s="661" t="s">
        <v>517</v>
      </c>
      <c r="B7" s="662" t="s">
        <v>1436</v>
      </c>
      <c r="C7" s="662" t="s">
        <v>1136</v>
      </c>
      <c r="D7" s="662" t="s">
        <v>1437</v>
      </c>
      <c r="E7" s="662" t="s">
        <v>1438</v>
      </c>
      <c r="F7" s="665"/>
      <c r="G7" s="665"/>
      <c r="H7" s="686">
        <v>0</v>
      </c>
      <c r="I7" s="665">
        <v>3</v>
      </c>
      <c r="J7" s="665">
        <v>821.69973002875645</v>
      </c>
      <c r="K7" s="686">
        <v>1</v>
      </c>
      <c r="L7" s="665">
        <v>3</v>
      </c>
      <c r="M7" s="666">
        <v>821.69973002875645</v>
      </c>
    </row>
    <row r="8" spans="1:13" ht="14.4" customHeight="1" x14ac:dyDescent="0.3">
      <c r="A8" s="661" t="s">
        <v>517</v>
      </c>
      <c r="B8" s="662" t="s">
        <v>1439</v>
      </c>
      <c r="C8" s="662" t="s">
        <v>536</v>
      </c>
      <c r="D8" s="662" t="s">
        <v>537</v>
      </c>
      <c r="E8" s="662" t="s">
        <v>1440</v>
      </c>
      <c r="F8" s="665">
        <v>2</v>
      </c>
      <c r="G8" s="665">
        <v>232.71999999999994</v>
      </c>
      <c r="H8" s="686">
        <v>1</v>
      </c>
      <c r="I8" s="665"/>
      <c r="J8" s="665"/>
      <c r="K8" s="686">
        <v>0</v>
      </c>
      <c r="L8" s="665">
        <v>2</v>
      </c>
      <c r="M8" s="666">
        <v>232.71999999999994</v>
      </c>
    </row>
    <row r="9" spans="1:13" ht="14.4" customHeight="1" x14ac:dyDescent="0.3">
      <c r="A9" s="661" t="s">
        <v>517</v>
      </c>
      <c r="B9" s="662" t="s">
        <v>1441</v>
      </c>
      <c r="C9" s="662" t="s">
        <v>1091</v>
      </c>
      <c r="D9" s="662" t="s">
        <v>1442</v>
      </c>
      <c r="E9" s="662" t="s">
        <v>1443</v>
      </c>
      <c r="F9" s="665"/>
      <c r="G9" s="665"/>
      <c r="H9" s="686">
        <v>0</v>
      </c>
      <c r="I9" s="665">
        <v>16</v>
      </c>
      <c r="J9" s="665">
        <v>6553.4259435597651</v>
      </c>
      <c r="K9" s="686">
        <v>1</v>
      </c>
      <c r="L9" s="665">
        <v>16</v>
      </c>
      <c r="M9" s="666">
        <v>6553.4259435597651</v>
      </c>
    </row>
    <row r="10" spans="1:13" ht="14.4" customHeight="1" x14ac:dyDescent="0.3">
      <c r="A10" s="661" t="s">
        <v>517</v>
      </c>
      <c r="B10" s="662" t="s">
        <v>1444</v>
      </c>
      <c r="C10" s="662" t="s">
        <v>1098</v>
      </c>
      <c r="D10" s="662" t="s">
        <v>1099</v>
      </c>
      <c r="E10" s="662" t="s">
        <v>1445</v>
      </c>
      <c r="F10" s="665"/>
      <c r="G10" s="665"/>
      <c r="H10" s="686">
        <v>0</v>
      </c>
      <c r="I10" s="665">
        <v>1</v>
      </c>
      <c r="J10" s="665">
        <v>98.65</v>
      </c>
      <c r="K10" s="686">
        <v>1</v>
      </c>
      <c r="L10" s="665">
        <v>1</v>
      </c>
      <c r="M10" s="666">
        <v>98.65</v>
      </c>
    </row>
    <row r="11" spans="1:13" ht="14.4" customHeight="1" x14ac:dyDescent="0.3">
      <c r="A11" s="661" t="s">
        <v>517</v>
      </c>
      <c r="B11" s="662" t="s">
        <v>1446</v>
      </c>
      <c r="C11" s="662" t="s">
        <v>1139</v>
      </c>
      <c r="D11" s="662" t="s">
        <v>1140</v>
      </c>
      <c r="E11" s="662" t="s">
        <v>1447</v>
      </c>
      <c r="F11" s="665"/>
      <c r="G11" s="665"/>
      <c r="H11" s="686">
        <v>0</v>
      </c>
      <c r="I11" s="665">
        <v>8</v>
      </c>
      <c r="J11" s="665">
        <v>26400</v>
      </c>
      <c r="K11" s="686">
        <v>1</v>
      </c>
      <c r="L11" s="665">
        <v>8</v>
      </c>
      <c r="M11" s="666">
        <v>26400</v>
      </c>
    </row>
    <row r="12" spans="1:13" ht="14.4" customHeight="1" x14ac:dyDescent="0.3">
      <c r="A12" s="661" t="s">
        <v>517</v>
      </c>
      <c r="B12" s="662" t="s">
        <v>1448</v>
      </c>
      <c r="C12" s="662" t="s">
        <v>548</v>
      </c>
      <c r="D12" s="662" t="s">
        <v>1449</v>
      </c>
      <c r="E12" s="662" t="s">
        <v>1450</v>
      </c>
      <c r="F12" s="665">
        <v>1</v>
      </c>
      <c r="G12" s="665">
        <v>75.040000000000006</v>
      </c>
      <c r="H12" s="686">
        <v>1</v>
      </c>
      <c r="I12" s="665"/>
      <c r="J12" s="665"/>
      <c r="K12" s="686">
        <v>0</v>
      </c>
      <c r="L12" s="665">
        <v>1</v>
      </c>
      <c r="M12" s="666">
        <v>75.040000000000006</v>
      </c>
    </row>
    <row r="13" spans="1:13" ht="14.4" customHeight="1" x14ac:dyDescent="0.3">
      <c r="A13" s="661" t="s">
        <v>517</v>
      </c>
      <c r="B13" s="662" t="s">
        <v>1451</v>
      </c>
      <c r="C13" s="662" t="s">
        <v>1130</v>
      </c>
      <c r="D13" s="662" t="s">
        <v>1452</v>
      </c>
      <c r="E13" s="662" t="s">
        <v>1453</v>
      </c>
      <c r="F13" s="665"/>
      <c r="G13" s="665"/>
      <c r="H13" s="686">
        <v>0</v>
      </c>
      <c r="I13" s="665">
        <v>9</v>
      </c>
      <c r="J13" s="665">
        <v>289500.85004761524</v>
      </c>
      <c r="K13" s="686">
        <v>1</v>
      </c>
      <c r="L13" s="665">
        <v>9</v>
      </c>
      <c r="M13" s="666">
        <v>289500.85004761524</v>
      </c>
    </row>
    <row r="14" spans="1:13" ht="14.4" customHeight="1" x14ac:dyDescent="0.3">
      <c r="A14" s="661" t="s">
        <v>517</v>
      </c>
      <c r="B14" s="662" t="s">
        <v>1454</v>
      </c>
      <c r="C14" s="662" t="s">
        <v>1084</v>
      </c>
      <c r="D14" s="662" t="s">
        <v>1064</v>
      </c>
      <c r="E14" s="662" t="s">
        <v>1455</v>
      </c>
      <c r="F14" s="665"/>
      <c r="G14" s="665"/>
      <c r="H14" s="686">
        <v>0</v>
      </c>
      <c r="I14" s="665">
        <v>65</v>
      </c>
      <c r="J14" s="665">
        <v>8406.4500000000025</v>
      </c>
      <c r="K14" s="686">
        <v>1</v>
      </c>
      <c r="L14" s="665">
        <v>65</v>
      </c>
      <c r="M14" s="666">
        <v>8406.4500000000025</v>
      </c>
    </row>
    <row r="15" spans="1:13" ht="14.4" customHeight="1" x14ac:dyDescent="0.3">
      <c r="A15" s="661" t="s">
        <v>517</v>
      </c>
      <c r="B15" s="662" t="s">
        <v>1454</v>
      </c>
      <c r="C15" s="662" t="s">
        <v>1063</v>
      </c>
      <c r="D15" s="662" t="s">
        <v>1064</v>
      </c>
      <c r="E15" s="662" t="s">
        <v>1456</v>
      </c>
      <c r="F15" s="665"/>
      <c r="G15" s="665"/>
      <c r="H15" s="686">
        <v>0</v>
      </c>
      <c r="I15" s="665">
        <v>1</v>
      </c>
      <c r="J15" s="665">
        <v>45.189999999999991</v>
      </c>
      <c r="K15" s="686">
        <v>1</v>
      </c>
      <c r="L15" s="665">
        <v>1</v>
      </c>
      <c r="M15" s="666">
        <v>45.189999999999991</v>
      </c>
    </row>
    <row r="16" spans="1:13" ht="14.4" customHeight="1" x14ac:dyDescent="0.3">
      <c r="A16" s="661" t="s">
        <v>517</v>
      </c>
      <c r="B16" s="662" t="s">
        <v>1457</v>
      </c>
      <c r="C16" s="662" t="s">
        <v>1067</v>
      </c>
      <c r="D16" s="662" t="s">
        <v>1068</v>
      </c>
      <c r="E16" s="662" t="s">
        <v>1458</v>
      </c>
      <c r="F16" s="665"/>
      <c r="G16" s="665"/>
      <c r="H16" s="686">
        <v>0</v>
      </c>
      <c r="I16" s="665">
        <v>2</v>
      </c>
      <c r="J16" s="665">
        <v>73.240000000000009</v>
      </c>
      <c r="K16" s="686">
        <v>1</v>
      </c>
      <c r="L16" s="665">
        <v>2</v>
      </c>
      <c r="M16" s="666">
        <v>73.240000000000009</v>
      </c>
    </row>
    <row r="17" spans="1:13" ht="14.4" customHeight="1" x14ac:dyDescent="0.3">
      <c r="A17" s="661" t="s">
        <v>517</v>
      </c>
      <c r="B17" s="662" t="s">
        <v>1459</v>
      </c>
      <c r="C17" s="662" t="s">
        <v>1087</v>
      </c>
      <c r="D17" s="662" t="s">
        <v>1088</v>
      </c>
      <c r="E17" s="662" t="s">
        <v>1460</v>
      </c>
      <c r="F17" s="665"/>
      <c r="G17" s="665"/>
      <c r="H17" s="686">
        <v>0</v>
      </c>
      <c r="I17" s="665">
        <v>1</v>
      </c>
      <c r="J17" s="665">
        <v>24.93000000000001</v>
      </c>
      <c r="K17" s="686">
        <v>1</v>
      </c>
      <c r="L17" s="665">
        <v>1</v>
      </c>
      <c r="M17" s="666">
        <v>24.93000000000001</v>
      </c>
    </row>
    <row r="18" spans="1:13" ht="14.4" customHeight="1" x14ac:dyDescent="0.3">
      <c r="A18" s="661" t="s">
        <v>517</v>
      </c>
      <c r="B18" s="662" t="s">
        <v>1461</v>
      </c>
      <c r="C18" s="662" t="s">
        <v>1078</v>
      </c>
      <c r="D18" s="662" t="s">
        <v>1079</v>
      </c>
      <c r="E18" s="662" t="s">
        <v>1458</v>
      </c>
      <c r="F18" s="665"/>
      <c r="G18" s="665"/>
      <c r="H18" s="686">
        <v>0</v>
      </c>
      <c r="I18" s="665">
        <v>1</v>
      </c>
      <c r="J18" s="665">
        <v>86.679999999999993</v>
      </c>
      <c r="K18" s="686">
        <v>1</v>
      </c>
      <c r="L18" s="665">
        <v>1</v>
      </c>
      <c r="M18" s="666">
        <v>86.679999999999993</v>
      </c>
    </row>
    <row r="19" spans="1:13" ht="14.4" customHeight="1" x14ac:dyDescent="0.3">
      <c r="A19" s="661" t="s">
        <v>517</v>
      </c>
      <c r="B19" s="662" t="s">
        <v>1462</v>
      </c>
      <c r="C19" s="662" t="s">
        <v>558</v>
      </c>
      <c r="D19" s="662" t="s">
        <v>559</v>
      </c>
      <c r="E19" s="662" t="s">
        <v>1463</v>
      </c>
      <c r="F19" s="665">
        <v>3</v>
      </c>
      <c r="G19" s="665">
        <v>325.64999999999986</v>
      </c>
      <c r="H19" s="686">
        <v>1</v>
      </c>
      <c r="I19" s="665"/>
      <c r="J19" s="665"/>
      <c r="K19" s="686">
        <v>0</v>
      </c>
      <c r="L19" s="665">
        <v>3</v>
      </c>
      <c r="M19" s="666">
        <v>325.64999999999986</v>
      </c>
    </row>
    <row r="20" spans="1:13" ht="14.4" customHeight="1" x14ac:dyDescent="0.3">
      <c r="A20" s="661" t="s">
        <v>517</v>
      </c>
      <c r="B20" s="662" t="s">
        <v>1464</v>
      </c>
      <c r="C20" s="662" t="s">
        <v>1081</v>
      </c>
      <c r="D20" s="662" t="s">
        <v>1465</v>
      </c>
      <c r="E20" s="662" t="s">
        <v>1466</v>
      </c>
      <c r="F20" s="665"/>
      <c r="G20" s="665"/>
      <c r="H20" s="686">
        <v>0</v>
      </c>
      <c r="I20" s="665">
        <v>1</v>
      </c>
      <c r="J20" s="665">
        <v>116.84129139773816</v>
      </c>
      <c r="K20" s="686">
        <v>1</v>
      </c>
      <c r="L20" s="665">
        <v>1</v>
      </c>
      <c r="M20" s="666">
        <v>116.84129139773816</v>
      </c>
    </row>
    <row r="21" spans="1:13" ht="14.4" customHeight="1" x14ac:dyDescent="0.3">
      <c r="A21" s="661" t="s">
        <v>517</v>
      </c>
      <c r="B21" s="662" t="s">
        <v>1467</v>
      </c>
      <c r="C21" s="662" t="s">
        <v>1106</v>
      </c>
      <c r="D21" s="662" t="s">
        <v>1468</v>
      </c>
      <c r="E21" s="662" t="s">
        <v>1469</v>
      </c>
      <c r="F21" s="665"/>
      <c r="G21" s="665"/>
      <c r="H21" s="686">
        <v>0</v>
      </c>
      <c r="I21" s="665">
        <v>31</v>
      </c>
      <c r="J21" s="665">
        <v>42625</v>
      </c>
      <c r="K21" s="686">
        <v>1</v>
      </c>
      <c r="L21" s="665">
        <v>31</v>
      </c>
      <c r="M21" s="666">
        <v>42625</v>
      </c>
    </row>
    <row r="22" spans="1:13" ht="14.4" customHeight="1" x14ac:dyDescent="0.3">
      <c r="A22" s="661" t="s">
        <v>517</v>
      </c>
      <c r="B22" s="662" t="s">
        <v>1470</v>
      </c>
      <c r="C22" s="662" t="s">
        <v>1095</v>
      </c>
      <c r="D22" s="662" t="s">
        <v>1060</v>
      </c>
      <c r="E22" s="662" t="s">
        <v>1471</v>
      </c>
      <c r="F22" s="665"/>
      <c r="G22" s="665"/>
      <c r="H22" s="686">
        <v>0</v>
      </c>
      <c r="I22" s="665">
        <v>1</v>
      </c>
      <c r="J22" s="665">
        <v>143.47000000000003</v>
      </c>
      <c r="K22" s="686">
        <v>1</v>
      </c>
      <c r="L22" s="665">
        <v>1</v>
      </c>
      <c r="M22" s="666">
        <v>143.47000000000003</v>
      </c>
    </row>
    <row r="23" spans="1:13" ht="14.4" customHeight="1" x14ac:dyDescent="0.3">
      <c r="A23" s="661" t="s">
        <v>517</v>
      </c>
      <c r="B23" s="662" t="s">
        <v>1470</v>
      </c>
      <c r="C23" s="662" t="s">
        <v>1059</v>
      </c>
      <c r="D23" s="662" t="s">
        <v>1060</v>
      </c>
      <c r="E23" s="662" t="s">
        <v>1472</v>
      </c>
      <c r="F23" s="665"/>
      <c r="G23" s="665"/>
      <c r="H23" s="686">
        <v>0</v>
      </c>
      <c r="I23" s="665">
        <v>4</v>
      </c>
      <c r="J23" s="665">
        <v>138.99597350811172</v>
      </c>
      <c r="K23" s="686">
        <v>1</v>
      </c>
      <c r="L23" s="665">
        <v>4</v>
      </c>
      <c r="M23" s="666">
        <v>138.99597350811172</v>
      </c>
    </row>
    <row r="24" spans="1:13" ht="14.4" customHeight="1" x14ac:dyDescent="0.3">
      <c r="A24" s="661" t="s">
        <v>517</v>
      </c>
      <c r="B24" s="662" t="s">
        <v>1473</v>
      </c>
      <c r="C24" s="662" t="s">
        <v>1145</v>
      </c>
      <c r="D24" s="662" t="s">
        <v>1146</v>
      </c>
      <c r="E24" s="662" t="s">
        <v>1474</v>
      </c>
      <c r="F24" s="665"/>
      <c r="G24" s="665"/>
      <c r="H24" s="686">
        <v>0</v>
      </c>
      <c r="I24" s="665">
        <v>1</v>
      </c>
      <c r="J24" s="665">
        <v>63.109999999999957</v>
      </c>
      <c r="K24" s="686">
        <v>1</v>
      </c>
      <c r="L24" s="665">
        <v>1</v>
      </c>
      <c r="M24" s="666">
        <v>63.109999999999957</v>
      </c>
    </row>
    <row r="25" spans="1:13" ht="14.4" customHeight="1" x14ac:dyDescent="0.3">
      <c r="A25" s="661" t="s">
        <v>517</v>
      </c>
      <c r="B25" s="662" t="s">
        <v>1475</v>
      </c>
      <c r="C25" s="662" t="s">
        <v>1305</v>
      </c>
      <c r="D25" s="662" t="s">
        <v>1476</v>
      </c>
      <c r="E25" s="662" t="s">
        <v>1477</v>
      </c>
      <c r="F25" s="665"/>
      <c r="G25" s="665"/>
      <c r="H25" s="686">
        <v>0</v>
      </c>
      <c r="I25" s="665">
        <v>40</v>
      </c>
      <c r="J25" s="665">
        <v>496518.00262560329</v>
      </c>
      <c r="K25" s="686">
        <v>1</v>
      </c>
      <c r="L25" s="665">
        <v>40</v>
      </c>
      <c r="M25" s="666">
        <v>496518.00262560329</v>
      </c>
    </row>
    <row r="26" spans="1:13" ht="14.4" customHeight="1" x14ac:dyDescent="0.3">
      <c r="A26" s="661" t="s">
        <v>517</v>
      </c>
      <c r="B26" s="662" t="s">
        <v>1478</v>
      </c>
      <c r="C26" s="662" t="s">
        <v>1225</v>
      </c>
      <c r="D26" s="662" t="s">
        <v>1479</v>
      </c>
      <c r="E26" s="662" t="s">
        <v>1480</v>
      </c>
      <c r="F26" s="665">
        <v>1</v>
      </c>
      <c r="G26" s="665">
        <v>316.02999999999997</v>
      </c>
      <c r="H26" s="686">
        <v>1</v>
      </c>
      <c r="I26" s="665"/>
      <c r="J26" s="665"/>
      <c r="K26" s="686">
        <v>0</v>
      </c>
      <c r="L26" s="665">
        <v>1</v>
      </c>
      <c r="M26" s="666">
        <v>316.02999999999997</v>
      </c>
    </row>
    <row r="27" spans="1:13" ht="14.4" customHeight="1" x14ac:dyDescent="0.3">
      <c r="A27" s="661" t="s">
        <v>517</v>
      </c>
      <c r="B27" s="662" t="s">
        <v>1481</v>
      </c>
      <c r="C27" s="662" t="s">
        <v>1313</v>
      </c>
      <c r="D27" s="662" t="s">
        <v>1482</v>
      </c>
      <c r="E27" s="662" t="s">
        <v>1483</v>
      </c>
      <c r="F27" s="665"/>
      <c r="G27" s="665"/>
      <c r="H27" s="686">
        <v>0</v>
      </c>
      <c r="I27" s="665">
        <v>35.6</v>
      </c>
      <c r="J27" s="665">
        <v>33951.72</v>
      </c>
      <c r="K27" s="686">
        <v>1</v>
      </c>
      <c r="L27" s="665">
        <v>35.6</v>
      </c>
      <c r="M27" s="666">
        <v>33951.72</v>
      </c>
    </row>
    <row r="28" spans="1:13" ht="14.4" customHeight="1" x14ac:dyDescent="0.3">
      <c r="A28" s="661" t="s">
        <v>517</v>
      </c>
      <c r="B28" s="662" t="s">
        <v>1484</v>
      </c>
      <c r="C28" s="662" t="s">
        <v>1297</v>
      </c>
      <c r="D28" s="662" t="s">
        <v>1485</v>
      </c>
      <c r="E28" s="662" t="s">
        <v>1486</v>
      </c>
      <c r="F28" s="665"/>
      <c r="G28" s="665"/>
      <c r="H28" s="686">
        <v>0</v>
      </c>
      <c r="I28" s="665">
        <v>0.5</v>
      </c>
      <c r="J28" s="665">
        <v>162.05000000000001</v>
      </c>
      <c r="K28" s="686">
        <v>1</v>
      </c>
      <c r="L28" s="665">
        <v>0.5</v>
      </c>
      <c r="M28" s="666">
        <v>162.05000000000001</v>
      </c>
    </row>
    <row r="29" spans="1:13" ht="14.4" customHeight="1" x14ac:dyDescent="0.3">
      <c r="A29" s="661" t="s">
        <v>517</v>
      </c>
      <c r="B29" s="662" t="s">
        <v>1487</v>
      </c>
      <c r="C29" s="662" t="s">
        <v>1308</v>
      </c>
      <c r="D29" s="662" t="s">
        <v>1488</v>
      </c>
      <c r="E29" s="662" t="s">
        <v>1489</v>
      </c>
      <c r="F29" s="665"/>
      <c r="G29" s="665"/>
      <c r="H29" s="686">
        <v>0</v>
      </c>
      <c r="I29" s="665">
        <v>10</v>
      </c>
      <c r="J29" s="665">
        <v>346.59999999999997</v>
      </c>
      <c r="K29" s="686">
        <v>1</v>
      </c>
      <c r="L29" s="665">
        <v>10</v>
      </c>
      <c r="M29" s="666">
        <v>346.59999999999997</v>
      </c>
    </row>
    <row r="30" spans="1:13" ht="14.4" customHeight="1" x14ac:dyDescent="0.3">
      <c r="A30" s="661" t="s">
        <v>517</v>
      </c>
      <c r="B30" s="662" t="s">
        <v>1487</v>
      </c>
      <c r="C30" s="662" t="s">
        <v>1310</v>
      </c>
      <c r="D30" s="662" t="s">
        <v>1488</v>
      </c>
      <c r="E30" s="662" t="s">
        <v>1490</v>
      </c>
      <c r="F30" s="665"/>
      <c r="G30" s="665"/>
      <c r="H30" s="686">
        <v>0</v>
      </c>
      <c r="I30" s="665">
        <v>10</v>
      </c>
      <c r="J30" s="665">
        <v>560.99999999999989</v>
      </c>
      <c r="K30" s="686">
        <v>1</v>
      </c>
      <c r="L30" s="665">
        <v>10</v>
      </c>
      <c r="M30" s="666">
        <v>560.99999999999989</v>
      </c>
    </row>
    <row r="31" spans="1:13" ht="14.4" customHeight="1" x14ac:dyDescent="0.3">
      <c r="A31" s="661" t="s">
        <v>517</v>
      </c>
      <c r="B31" s="662" t="s">
        <v>1491</v>
      </c>
      <c r="C31" s="662" t="s">
        <v>1301</v>
      </c>
      <c r="D31" s="662" t="s">
        <v>1492</v>
      </c>
      <c r="E31" s="662" t="s">
        <v>1493</v>
      </c>
      <c r="F31" s="665"/>
      <c r="G31" s="665"/>
      <c r="H31" s="686">
        <v>0</v>
      </c>
      <c r="I31" s="665">
        <v>465</v>
      </c>
      <c r="J31" s="665">
        <v>13642.655537135444</v>
      </c>
      <c r="K31" s="686">
        <v>1</v>
      </c>
      <c r="L31" s="665">
        <v>465</v>
      </c>
      <c r="M31" s="666">
        <v>13642.655537135444</v>
      </c>
    </row>
    <row r="32" spans="1:13" ht="14.4" customHeight="1" x14ac:dyDescent="0.3">
      <c r="A32" s="661" t="s">
        <v>517</v>
      </c>
      <c r="B32" s="662" t="s">
        <v>1494</v>
      </c>
      <c r="C32" s="662" t="s">
        <v>1328</v>
      </c>
      <c r="D32" s="662" t="s">
        <v>1495</v>
      </c>
      <c r="E32" s="662" t="s">
        <v>1496</v>
      </c>
      <c r="F32" s="665"/>
      <c r="G32" s="665"/>
      <c r="H32" s="686">
        <v>0</v>
      </c>
      <c r="I32" s="665">
        <v>10.5</v>
      </c>
      <c r="J32" s="665">
        <v>1674.75</v>
      </c>
      <c r="K32" s="686">
        <v>1</v>
      </c>
      <c r="L32" s="665">
        <v>10.5</v>
      </c>
      <c r="M32" s="666">
        <v>1674.75</v>
      </c>
    </row>
    <row r="33" spans="1:13" ht="14.4" customHeight="1" x14ac:dyDescent="0.3">
      <c r="A33" s="661" t="s">
        <v>517</v>
      </c>
      <c r="B33" s="662" t="s">
        <v>1494</v>
      </c>
      <c r="C33" s="662" t="s">
        <v>1331</v>
      </c>
      <c r="D33" s="662" t="s">
        <v>1495</v>
      </c>
      <c r="E33" s="662" t="s">
        <v>1497</v>
      </c>
      <c r="F33" s="665"/>
      <c r="G33" s="665"/>
      <c r="H33" s="686">
        <v>0</v>
      </c>
      <c r="I33" s="665">
        <v>11.9</v>
      </c>
      <c r="J33" s="665">
        <v>3665.2</v>
      </c>
      <c r="K33" s="686">
        <v>1</v>
      </c>
      <c r="L33" s="665">
        <v>11.9</v>
      </c>
      <c r="M33" s="666">
        <v>3665.2</v>
      </c>
    </row>
    <row r="34" spans="1:13" ht="14.4" customHeight="1" x14ac:dyDescent="0.3">
      <c r="A34" s="661" t="s">
        <v>517</v>
      </c>
      <c r="B34" s="662" t="s">
        <v>1498</v>
      </c>
      <c r="C34" s="662" t="s">
        <v>1333</v>
      </c>
      <c r="D34" s="662" t="s">
        <v>1499</v>
      </c>
      <c r="E34" s="662" t="s">
        <v>1500</v>
      </c>
      <c r="F34" s="665"/>
      <c r="G34" s="665"/>
      <c r="H34" s="686">
        <v>0</v>
      </c>
      <c r="I34" s="665">
        <v>30</v>
      </c>
      <c r="J34" s="665">
        <v>14803.8</v>
      </c>
      <c r="K34" s="686">
        <v>1</v>
      </c>
      <c r="L34" s="665">
        <v>30</v>
      </c>
      <c r="M34" s="666">
        <v>14803.8</v>
      </c>
    </row>
    <row r="35" spans="1:13" ht="14.4" customHeight="1" x14ac:dyDescent="0.3">
      <c r="A35" s="661" t="s">
        <v>517</v>
      </c>
      <c r="B35" s="662" t="s">
        <v>1501</v>
      </c>
      <c r="C35" s="662" t="s">
        <v>554</v>
      </c>
      <c r="D35" s="662" t="s">
        <v>555</v>
      </c>
      <c r="E35" s="662" t="s">
        <v>1502</v>
      </c>
      <c r="F35" s="665">
        <v>1</v>
      </c>
      <c r="G35" s="665">
        <v>103.31999999999998</v>
      </c>
      <c r="H35" s="686">
        <v>1</v>
      </c>
      <c r="I35" s="665"/>
      <c r="J35" s="665"/>
      <c r="K35" s="686">
        <v>0</v>
      </c>
      <c r="L35" s="665">
        <v>1</v>
      </c>
      <c r="M35" s="666">
        <v>103.31999999999998</v>
      </c>
    </row>
    <row r="36" spans="1:13" ht="14.4" customHeight="1" x14ac:dyDescent="0.3">
      <c r="A36" s="661" t="s">
        <v>517</v>
      </c>
      <c r="B36" s="662" t="s">
        <v>1503</v>
      </c>
      <c r="C36" s="662" t="s">
        <v>1114</v>
      </c>
      <c r="D36" s="662" t="s">
        <v>1504</v>
      </c>
      <c r="E36" s="662" t="s">
        <v>1505</v>
      </c>
      <c r="F36" s="665"/>
      <c r="G36" s="665"/>
      <c r="H36" s="686">
        <v>0</v>
      </c>
      <c r="I36" s="665">
        <v>20</v>
      </c>
      <c r="J36" s="665">
        <v>13708.007832337245</v>
      </c>
      <c r="K36" s="686">
        <v>1</v>
      </c>
      <c r="L36" s="665">
        <v>20</v>
      </c>
      <c r="M36" s="666">
        <v>13708.007832337245</v>
      </c>
    </row>
    <row r="37" spans="1:13" ht="14.4" customHeight="1" x14ac:dyDescent="0.3">
      <c r="A37" s="661" t="s">
        <v>517</v>
      </c>
      <c r="B37" s="662" t="s">
        <v>1503</v>
      </c>
      <c r="C37" s="662" t="s">
        <v>532</v>
      </c>
      <c r="D37" s="662" t="s">
        <v>1506</v>
      </c>
      <c r="E37" s="662" t="s">
        <v>1507</v>
      </c>
      <c r="F37" s="665">
        <v>20</v>
      </c>
      <c r="G37" s="665">
        <v>2878.88</v>
      </c>
      <c r="H37" s="686">
        <v>1</v>
      </c>
      <c r="I37" s="665"/>
      <c r="J37" s="665"/>
      <c r="K37" s="686">
        <v>0</v>
      </c>
      <c r="L37" s="665">
        <v>20</v>
      </c>
      <c r="M37" s="666">
        <v>2878.88</v>
      </c>
    </row>
    <row r="38" spans="1:13" ht="14.4" customHeight="1" x14ac:dyDescent="0.3">
      <c r="A38" s="661" t="s">
        <v>517</v>
      </c>
      <c r="B38" s="662" t="s">
        <v>1508</v>
      </c>
      <c r="C38" s="662" t="s">
        <v>1148</v>
      </c>
      <c r="D38" s="662" t="s">
        <v>1509</v>
      </c>
      <c r="E38" s="662" t="s">
        <v>1510</v>
      </c>
      <c r="F38" s="665"/>
      <c r="G38" s="665"/>
      <c r="H38" s="686">
        <v>0</v>
      </c>
      <c r="I38" s="665">
        <v>5</v>
      </c>
      <c r="J38" s="665">
        <v>2805.0000000000005</v>
      </c>
      <c r="K38" s="686">
        <v>1</v>
      </c>
      <c r="L38" s="665">
        <v>5</v>
      </c>
      <c r="M38" s="666">
        <v>2805.0000000000005</v>
      </c>
    </row>
    <row r="39" spans="1:13" ht="14.4" customHeight="1" x14ac:dyDescent="0.3">
      <c r="A39" s="661" t="s">
        <v>517</v>
      </c>
      <c r="B39" s="662" t="s">
        <v>1508</v>
      </c>
      <c r="C39" s="662" t="s">
        <v>1133</v>
      </c>
      <c r="D39" s="662" t="s">
        <v>1509</v>
      </c>
      <c r="E39" s="662" t="s">
        <v>1511</v>
      </c>
      <c r="F39" s="665"/>
      <c r="G39" s="665"/>
      <c r="H39" s="686">
        <v>0</v>
      </c>
      <c r="I39" s="665">
        <v>3</v>
      </c>
      <c r="J39" s="665">
        <v>330</v>
      </c>
      <c r="K39" s="686">
        <v>1</v>
      </c>
      <c r="L39" s="665">
        <v>3</v>
      </c>
      <c r="M39" s="666">
        <v>330</v>
      </c>
    </row>
    <row r="40" spans="1:13" ht="14.4" customHeight="1" x14ac:dyDescent="0.3">
      <c r="A40" s="661" t="s">
        <v>517</v>
      </c>
      <c r="B40" s="662" t="s">
        <v>1508</v>
      </c>
      <c r="C40" s="662" t="s">
        <v>1158</v>
      </c>
      <c r="D40" s="662" t="s">
        <v>1509</v>
      </c>
      <c r="E40" s="662" t="s">
        <v>1512</v>
      </c>
      <c r="F40" s="665"/>
      <c r="G40" s="665"/>
      <c r="H40" s="686">
        <v>0</v>
      </c>
      <c r="I40" s="665">
        <v>8</v>
      </c>
      <c r="J40" s="665">
        <v>6283.1999999999989</v>
      </c>
      <c r="K40" s="686">
        <v>1</v>
      </c>
      <c r="L40" s="665">
        <v>8</v>
      </c>
      <c r="M40" s="666">
        <v>6283.1999999999989</v>
      </c>
    </row>
    <row r="41" spans="1:13" ht="14.4" customHeight="1" x14ac:dyDescent="0.3">
      <c r="A41" s="661" t="s">
        <v>517</v>
      </c>
      <c r="B41" s="662" t="s">
        <v>1513</v>
      </c>
      <c r="C41" s="662" t="s">
        <v>1071</v>
      </c>
      <c r="D41" s="662" t="s">
        <v>1514</v>
      </c>
      <c r="E41" s="662" t="s">
        <v>1515</v>
      </c>
      <c r="F41" s="665"/>
      <c r="G41" s="665"/>
      <c r="H41" s="686">
        <v>0</v>
      </c>
      <c r="I41" s="665">
        <v>1</v>
      </c>
      <c r="J41" s="665">
        <v>44.590419624676365</v>
      </c>
      <c r="K41" s="686">
        <v>1</v>
      </c>
      <c r="L41" s="665">
        <v>1</v>
      </c>
      <c r="M41" s="666">
        <v>44.590419624676365</v>
      </c>
    </row>
    <row r="42" spans="1:13" ht="14.4" customHeight="1" x14ac:dyDescent="0.3">
      <c r="A42" s="661" t="s">
        <v>517</v>
      </c>
      <c r="B42" s="662" t="s">
        <v>1513</v>
      </c>
      <c r="C42" s="662" t="s">
        <v>1055</v>
      </c>
      <c r="D42" s="662" t="s">
        <v>1516</v>
      </c>
      <c r="E42" s="662" t="s">
        <v>1517</v>
      </c>
      <c r="F42" s="665"/>
      <c r="G42" s="665"/>
      <c r="H42" s="686">
        <v>0</v>
      </c>
      <c r="I42" s="665">
        <v>30</v>
      </c>
      <c r="J42" s="665">
        <v>1706.399947748725</v>
      </c>
      <c r="K42" s="686">
        <v>1</v>
      </c>
      <c r="L42" s="665">
        <v>30</v>
      </c>
      <c r="M42" s="666">
        <v>1706.399947748725</v>
      </c>
    </row>
    <row r="43" spans="1:13" ht="14.4" customHeight="1" x14ac:dyDescent="0.3">
      <c r="A43" s="661" t="s">
        <v>517</v>
      </c>
      <c r="B43" s="662" t="s">
        <v>1518</v>
      </c>
      <c r="C43" s="662" t="s">
        <v>1110</v>
      </c>
      <c r="D43" s="662" t="s">
        <v>1519</v>
      </c>
      <c r="E43" s="662" t="s">
        <v>1520</v>
      </c>
      <c r="F43" s="665"/>
      <c r="G43" s="665"/>
      <c r="H43" s="686">
        <v>0</v>
      </c>
      <c r="I43" s="665">
        <v>6</v>
      </c>
      <c r="J43" s="665">
        <v>1950.9599999999998</v>
      </c>
      <c r="K43" s="686">
        <v>1</v>
      </c>
      <c r="L43" s="665">
        <v>6</v>
      </c>
      <c r="M43" s="666">
        <v>1950.9599999999998</v>
      </c>
    </row>
    <row r="44" spans="1:13" ht="14.4" customHeight="1" x14ac:dyDescent="0.3">
      <c r="A44" s="661" t="s">
        <v>517</v>
      </c>
      <c r="B44" s="662" t="s">
        <v>1521</v>
      </c>
      <c r="C44" s="662" t="s">
        <v>1118</v>
      </c>
      <c r="D44" s="662" t="s">
        <v>1119</v>
      </c>
      <c r="E44" s="662" t="s">
        <v>1522</v>
      </c>
      <c r="F44" s="665"/>
      <c r="G44" s="665"/>
      <c r="H44" s="686">
        <v>0</v>
      </c>
      <c r="I44" s="665">
        <v>6</v>
      </c>
      <c r="J44" s="665">
        <v>5761.5000000000009</v>
      </c>
      <c r="K44" s="686">
        <v>1</v>
      </c>
      <c r="L44" s="665">
        <v>6</v>
      </c>
      <c r="M44" s="666">
        <v>5761.5000000000009</v>
      </c>
    </row>
    <row r="45" spans="1:13" ht="14.4" customHeight="1" x14ac:dyDescent="0.3">
      <c r="A45" s="661" t="s">
        <v>517</v>
      </c>
      <c r="B45" s="662" t="s">
        <v>1523</v>
      </c>
      <c r="C45" s="662" t="s">
        <v>528</v>
      </c>
      <c r="D45" s="662" t="s">
        <v>1524</v>
      </c>
      <c r="E45" s="662" t="s">
        <v>1525</v>
      </c>
      <c r="F45" s="665">
        <v>1</v>
      </c>
      <c r="G45" s="665">
        <v>107.45000000000003</v>
      </c>
      <c r="H45" s="686">
        <v>1</v>
      </c>
      <c r="I45" s="665"/>
      <c r="J45" s="665"/>
      <c r="K45" s="686">
        <v>0</v>
      </c>
      <c r="L45" s="665">
        <v>1</v>
      </c>
      <c r="M45" s="666">
        <v>107.45000000000003</v>
      </c>
    </row>
    <row r="46" spans="1:13" ht="14.4" customHeight="1" x14ac:dyDescent="0.3">
      <c r="A46" s="661" t="s">
        <v>517</v>
      </c>
      <c r="B46" s="662" t="s">
        <v>1523</v>
      </c>
      <c r="C46" s="662" t="s">
        <v>540</v>
      </c>
      <c r="D46" s="662" t="s">
        <v>1524</v>
      </c>
      <c r="E46" s="662" t="s">
        <v>1526</v>
      </c>
      <c r="F46" s="665">
        <v>1</v>
      </c>
      <c r="G46" s="665">
        <v>465.10999999999996</v>
      </c>
      <c r="H46" s="686">
        <v>1</v>
      </c>
      <c r="I46" s="665"/>
      <c r="J46" s="665"/>
      <c r="K46" s="686">
        <v>0</v>
      </c>
      <c r="L46" s="665">
        <v>1</v>
      </c>
      <c r="M46" s="666">
        <v>465.10999999999996</v>
      </c>
    </row>
    <row r="47" spans="1:13" ht="14.4" customHeight="1" x14ac:dyDescent="0.3">
      <c r="A47" s="661" t="s">
        <v>517</v>
      </c>
      <c r="B47" s="662" t="s">
        <v>1523</v>
      </c>
      <c r="C47" s="662" t="s">
        <v>524</v>
      </c>
      <c r="D47" s="662" t="s">
        <v>1524</v>
      </c>
      <c r="E47" s="662" t="s">
        <v>1527</v>
      </c>
      <c r="F47" s="665">
        <v>2</v>
      </c>
      <c r="G47" s="665">
        <v>507.2200000000002</v>
      </c>
      <c r="H47" s="686">
        <v>1</v>
      </c>
      <c r="I47" s="665"/>
      <c r="J47" s="665"/>
      <c r="K47" s="686">
        <v>0</v>
      </c>
      <c r="L47" s="665">
        <v>2</v>
      </c>
      <c r="M47" s="666">
        <v>507.2200000000002</v>
      </c>
    </row>
    <row r="48" spans="1:13" ht="14.4" customHeight="1" x14ac:dyDescent="0.3">
      <c r="A48" s="661" t="s">
        <v>517</v>
      </c>
      <c r="B48" s="662" t="s">
        <v>1528</v>
      </c>
      <c r="C48" s="662" t="s">
        <v>1151</v>
      </c>
      <c r="D48" s="662" t="s">
        <v>1529</v>
      </c>
      <c r="E48" s="662" t="s">
        <v>1530</v>
      </c>
      <c r="F48" s="665"/>
      <c r="G48" s="665"/>
      <c r="H48" s="686">
        <v>0</v>
      </c>
      <c r="I48" s="665">
        <v>2</v>
      </c>
      <c r="J48" s="665">
        <v>98.74</v>
      </c>
      <c r="K48" s="686">
        <v>1</v>
      </c>
      <c r="L48" s="665">
        <v>2</v>
      </c>
      <c r="M48" s="666">
        <v>98.74</v>
      </c>
    </row>
    <row r="49" spans="1:13" ht="14.4" customHeight="1" x14ac:dyDescent="0.3">
      <c r="A49" s="661" t="s">
        <v>517</v>
      </c>
      <c r="B49" s="662" t="s">
        <v>1528</v>
      </c>
      <c r="C49" s="662" t="s">
        <v>1154</v>
      </c>
      <c r="D49" s="662" t="s">
        <v>1529</v>
      </c>
      <c r="E49" s="662" t="s">
        <v>1531</v>
      </c>
      <c r="F49" s="665"/>
      <c r="G49" s="665"/>
      <c r="H49" s="686">
        <v>0</v>
      </c>
      <c r="I49" s="665">
        <v>1</v>
      </c>
      <c r="J49" s="665">
        <v>67.320124071830293</v>
      </c>
      <c r="K49" s="686">
        <v>1</v>
      </c>
      <c r="L49" s="665">
        <v>1</v>
      </c>
      <c r="M49" s="666">
        <v>67.320124071830293</v>
      </c>
    </row>
    <row r="50" spans="1:13" ht="14.4" customHeight="1" x14ac:dyDescent="0.3">
      <c r="A50" s="661" t="s">
        <v>517</v>
      </c>
      <c r="B50" s="662" t="s">
        <v>1528</v>
      </c>
      <c r="C50" s="662" t="s">
        <v>1156</v>
      </c>
      <c r="D50" s="662" t="s">
        <v>1529</v>
      </c>
      <c r="E50" s="662" t="s">
        <v>1532</v>
      </c>
      <c r="F50" s="665"/>
      <c r="G50" s="665"/>
      <c r="H50" s="686">
        <v>0</v>
      </c>
      <c r="I50" s="665">
        <v>5</v>
      </c>
      <c r="J50" s="665">
        <v>476.85</v>
      </c>
      <c r="K50" s="686">
        <v>1</v>
      </c>
      <c r="L50" s="665">
        <v>5</v>
      </c>
      <c r="M50" s="666">
        <v>476.85</v>
      </c>
    </row>
    <row r="51" spans="1:13" ht="14.4" customHeight="1" x14ac:dyDescent="0.3">
      <c r="A51" s="661" t="s">
        <v>517</v>
      </c>
      <c r="B51" s="662" t="s">
        <v>1528</v>
      </c>
      <c r="C51" s="662" t="s">
        <v>1121</v>
      </c>
      <c r="D51" s="662" t="s">
        <v>1529</v>
      </c>
      <c r="E51" s="662" t="s">
        <v>1533</v>
      </c>
      <c r="F51" s="665"/>
      <c r="G51" s="665"/>
      <c r="H51" s="686">
        <v>0</v>
      </c>
      <c r="I51" s="665">
        <v>5</v>
      </c>
      <c r="J51" s="665">
        <v>1654.9507383214068</v>
      </c>
      <c r="K51" s="686">
        <v>1</v>
      </c>
      <c r="L51" s="665">
        <v>5</v>
      </c>
      <c r="M51" s="666">
        <v>1654.9507383214068</v>
      </c>
    </row>
    <row r="52" spans="1:13" ht="14.4" customHeight="1" x14ac:dyDescent="0.3">
      <c r="A52" s="661" t="s">
        <v>517</v>
      </c>
      <c r="B52" s="662" t="s">
        <v>1528</v>
      </c>
      <c r="C52" s="662" t="s">
        <v>542</v>
      </c>
      <c r="D52" s="662" t="s">
        <v>1534</v>
      </c>
      <c r="E52" s="662" t="s">
        <v>1535</v>
      </c>
      <c r="F52" s="665">
        <v>1</v>
      </c>
      <c r="G52" s="665">
        <v>495.84</v>
      </c>
      <c r="H52" s="686">
        <v>1</v>
      </c>
      <c r="I52" s="665"/>
      <c r="J52" s="665"/>
      <c r="K52" s="686">
        <v>0</v>
      </c>
      <c r="L52" s="665">
        <v>1</v>
      </c>
      <c r="M52" s="666">
        <v>495.84</v>
      </c>
    </row>
    <row r="53" spans="1:13" ht="14.4" customHeight="1" x14ac:dyDescent="0.3">
      <c r="A53" s="661" t="s">
        <v>517</v>
      </c>
      <c r="B53" s="662" t="s">
        <v>1536</v>
      </c>
      <c r="C53" s="662" t="s">
        <v>1128</v>
      </c>
      <c r="D53" s="662" t="s">
        <v>1129</v>
      </c>
      <c r="E53" s="662" t="s">
        <v>1537</v>
      </c>
      <c r="F53" s="665"/>
      <c r="G53" s="665"/>
      <c r="H53" s="686">
        <v>0</v>
      </c>
      <c r="I53" s="665">
        <v>1</v>
      </c>
      <c r="J53" s="665">
        <v>22.090000000000003</v>
      </c>
      <c r="K53" s="686">
        <v>1</v>
      </c>
      <c r="L53" s="665">
        <v>1</v>
      </c>
      <c r="M53" s="666">
        <v>22.090000000000003</v>
      </c>
    </row>
    <row r="54" spans="1:13" ht="14.4" customHeight="1" x14ac:dyDescent="0.3">
      <c r="A54" s="661" t="s">
        <v>517</v>
      </c>
      <c r="B54" s="662" t="s">
        <v>1538</v>
      </c>
      <c r="C54" s="662" t="s">
        <v>1102</v>
      </c>
      <c r="D54" s="662" t="s">
        <v>1103</v>
      </c>
      <c r="E54" s="662" t="s">
        <v>1539</v>
      </c>
      <c r="F54" s="665"/>
      <c r="G54" s="665"/>
      <c r="H54" s="686">
        <v>0</v>
      </c>
      <c r="I54" s="665">
        <v>1</v>
      </c>
      <c r="J54" s="665">
        <v>27.25</v>
      </c>
      <c r="K54" s="686">
        <v>1</v>
      </c>
      <c r="L54" s="665">
        <v>1</v>
      </c>
      <c r="M54" s="666">
        <v>27.25</v>
      </c>
    </row>
    <row r="55" spans="1:13" ht="14.4" customHeight="1" x14ac:dyDescent="0.3">
      <c r="A55" s="661" t="s">
        <v>517</v>
      </c>
      <c r="B55" s="662" t="s">
        <v>1540</v>
      </c>
      <c r="C55" s="662" t="s">
        <v>1074</v>
      </c>
      <c r="D55" s="662" t="s">
        <v>1541</v>
      </c>
      <c r="E55" s="662" t="s">
        <v>1542</v>
      </c>
      <c r="F55" s="665"/>
      <c r="G55" s="665"/>
      <c r="H55" s="686">
        <v>0</v>
      </c>
      <c r="I55" s="665">
        <v>15</v>
      </c>
      <c r="J55" s="665">
        <v>1218.23</v>
      </c>
      <c r="K55" s="686">
        <v>1</v>
      </c>
      <c r="L55" s="665">
        <v>15</v>
      </c>
      <c r="M55" s="666">
        <v>1218.23</v>
      </c>
    </row>
    <row r="56" spans="1:13" ht="14.4" customHeight="1" x14ac:dyDescent="0.3">
      <c r="A56" s="661" t="s">
        <v>517</v>
      </c>
      <c r="B56" s="662" t="s">
        <v>1543</v>
      </c>
      <c r="C56" s="662" t="s">
        <v>1124</v>
      </c>
      <c r="D56" s="662" t="s">
        <v>1544</v>
      </c>
      <c r="E56" s="662" t="s">
        <v>1545</v>
      </c>
      <c r="F56" s="665"/>
      <c r="G56" s="665"/>
      <c r="H56" s="686">
        <v>0</v>
      </c>
      <c r="I56" s="665">
        <v>1</v>
      </c>
      <c r="J56" s="665">
        <v>680.1</v>
      </c>
      <c r="K56" s="686">
        <v>1</v>
      </c>
      <c r="L56" s="665">
        <v>1</v>
      </c>
      <c r="M56" s="666">
        <v>680.1</v>
      </c>
    </row>
    <row r="57" spans="1:13" ht="14.4" customHeight="1" x14ac:dyDescent="0.3">
      <c r="A57" s="661" t="s">
        <v>517</v>
      </c>
      <c r="B57" s="662" t="s">
        <v>1546</v>
      </c>
      <c r="C57" s="662" t="s">
        <v>1188</v>
      </c>
      <c r="D57" s="662" t="s">
        <v>1189</v>
      </c>
      <c r="E57" s="662" t="s">
        <v>1190</v>
      </c>
      <c r="F57" s="665"/>
      <c r="G57" s="665"/>
      <c r="H57" s="686">
        <v>0</v>
      </c>
      <c r="I57" s="665">
        <v>16</v>
      </c>
      <c r="J57" s="665">
        <v>654.72</v>
      </c>
      <c r="K57" s="686">
        <v>1</v>
      </c>
      <c r="L57" s="665">
        <v>16</v>
      </c>
      <c r="M57" s="666">
        <v>654.72</v>
      </c>
    </row>
    <row r="58" spans="1:13" ht="14.4" customHeight="1" x14ac:dyDescent="0.3">
      <c r="A58" s="661" t="s">
        <v>517</v>
      </c>
      <c r="B58" s="662" t="s">
        <v>1546</v>
      </c>
      <c r="C58" s="662" t="s">
        <v>1192</v>
      </c>
      <c r="D58" s="662" t="s">
        <v>1193</v>
      </c>
      <c r="E58" s="662" t="s">
        <v>1190</v>
      </c>
      <c r="F58" s="665"/>
      <c r="G58" s="665"/>
      <c r="H58" s="686">
        <v>0</v>
      </c>
      <c r="I58" s="665">
        <v>24</v>
      </c>
      <c r="J58" s="665">
        <v>982.07999999999993</v>
      </c>
      <c r="K58" s="686">
        <v>1</v>
      </c>
      <c r="L58" s="665">
        <v>24</v>
      </c>
      <c r="M58" s="666">
        <v>982.07999999999993</v>
      </c>
    </row>
    <row r="59" spans="1:13" ht="14.4" customHeight="1" x14ac:dyDescent="0.3">
      <c r="A59" s="661" t="s">
        <v>517</v>
      </c>
      <c r="B59" s="662" t="s">
        <v>1546</v>
      </c>
      <c r="C59" s="662" t="s">
        <v>1195</v>
      </c>
      <c r="D59" s="662" t="s">
        <v>1547</v>
      </c>
      <c r="E59" s="662" t="s">
        <v>1190</v>
      </c>
      <c r="F59" s="665"/>
      <c r="G59" s="665"/>
      <c r="H59" s="686">
        <v>0</v>
      </c>
      <c r="I59" s="665">
        <v>8</v>
      </c>
      <c r="J59" s="665">
        <v>329.44</v>
      </c>
      <c r="K59" s="686">
        <v>1</v>
      </c>
      <c r="L59" s="665">
        <v>8</v>
      </c>
      <c r="M59" s="666">
        <v>329.44</v>
      </c>
    </row>
    <row r="60" spans="1:13" ht="14.4" customHeight="1" x14ac:dyDescent="0.3">
      <c r="A60" s="661" t="s">
        <v>517</v>
      </c>
      <c r="B60" s="662" t="s">
        <v>1546</v>
      </c>
      <c r="C60" s="662" t="s">
        <v>1198</v>
      </c>
      <c r="D60" s="662" t="s">
        <v>1548</v>
      </c>
      <c r="E60" s="662" t="s">
        <v>1190</v>
      </c>
      <c r="F60" s="665"/>
      <c r="G60" s="665"/>
      <c r="H60" s="686">
        <v>0</v>
      </c>
      <c r="I60" s="665">
        <v>8</v>
      </c>
      <c r="J60" s="665">
        <v>329.43999999999994</v>
      </c>
      <c r="K60" s="686">
        <v>1</v>
      </c>
      <c r="L60" s="665">
        <v>8</v>
      </c>
      <c r="M60" s="666">
        <v>329.43999999999994</v>
      </c>
    </row>
    <row r="61" spans="1:13" ht="14.4" customHeight="1" x14ac:dyDescent="0.3">
      <c r="A61" s="661" t="s">
        <v>517</v>
      </c>
      <c r="B61" s="662" t="s">
        <v>1546</v>
      </c>
      <c r="C61" s="662" t="s">
        <v>1201</v>
      </c>
      <c r="D61" s="662" t="s">
        <v>1202</v>
      </c>
      <c r="E61" s="662" t="s">
        <v>1549</v>
      </c>
      <c r="F61" s="665"/>
      <c r="G61" s="665"/>
      <c r="H61" s="686">
        <v>0</v>
      </c>
      <c r="I61" s="665">
        <v>8</v>
      </c>
      <c r="J61" s="665">
        <v>2361.6800000000003</v>
      </c>
      <c r="K61" s="686">
        <v>1</v>
      </c>
      <c r="L61" s="665">
        <v>8</v>
      </c>
      <c r="M61" s="666">
        <v>2361.6800000000003</v>
      </c>
    </row>
    <row r="62" spans="1:13" ht="14.4" customHeight="1" x14ac:dyDescent="0.3">
      <c r="A62" s="661" t="s">
        <v>517</v>
      </c>
      <c r="B62" s="662" t="s">
        <v>1546</v>
      </c>
      <c r="C62" s="662" t="s">
        <v>1210</v>
      </c>
      <c r="D62" s="662" t="s">
        <v>1211</v>
      </c>
      <c r="E62" s="662" t="s">
        <v>1550</v>
      </c>
      <c r="F62" s="665"/>
      <c r="G62" s="665"/>
      <c r="H62" s="686">
        <v>0</v>
      </c>
      <c r="I62" s="665">
        <v>3</v>
      </c>
      <c r="J62" s="665">
        <v>335.84963651221528</v>
      </c>
      <c r="K62" s="686">
        <v>1</v>
      </c>
      <c r="L62" s="665">
        <v>3</v>
      </c>
      <c r="M62" s="666">
        <v>335.84963651221528</v>
      </c>
    </row>
    <row r="63" spans="1:13" ht="14.4" customHeight="1" x14ac:dyDescent="0.3">
      <c r="A63" s="661" t="s">
        <v>517</v>
      </c>
      <c r="B63" s="662" t="s">
        <v>1546</v>
      </c>
      <c r="C63" s="662" t="s">
        <v>1204</v>
      </c>
      <c r="D63" s="662" t="s">
        <v>1205</v>
      </c>
      <c r="E63" s="662" t="s">
        <v>1550</v>
      </c>
      <c r="F63" s="665"/>
      <c r="G63" s="665"/>
      <c r="H63" s="686">
        <v>0</v>
      </c>
      <c r="I63" s="665">
        <v>3</v>
      </c>
      <c r="J63" s="665">
        <v>335.85035079883363</v>
      </c>
      <c r="K63" s="686">
        <v>1</v>
      </c>
      <c r="L63" s="665">
        <v>3</v>
      </c>
      <c r="M63" s="666">
        <v>335.85035079883363</v>
      </c>
    </row>
    <row r="64" spans="1:13" ht="14.4" customHeight="1" x14ac:dyDescent="0.3">
      <c r="A64" s="661" t="s">
        <v>517</v>
      </c>
      <c r="B64" s="662" t="s">
        <v>1546</v>
      </c>
      <c r="C64" s="662" t="s">
        <v>1207</v>
      </c>
      <c r="D64" s="662" t="s">
        <v>1208</v>
      </c>
      <c r="E64" s="662" t="s">
        <v>1550</v>
      </c>
      <c r="F64" s="665"/>
      <c r="G64" s="665"/>
      <c r="H64" s="686">
        <v>0</v>
      </c>
      <c r="I64" s="665">
        <v>3</v>
      </c>
      <c r="J64" s="665">
        <v>335.84999999999997</v>
      </c>
      <c r="K64" s="686">
        <v>1</v>
      </c>
      <c r="L64" s="665">
        <v>3</v>
      </c>
      <c r="M64" s="666">
        <v>335.84999999999997</v>
      </c>
    </row>
    <row r="65" spans="1:13" ht="14.4" customHeight="1" x14ac:dyDescent="0.3">
      <c r="A65" s="661" t="s">
        <v>517</v>
      </c>
      <c r="B65" s="662" t="s">
        <v>1546</v>
      </c>
      <c r="C65" s="662" t="s">
        <v>1165</v>
      </c>
      <c r="D65" s="662" t="s">
        <v>1551</v>
      </c>
      <c r="E65" s="662" t="s">
        <v>1167</v>
      </c>
      <c r="F65" s="665">
        <v>27</v>
      </c>
      <c r="G65" s="665">
        <v>1097.0099999999998</v>
      </c>
      <c r="H65" s="686">
        <v>1</v>
      </c>
      <c r="I65" s="665"/>
      <c r="J65" s="665"/>
      <c r="K65" s="686">
        <v>0</v>
      </c>
      <c r="L65" s="665">
        <v>27</v>
      </c>
      <c r="M65" s="666">
        <v>1097.0099999999998</v>
      </c>
    </row>
    <row r="66" spans="1:13" ht="14.4" customHeight="1" x14ac:dyDescent="0.3">
      <c r="A66" s="661" t="s">
        <v>517</v>
      </c>
      <c r="B66" s="662" t="s">
        <v>1546</v>
      </c>
      <c r="C66" s="662" t="s">
        <v>1168</v>
      </c>
      <c r="D66" s="662" t="s">
        <v>1552</v>
      </c>
      <c r="E66" s="662" t="s">
        <v>1167</v>
      </c>
      <c r="F66" s="665">
        <v>27</v>
      </c>
      <c r="G66" s="665">
        <v>1097.0100000000002</v>
      </c>
      <c r="H66" s="686">
        <v>1</v>
      </c>
      <c r="I66" s="665"/>
      <c r="J66" s="665"/>
      <c r="K66" s="686">
        <v>0</v>
      </c>
      <c r="L66" s="665">
        <v>27</v>
      </c>
      <c r="M66" s="666">
        <v>1097.0100000000002</v>
      </c>
    </row>
    <row r="67" spans="1:13" ht="14.4" customHeight="1" x14ac:dyDescent="0.3">
      <c r="A67" s="661" t="s">
        <v>517</v>
      </c>
      <c r="B67" s="662" t="s">
        <v>1546</v>
      </c>
      <c r="C67" s="662" t="s">
        <v>1215</v>
      </c>
      <c r="D67" s="662" t="s">
        <v>1216</v>
      </c>
      <c r="E67" s="662" t="s">
        <v>1214</v>
      </c>
      <c r="F67" s="665"/>
      <c r="G67" s="665"/>
      <c r="H67" s="686">
        <v>0</v>
      </c>
      <c r="I67" s="665">
        <v>5</v>
      </c>
      <c r="J67" s="665">
        <v>613.44999999999993</v>
      </c>
      <c r="K67" s="686">
        <v>1</v>
      </c>
      <c r="L67" s="665">
        <v>5</v>
      </c>
      <c r="M67" s="666">
        <v>613.44999999999993</v>
      </c>
    </row>
    <row r="68" spans="1:13" ht="14.4" customHeight="1" x14ac:dyDescent="0.3">
      <c r="A68" s="661" t="s">
        <v>517</v>
      </c>
      <c r="B68" s="662" t="s">
        <v>1546</v>
      </c>
      <c r="C68" s="662" t="s">
        <v>1212</v>
      </c>
      <c r="D68" s="662" t="s">
        <v>1213</v>
      </c>
      <c r="E68" s="662" t="s">
        <v>1214</v>
      </c>
      <c r="F68" s="665"/>
      <c r="G68" s="665"/>
      <c r="H68" s="686">
        <v>0</v>
      </c>
      <c r="I68" s="665">
        <v>2</v>
      </c>
      <c r="J68" s="665">
        <v>245.38</v>
      </c>
      <c r="K68" s="686">
        <v>1</v>
      </c>
      <c r="L68" s="665">
        <v>2</v>
      </c>
      <c r="M68" s="666">
        <v>245.38</v>
      </c>
    </row>
    <row r="69" spans="1:13" ht="14.4" customHeight="1" x14ac:dyDescent="0.3">
      <c r="A69" s="661" t="s">
        <v>517</v>
      </c>
      <c r="B69" s="662" t="s">
        <v>1546</v>
      </c>
      <c r="C69" s="662" t="s">
        <v>1219</v>
      </c>
      <c r="D69" s="662" t="s">
        <v>1220</v>
      </c>
      <c r="E69" s="662" t="s">
        <v>1214</v>
      </c>
      <c r="F69" s="665"/>
      <c r="G69" s="665"/>
      <c r="H69" s="686">
        <v>0</v>
      </c>
      <c r="I69" s="665">
        <v>2</v>
      </c>
      <c r="J69" s="665">
        <v>259.94</v>
      </c>
      <c r="K69" s="686">
        <v>1</v>
      </c>
      <c r="L69" s="665">
        <v>2</v>
      </c>
      <c r="M69" s="666">
        <v>259.94</v>
      </c>
    </row>
    <row r="70" spans="1:13" ht="14.4" customHeight="1" x14ac:dyDescent="0.3">
      <c r="A70" s="661" t="s">
        <v>517</v>
      </c>
      <c r="B70" s="662" t="s">
        <v>1546</v>
      </c>
      <c r="C70" s="662" t="s">
        <v>1217</v>
      </c>
      <c r="D70" s="662" t="s">
        <v>1218</v>
      </c>
      <c r="E70" s="662" t="s">
        <v>1214</v>
      </c>
      <c r="F70" s="665"/>
      <c r="G70" s="665"/>
      <c r="H70" s="686">
        <v>0</v>
      </c>
      <c r="I70" s="665">
        <v>2</v>
      </c>
      <c r="J70" s="665">
        <v>259.94</v>
      </c>
      <c r="K70" s="686">
        <v>1</v>
      </c>
      <c r="L70" s="665">
        <v>2</v>
      </c>
      <c r="M70" s="666">
        <v>259.94</v>
      </c>
    </row>
    <row r="71" spans="1:13" ht="14.4" customHeight="1" thickBot="1" x14ac:dyDescent="0.35">
      <c r="A71" s="667" t="s">
        <v>517</v>
      </c>
      <c r="B71" s="668" t="s">
        <v>1546</v>
      </c>
      <c r="C71" s="668" t="s">
        <v>1222</v>
      </c>
      <c r="D71" s="668" t="s">
        <v>1223</v>
      </c>
      <c r="E71" s="668" t="s">
        <v>1190</v>
      </c>
      <c r="F71" s="671"/>
      <c r="G71" s="671"/>
      <c r="H71" s="679">
        <v>0</v>
      </c>
      <c r="I71" s="671">
        <v>4</v>
      </c>
      <c r="J71" s="671">
        <v>122.67999999999998</v>
      </c>
      <c r="K71" s="679">
        <v>1</v>
      </c>
      <c r="L71" s="671">
        <v>4</v>
      </c>
      <c r="M71" s="672">
        <v>122.67999999999998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36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7" t="s">
        <v>255</v>
      </c>
      <c r="B1" s="527"/>
      <c r="C1" s="527"/>
      <c r="D1" s="527"/>
      <c r="E1" s="527"/>
      <c r="F1" s="489"/>
      <c r="G1" s="489"/>
      <c r="H1" s="489"/>
      <c r="I1" s="489"/>
      <c r="J1" s="520"/>
      <c r="K1" s="520"/>
      <c r="L1" s="520"/>
      <c r="M1" s="520"/>
      <c r="N1" s="520"/>
      <c r="O1" s="520"/>
      <c r="P1" s="520"/>
      <c r="Q1" s="520"/>
    </row>
    <row r="2" spans="1:17" ht="14.4" customHeight="1" thickBot="1" x14ac:dyDescent="0.35">
      <c r="A2" s="351" t="s">
        <v>322</v>
      </c>
      <c r="B2" s="317"/>
      <c r="C2" s="317"/>
      <c r="D2" s="317"/>
      <c r="E2" s="317"/>
    </row>
    <row r="3" spans="1:17" ht="14.4" customHeight="1" thickBot="1" x14ac:dyDescent="0.35">
      <c r="A3" s="425" t="s">
        <v>3</v>
      </c>
      <c r="B3" s="429">
        <f>SUM(B6:B1048576)</f>
        <v>681</v>
      </c>
      <c r="C3" s="430">
        <f>SUM(C6:C1048576)</f>
        <v>253</v>
      </c>
      <c r="D3" s="430">
        <f>SUM(D6:D1048576)</f>
        <v>472</v>
      </c>
      <c r="E3" s="431">
        <f>SUM(E6:E1048576)</f>
        <v>0</v>
      </c>
      <c r="F3" s="428">
        <f>IF(SUM($B3:$E3)=0,"",B3/SUM($B3:$E3))</f>
        <v>0.48435277382645803</v>
      </c>
      <c r="G3" s="426">
        <f t="shared" ref="G3:I3" si="0">IF(SUM($B3:$E3)=0,"",C3/SUM($B3:$E3))</f>
        <v>0.17994310099573257</v>
      </c>
      <c r="H3" s="426">
        <f t="shared" si="0"/>
        <v>0.3357041251778094</v>
      </c>
      <c r="I3" s="427">
        <f t="shared" si="0"/>
        <v>0</v>
      </c>
      <c r="J3" s="430">
        <f>SUM(J6:J1048576)</f>
        <v>42</v>
      </c>
      <c r="K3" s="430">
        <f>SUM(K6:K1048576)</f>
        <v>100</v>
      </c>
      <c r="L3" s="430">
        <f>SUM(L6:L1048576)</f>
        <v>472</v>
      </c>
      <c r="M3" s="431">
        <f>SUM(M6:M1048576)</f>
        <v>0</v>
      </c>
      <c r="N3" s="428">
        <f>IF(SUM($J3:$M3)=0,"",J3/SUM($J3:$M3))</f>
        <v>6.8403908794788276E-2</v>
      </c>
      <c r="O3" s="426">
        <f t="shared" ref="O3:Q3" si="1">IF(SUM($J3:$M3)=0,"",K3/SUM($J3:$M3))</f>
        <v>0.16286644951140064</v>
      </c>
      <c r="P3" s="426">
        <f t="shared" si="1"/>
        <v>0.76872964169381108</v>
      </c>
      <c r="Q3" s="427">
        <f t="shared" si="1"/>
        <v>0</v>
      </c>
    </row>
    <row r="4" spans="1:17" ht="14.4" customHeight="1" thickBot="1" x14ac:dyDescent="0.35">
      <c r="A4" s="424"/>
      <c r="B4" s="540" t="s">
        <v>257</v>
      </c>
      <c r="C4" s="541"/>
      <c r="D4" s="541"/>
      <c r="E4" s="542"/>
      <c r="F4" s="537" t="s">
        <v>262</v>
      </c>
      <c r="G4" s="538"/>
      <c r="H4" s="538"/>
      <c r="I4" s="539"/>
      <c r="J4" s="540" t="s">
        <v>263</v>
      </c>
      <c r="K4" s="541"/>
      <c r="L4" s="541"/>
      <c r="M4" s="542"/>
      <c r="N4" s="537" t="s">
        <v>264</v>
      </c>
      <c r="O4" s="538"/>
      <c r="P4" s="538"/>
      <c r="Q4" s="539"/>
    </row>
    <row r="5" spans="1:17" ht="14.4" customHeight="1" thickBot="1" x14ac:dyDescent="0.35">
      <c r="A5" s="696" t="s">
        <v>256</v>
      </c>
      <c r="B5" s="697" t="s">
        <v>258</v>
      </c>
      <c r="C5" s="697" t="s">
        <v>259</v>
      </c>
      <c r="D5" s="697" t="s">
        <v>260</v>
      </c>
      <c r="E5" s="698" t="s">
        <v>261</v>
      </c>
      <c r="F5" s="699" t="s">
        <v>258</v>
      </c>
      <c r="G5" s="700" t="s">
        <v>259</v>
      </c>
      <c r="H5" s="700" t="s">
        <v>260</v>
      </c>
      <c r="I5" s="701" t="s">
        <v>261</v>
      </c>
      <c r="J5" s="697" t="s">
        <v>258</v>
      </c>
      <c r="K5" s="697" t="s">
        <v>259</v>
      </c>
      <c r="L5" s="697" t="s">
        <v>260</v>
      </c>
      <c r="M5" s="698" t="s">
        <v>261</v>
      </c>
      <c r="N5" s="699" t="s">
        <v>258</v>
      </c>
      <c r="O5" s="700" t="s">
        <v>259</v>
      </c>
      <c r="P5" s="700" t="s">
        <v>260</v>
      </c>
      <c r="Q5" s="701" t="s">
        <v>261</v>
      </c>
    </row>
    <row r="6" spans="1:17" ht="14.4" customHeight="1" x14ac:dyDescent="0.3">
      <c r="A6" s="704" t="s">
        <v>1554</v>
      </c>
      <c r="B6" s="708"/>
      <c r="C6" s="659"/>
      <c r="D6" s="659"/>
      <c r="E6" s="660"/>
      <c r="F6" s="706"/>
      <c r="G6" s="678"/>
      <c r="H6" s="678"/>
      <c r="I6" s="710"/>
      <c r="J6" s="708"/>
      <c r="K6" s="659"/>
      <c r="L6" s="659"/>
      <c r="M6" s="660"/>
      <c r="N6" s="706"/>
      <c r="O6" s="678"/>
      <c r="P6" s="678"/>
      <c r="Q6" s="702"/>
    </row>
    <row r="7" spans="1:17" ht="14.4" customHeight="1" thickBot="1" x14ac:dyDescent="0.35">
      <c r="A7" s="705" t="s">
        <v>1555</v>
      </c>
      <c r="B7" s="709">
        <v>681</v>
      </c>
      <c r="C7" s="671">
        <v>253</v>
      </c>
      <c r="D7" s="671">
        <v>472</v>
      </c>
      <c r="E7" s="672"/>
      <c r="F7" s="707">
        <v>0.48435277382645803</v>
      </c>
      <c r="G7" s="679">
        <v>0.17994310099573257</v>
      </c>
      <c r="H7" s="679">
        <v>0.3357041251778094</v>
      </c>
      <c r="I7" s="711">
        <v>0</v>
      </c>
      <c r="J7" s="709">
        <v>42</v>
      </c>
      <c r="K7" s="671">
        <v>100</v>
      </c>
      <c r="L7" s="671">
        <v>472</v>
      </c>
      <c r="M7" s="672"/>
      <c r="N7" s="707">
        <v>6.8403908794788276E-2</v>
      </c>
      <c r="O7" s="679">
        <v>0.16286644951140064</v>
      </c>
      <c r="P7" s="679">
        <v>0.76872964169381108</v>
      </c>
      <c r="Q7" s="70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8" t="s">
        <v>159</v>
      </c>
      <c r="B1" s="519"/>
      <c r="C1" s="519"/>
      <c r="D1" s="519"/>
      <c r="E1" s="519"/>
      <c r="F1" s="519"/>
      <c r="G1" s="489"/>
      <c r="H1" s="520"/>
      <c r="I1" s="520"/>
    </row>
    <row r="2" spans="1:10" ht="14.4" customHeight="1" thickBot="1" x14ac:dyDescent="0.35">
      <c r="A2" s="351" t="s">
        <v>322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77"/>
      <c r="C3" s="411">
        <v>2015</v>
      </c>
      <c r="D3" s="412">
        <v>2016</v>
      </c>
      <c r="E3" s="11"/>
      <c r="F3" s="497">
        <v>2017</v>
      </c>
      <c r="G3" s="515"/>
      <c r="H3" s="515"/>
      <c r="I3" s="498"/>
    </row>
    <row r="4" spans="1:10" ht="14.4" customHeight="1" thickBot="1" x14ac:dyDescent="0.35">
      <c r="A4" s="416" t="s">
        <v>0</v>
      </c>
      <c r="B4" s="417" t="s">
        <v>253</v>
      </c>
      <c r="C4" s="516" t="s">
        <v>81</v>
      </c>
      <c r="D4" s="517"/>
      <c r="E4" s="418"/>
      <c r="F4" s="413" t="s">
        <v>81</v>
      </c>
      <c r="G4" s="414" t="s">
        <v>82</v>
      </c>
      <c r="H4" s="414" t="s">
        <v>56</v>
      </c>
      <c r="I4" s="415" t="s">
        <v>83</v>
      </c>
    </row>
    <row r="5" spans="1:10" ht="14.4" customHeight="1" x14ac:dyDescent="0.3">
      <c r="A5" s="643" t="s">
        <v>512</v>
      </c>
      <c r="B5" s="644" t="s">
        <v>513</v>
      </c>
      <c r="C5" s="645" t="s">
        <v>514</v>
      </c>
      <c r="D5" s="645" t="s">
        <v>514</v>
      </c>
      <c r="E5" s="645"/>
      <c r="F5" s="645" t="s">
        <v>514</v>
      </c>
      <c r="G5" s="645" t="s">
        <v>514</v>
      </c>
      <c r="H5" s="645" t="s">
        <v>514</v>
      </c>
      <c r="I5" s="646" t="s">
        <v>514</v>
      </c>
      <c r="J5" s="647" t="s">
        <v>61</v>
      </c>
    </row>
    <row r="6" spans="1:10" ht="14.4" customHeight="1" x14ac:dyDescent="0.3">
      <c r="A6" s="643" t="s">
        <v>512</v>
      </c>
      <c r="B6" s="644" t="s">
        <v>345</v>
      </c>
      <c r="C6" s="645">
        <v>49.108039999999995</v>
      </c>
      <c r="D6" s="645">
        <v>78.08744999999999</v>
      </c>
      <c r="E6" s="645"/>
      <c r="F6" s="645">
        <v>100.57437999999999</v>
      </c>
      <c r="G6" s="645">
        <v>86.729677634484005</v>
      </c>
      <c r="H6" s="645">
        <v>13.844702365515985</v>
      </c>
      <c r="I6" s="646">
        <v>1.1596305064555121</v>
      </c>
      <c r="J6" s="647" t="s">
        <v>1</v>
      </c>
    </row>
    <row r="7" spans="1:10" ht="14.4" customHeight="1" x14ac:dyDescent="0.3">
      <c r="A7" s="643" t="s">
        <v>512</v>
      </c>
      <c r="B7" s="644" t="s">
        <v>346</v>
      </c>
      <c r="C7" s="645">
        <v>0</v>
      </c>
      <c r="D7" s="645">
        <v>0</v>
      </c>
      <c r="E7" s="645"/>
      <c r="F7" s="645">
        <v>0.14349999999999999</v>
      </c>
      <c r="G7" s="645">
        <v>0.16666666666666666</v>
      </c>
      <c r="H7" s="645">
        <v>-2.3166666666666669E-2</v>
      </c>
      <c r="I7" s="646">
        <v>0.86099999999999999</v>
      </c>
      <c r="J7" s="647" t="s">
        <v>1</v>
      </c>
    </row>
    <row r="8" spans="1:10" ht="14.4" customHeight="1" x14ac:dyDescent="0.3">
      <c r="A8" s="643" t="s">
        <v>512</v>
      </c>
      <c r="B8" s="644" t="s">
        <v>347</v>
      </c>
      <c r="C8" s="645">
        <v>69.049750000000003</v>
      </c>
      <c r="D8" s="645">
        <v>86.004989999999992</v>
      </c>
      <c r="E8" s="645"/>
      <c r="F8" s="645">
        <v>85.858180000000004</v>
      </c>
      <c r="G8" s="645">
        <v>92.725380516543837</v>
      </c>
      <c r="H8" s="645">
        <v>-6.8672005165438321</v>
      </c>
      <c r="I8" s="646">
        <v>0.92594044394006447</v>
      </c>
      <c r="J8" s="647" t="s">
        <v>1</v>
      </c>
    </row>
    <row r="9" spans="1:10" ht="14.4" customHeight="1" x14ac:dyDescent="0.3">
      <c r="A9" s="643" t="s">
        <v>512</v>
      </c>
      <c r="B9" s="644" t="s">
        <v>348</v>
      </c>
      <c r="C9" s="645">
        <v>350.70216000000096</v>
      </c>
      <c r="D9" s="645">
        <v>348.88367</v>
      </c>
      <c r="E9" s="645"/>
      <c r="F9" s="645">
        <v>489.83715000000001</v>
      </c>
      <c r="G9" s="645">
        <v>410.94149149622496</v>
      </c>
      <c r="H9" s="645">
        <v>78.895658503775053</v>
      </c>
      <c r="I9" s="646">
        <v>1.1919875703388296</v>
      </c>
      <c r="J9" s="647" t="s">
        <v>1</v>
      </c>
    </row>
    <row r="10" spans="1:10" ht="14.4" customHeight="1" x14ac:dyDescent="0.3">
      <c r="A10" s="643" t="s">
        <v>512</v>
      </c>
      <c r="B10" s="644" t="s">
        <v>349</v>
      </c>
      <c r="C10" s="645">
        <v>11.248059999999999</v>
      </c>
      <c r="D10" s="645">
        <v>15.476500000000001</v>
      </c>
      <c r="E10" s="645"/>
      <c r="F10" s="645">
        <v>44.694800000000001</v>
      </c>
      <c r="G10" s="645">
        <v>34.200254772097999</v>
      </c>
      <c r="H10" s="645">
        <v>10.494545227902002</v>
      </c>
      <c r="I10" s="646">
        <v>1.306855761684673</v>
      </c>
      <c r="J10" s="647" t="s">
        <v>1</v>
      </c>
    </row>
    <row r="11" spans="1:10" ht="14.4" customHeight="1" x14ac:dyDescent="0.3">
      <c r="A11" s="643" t="s">
        <v>512</v>
      </c>
      <c r="B11" s="644" t="s">
        <v>350</v>
      </c>
      <c r="C11" s="645">
        <v>8.0811400000000013</v>
      </c>
      <c r="D11" s="645">
        <v>2.2206899999999998</v>
      </c>
      <c r="E11" s="645"/>
      <c r="F11" s="645">
        <v>2.08162</v>
      </c>
      <c r="G11" s="645">
        <v>5.0752508428398331</v>
      </c>
      <c r="H11" s="645">
        <v>-2.9936308428398331</v>
      </c>
      <c r="I11" s="646">
        <v>0.41015115596438956</v>
      </c>
      <c r="J11" s="647" t="s">
        <v>1</v>
      </c>
    </row>
    <row r="12" spans="1:10" ht="14.4" customHeight="1" x14ac:dyDescent="0.3">
      <c r="A12" s="643" t="s">
        <v>512</v>
      </c>
      <c r="B12" s="644" t="s">
        <v>351</v>
      </c>
      <c r="C12" s="645">
        <v>4.774</v>
      </c>
      <c r="D12" s="645">
        <v>6.7559500000000003</v>
      </c>
      <c r="E12" s="645"/>
      <c r="F12" s="645">
        <v>4.6280000000000001</v>
      </c>
      <c r="G12" s="645">
        <v>10.043778522174167</v>
      </c>
      <c r="H12" s="645">
        <v>-5.4157785221741666</v>
      </c>
      <c r="I12" s="646">
        <v>0.46078276116727646</v>
      </c>
      <c r="J12" s="647" t="s">
        <v>1</v>
      </c>
    </row>
    <row r="13" spans="1:10" ht="14.4" customHeight="1" x14ac:dyDescent="0.3">
      <c r="A13" s="643" t="s">
        <v>512</v>
      </c>
      <c r="B13" s="644" t="s">
        <v>352</v>
      </c>
      <c r="C13" s="645">
        <v>28.959699999999998</v>
      </c>
      <c r="D13" s="645">
        <v>37.457799999999999</v>
      </c>
      <c r="E13" s="645"/>
      <c r="F13" s="645">
        <v>34.141829999999999</v>
      </c>
      <c r="G13" s="645">
        <v>60.794348107415836</v>
      </c>
      <c r="H13" s="645">
        <v>-26.652518107415837</v>
      </c>
      <c r="I13" s="646">
        <v>0.56159546179647746</v>
      </c>
      <c r="J13" s="647" t="s">
        <v>1</v>
      </c>
    </row>
    <row r="14" spans="1:10" ht="14.4" customHeight="1" x14ac:dyDescent="0.3">
      <c r="A14" s="643" t="s">
        <v>512</v>
      </c>
      <c r="B14" s="644" t="s">
        <v>353</v>
      </c>
      <c r="C14" s="645">
        <v>44.395629999999997</v>
      </c>
      <c r="D14" s="645">
        <v>14.96988</v>
      </c>
      <c r="E14" s="645"/>
      <c r="F14" s="645">
        <v>42.102999999999994</v>
      </c>
      <c r="G14" s="645">
        <v>34.988918538195499</v>
      </c>
      <c r="H14" s="645">
        <v>7.1140814618044956</v>
      </c>
      <c r="I14" s="646">
        <v>1.2033238453494479</v>
      </c>
      <c r="J14" s="647" t="s">
        <v>1</v>
      </c>
    </row>
    <row r="15" spans="1:10" ht="14.4" customHeight="1" x14ac:dyDescent="0.3">
      <c r="A15" s="643" t="s">
        <v>512</v>
      </c>
      <c r="B15" s="644" t="s">
        <v>354</v>
      </c>
      <c r="C15" s="645">
        <v>25.463260000000002</v>
      </c>
      <c r="D15" s="645">
        <v>31.742539999999998</v>
      </c>
      <c r="E15" s="645"/>
      <c r="F15" s="645">
        <v>31.363510000000002</v>
      </c>
      <c r="G15" s="645">
        <v>45.840197699483163</v>
      </c>
      <c r="H15" s="645">
        <v>-14.476687699483161</v>
      </c>
      <c r="I15" s="646">
        <v>0.68419229353266109</v>
      </c>
      <c r="J15" s="647" t="s">
        <v>1</v>
      </c>
    </row>
    <row r="16" spans="1:10" ht="14.4" customHeight="1" x14ac:dyDescent="0.3">
      <c r="A16" s="643" t="s">
        <v>512</v>
      </c>
      <c r="B16" s="644" t="s">
        <v>355</v>
      </c>
      <c r="C16" s="645">
        <v>0.29799999999999999</v>
      </c>
      <c r="D16" s="645">
        <v>0.56620000000000004</v>
      </c>
      <c r="E16" s="645"/>
      <c r="F16" s="645">
        <v>0</v>
      </c>
      <c r="G16" s="645">
        <v>1.4490203387418334</v>
      </c>
      <c r="H16" s="645">
        <v>-1.4490203387418334</v>
      </c>
      <c r="I16" s="646">
        <v>0</v>
      </c>
      <c r="J16" s="647" t="s">
        <v>1</v>
      </c>
    </row>
    <row r="17" spans="1:10" ht="14.4" customHeight="1" x14ac:dyDescent="0.3">
      <c r="A17" s="643" t="s">
        <v>512</v>
      </c>
      <c r="B17" s="644" t="s">
        <v>515</v>
      </c>
      <c r="C17" s="645">
        <v>592.07974000000092</v>
      </c>
      <c r="D17" s="645">
        <v>622.16566999999986</v>
      </c>
      <c r="E17" s="645"/>
      <c r="F17" s="645">
        <v>835.42597000000001</v>
      </c>
      <c r="G17" s="645">
        <v>782.95498513486802</v>
      </c>
      <c r="H17" s="645">
        <v>52.470984865131982</v>
      </c>
      <c r="I17" s="646">
        <v>1.0670166048640632</v>
      </c>
      <c r="J17" s="647" t="s">
        <v>516</v>
      </c>
    </row>
    <row r="19" spans="1:10" ht="14.4" customHeight="1" x14ac:dyDescent="0.3">
      <c r="A19" s="643" t="s">
        <v>512</v>
      </c>
      <c r="B19" s="644" t="s">
        <v>513</v>
      </c>
      <c r="C19" s="645" t="s">
        <v>514</v>
      </c>
      <c r="D19" s="645" t="s">
        <v>514</v>
      </c>
      <c r="E19" s="645"/>
      <c r="F19" s="645" t="s">
        <v>514</v>
      </c>
      <c r="G19" s="645" t="s">
        <v>514</v>
      </c>
      <c r="H19" s="645" t="s">
        <v>514</v>
      </c>
      <c r="I19" s="646" t="s">
        <v>514</v>
      </c>
      <c r="J19" s="647" t="s">
        <v>61</v>
      </c>
    </row>
    <row r="20" spans="1:10" ht="14.4" customHeight="1" x14ac:dyDescent="0.3">
      <c r="A20" s="643" t="s">
        <v>517</v>
      </c>
      <c r="B20" s="644" t="s">
        <v>518</v>
      </c>
      <c r="C20" s="645" t="s">
        <v>514</v>
      </c>
      <c r="D20" s="645" t="s">
        <v>514</v>
      </c>
      <c r="E20" s="645"/>
      <c r="F20" s="645" t="s">
        <v>514</v>
      </c>
      <c r="G20" s="645" t="s">
        <v>514</v>
      </c>
      <c r="H20" s="645" t="s">
        <v>514</v>
      </c>
      <c r="I20" s="646" t="s">
        <v>514</v>
      </c>
      <c r="J20" s="647" t="s">
        <v>0</v>
      </c>
    </row>
    <row r="21" spans="1:10" ht="14.4" customHeight="1" x14ac:dyDescent="0.3">
      <c r="A21" s="643" t="s">
        <v>517</v>
      </c>
      <c r="B21" s="644" t="s">
        <v>345</v>
      </c>
      <c r="C21" s="645">
        <v>49.108039999999995</v>
      </c>
      <c r="D21" s="645">
        <v>78.08744999999999</v>
      </c>
      <c r="E21" s="645"/>
      <c r="F21" s="645">
        <v>100.57437999999999</v>
      </c>
      <c r="G21" s="645">
        <v>86.729677634484005</v>
      </c>
      <c r="H21" s="645">
        <v>13.844702365515985</v>
      </c>
      <c r="I21" s="646">
        <v>1.1596305064555121</v>
      </c>
      <c r="J21" s="647" t="s">
        <v>1</v>
      </c>
    </row>
    <row r="22" spans="1:10" ht="14.4" customHeight="1" x14ac:dyDescent="0.3">
      <c r="A22" s="643" t="s">
        <v>517</v>
      </c>
      <c r="B22" s="644" t="s">
        <v>346</v>
      </c>
      <c r="C22" s="645">
        <v>0</v>
      </c>
      <c r="D22" s="645">
        <v>0</v>
      </c>
      <c r="E22" s="645"/>
      <c r="F22" s="645">
        <v>0.14349999999999999</v>
      </c>
      <c r="G22" s="645">
        <v>0.16666666666666666</v>
      </c>
      <c r="H22" s="645">
        <v>-2.3166666666666669E-2</v>
      </c>
      <c r="I22" s="646">
        <v>0.86099999999999999</v>
      </c>
      <c r="J22" s="647" t="s">
        <v>1</v>
      </c>
    </row>
    <row r="23" spans="1:10" ht="14.4" customHeight="1" x14ac:dyDescent="0.3">
      <c r="A23" s="643" t="s">
        <v>517</v>
      </c>
      <c r="B23" s="644" t="s">
        <v>347</v>
      </c>
      <c r="C23" s="645">
        <v>69.049750000000003</v>
      </c>
      <c r="D23" s="645">
        <v>86.004989999999992</v>
      </c>
      <c r="E23" s="645"/>
      <c r="F23" s="645">
        <v>85.858180000000004</v>
      </c>
      <c r="G23" s="645">
        <v>92.725380516543837</v>
      </c>
      <c r="H23" s="645">
        <v>-6.8672005165438321</v>
      </c>
      <c r="I23" s="646">
        <v>0.92594044394006447</v>
      </c>
      <c r="J23" s="647" t="s">
        <v>1</v>
      </c>
    </row>
    <row r="24" spans="1:10" ht="14.4" customHeight="1" x14ac:dyDescent="0.3">
      <c r="A24" s="643" t="s">
        <v>517</v>
      </c>
      <c r="B24" s="644" t="s">
        <v>348</v>
      </c>
      <c r="C24" s="645">
        <v>350.70216000000096</v>
      </c>
      <c r="D24" s="645">
        <v>348.88367</v>
      </c>
      <c r="E24" s="645"/>
      <c r="F24" s="645">
        <v>489.83715000000001</v>
      </c>
      <c r="G24" s="645">
        <v>410.94149149622496</v>
      </c>
      <c r="H24" s="645">
        <v>78.895658503775053</v>
      </c>
      <c r="I24" s="646">
        <v>1.1919875703388296</v>
      </c>
      <c r="J24" s="647" t="s">
        <v>1</v>
      </c>
    </row>
    <row r="25" spans="1:10" ht="14.4" customHeight="1" x14ac:dyDescent="0.3">
      <c r="A25" s="643" t="s">
        <v>517</v>
      </c>
      <c r="B25" s="644" t="s">
        <v>349</v>
      </c>
      <c r="C25" s="645">
        <v>11.248059999999999</v>
      </c>
      <c r="D25" s="645">
        <v>15.476500000000001</v>
      </c>
      <c r="E25" s="645"/>
      <c r="F25" s="645">
        <v>44.694800000000001</v>
      </c>
      <c r="G25" s="645">
        <v>34.200254772097999</v>
      </c>
      <c r="H25" s="645">
        <v>10.494545227902002</v>
      </c>
      <c r="I25" s="646">
        <v>1.306855761684673</v>
      </c>
      <c r="J25" s="647" t="s">
        <v>1</v>
      </c>
    </row>
    <row r="26" spans="1:10" ht="14.4" customHeight="1" x14ac:dyDescent="0.3">
      <c r="A26" s="643" t="s">
        <v>517</v>
      </c>
      <c r="B26" s="644" t="s">
        <v>350</v>
      </c>
      <c r="C26" s="645">
        <v>8.0811400000000013</v>
      </c>
      <c r="D26" s="645">
        <v>2.2206899999999998</v>
      </c>
      <c r="E26" s="645"/>
      <c r="F26" s="645">
        <v>2.08162</v>
      </c>
      <c r="G26" s="645">
        <v>5.0752508428398331</v>
      </c>
      <c r="H26" s="645">
        <v>-2.9936308428398331</v>
      </c>
      <c r="I26" s="646">
        <v>0.41015115596438956</v>
      </c>
      <c r="J26" s="647" t="s">
        <v>1</v>
      </c>
    </row>
    <row r="27" spans="1:10" ht="14.4" customHeight="1" x14ac:dyDescent="0.3">
      <c r="A27" s="643" t="s">
        <v>517</v>
      </c>
      <c r="B27" s="644" t="s">
        <v>351</v>
      </c>
      <c r="C27" s="645">
        <v>4.774</v>
      </c>
      <c r="D27" s="645">
        <v>6.7559500000000003</v>
      </c>
      <c r="E27" s="645"/>
      <c r="F27" s="645">
        <v>4.6280000000000001</v>
      </c>
      <c r="G27" s="645">
        <v>10.043778522174167</v>
      </c>
      <c r="H27" s="645">
        <v>-5.4157785221741666</v>
      </c>
      <c r="I27" s="646">
        <v>0.46078276116727646</v>
      </c>
      <c r="J27" s="647" t="s">
        <v>1</v>
      </c>
    </row>
    <row r="28" spans="1:10" ht="14.4" customHeight="1" x14ac:dyDescent="0.3">
      <c r="A28" s="643" t="s">
        <v>517</v>
      </c>
      <c r="B28" s="644" t="s">
        <v>352</v>
      </c>
      <c r="C28" s="645">
        <v>28.959699999999998</v>
      </c>
      <c r="D28" s="645">
        <v>37.457799999999999</v>
      </c>
      <c r="E28" s="645"/>
      <c r="F28" s="645">
        <v>34.141829999999999</v>
      </c>
      <c r="G28" s="645">
        <v>60.794348107415836</v>
      </c>
      <c r="H28" s="645">
        <v>-26.652518107415837</v>
      </c>
      <c r="I28" s="646">
        <v>0.56159546179647746</v>
      </c>
      <c r="J28" s="647" t="s">
        <v>1</v>
      </c>
    </row>
    <row r="29" spans="1:10" ht="14.4" customHeight="1" x14ac:dyDescent="0.3">
      <c r="A29" s="643" t="s">
        <v>517</v>
      </c>
      <c r="B29" s="644" t="s">
        <v>353</v>
      </c>
      <c r="C29" s="645">
        <v>44.395629999999997</v>
      </c>
      <c r="D29" s="645">
        <v>14.96988</v>
      </c>
      <c r="E29" s="645"/>
      <c r="F29" s="645">
        <v>42.102999999999994</v>
      </c>
      <c r="G29" s="645">
        <v>34.988918538195499</v>
      </c>
      <c r="H29" s="645">
        <v>7.1140814618044956</v>
      </c>
      <c r="I29" s="646">
        <v>1.2033238453494479</v>
      </c>
      <c r="J29" s="647" t="s">
        <v>1</v>
      </c>
    </row>
    <row r="30" spans="1:10" ht="14.4" customHeight="1" x14ac:dyDescent="0.3">
      <c r="A30" s="643" t="s">
        <v>517</v>
      </c>
      <c r="B30" s="644" t="s">
        <v>354</v>
      </c>
      <c r="C30" s="645">
        <v>25.463260000000002</v>
      </c>
      <c r="D30" s="645">
        <v>31.742539999999998</v>
      </c>
      <c r="E30" s="645"/>
      <c r="F30" s="645">
        <v>31.363510000000002</v>
      </c>
      <c r="G30" s="645">
        <v>45.840197699483163</v>
      </c>
      <c r="H30" s="645">
        <v>-14.476687699483161</v>
      </c>
      <c r="I30" s="646">
        <v>0.68419229353266109</v>
      </c>
      <c r="J30" s="647" t="s">
        <v>1</v>
      </c>
    </row>
    <row r="31" spans="1:10" ht="14.4" customHeight="1" x14ac:dyDescent="0.3">
      <c r="A31" s="643" t="s">
        <v>517</v>
      </c>
      <c r="B31" s="644" t="s">
        <v>355</v>
      </c>
      <c r="C31" s="645">
        <v>0.29799999999999999</v>
      </c>
      <c r="D31" s="645">
        <v>0.56620000000000004</v>
      </c>
      <c r="E31" s="645"/>
      <c r="F31" s="645">
        <v>0</v>
      </c>
      <c r="G31" s="645">
        <v>1.4490203387418334</v>
      </c>
      <c r="H31" s="645">
        <v>-1.4490203387418334</v>
      </c>
      <c r="I31" s="646">
        <v>0</v>
      </c>
      <c r="J31" s="647" t="s">
        <v>1</v>
      </c>
    </row>
    <row r="32" spans="1:10" ht="14.4" customHeight="1" x14ac:dyDescent="0.3">
      <c r="A32" s="643" t="s">
        <v>517</v>
      </c>
      <c r="B32" s="644" t="s">
        <v>519</v>
      </c>
      <c r="C32" s="645">
        <v>592.07974000000092</v>
      </c>
      <c r="D32" s="645">
        <v>622.16566999999986</v>
      </c>
      <c r="E32" s="645"/>
      <c r="F32" s="645">
        <v>835.42597000000001</v>
      </c>
      <c r="G32" s="645">
        <v>782.95498513486802</v>
      </c>
      <c r="H32" s="645">
        <v>52.470984865131982</v>
      </c>
      <c r="I32" s="646">
        <v>1.0670166048640632</v>
      </c>
      <c r="J32" s="647" t="s">
        <v>520</v>
      </c>
    </row>
    <row r="33" spans="1:10" ht="14.4" customHeight="1" x14ac:dyDescent="0.3">
      <c r="A33" s="643" t="s">
        <v>514</v>
      </c>
      <c r="B33" s="644" t="s">
        <v>514</v>
      </c>
      <c r="C33" s="645" t="s">
        <v>514</v>
      </c>
      <c r="D33" s="645" t="s">
        <v>514</v>
      </c>
      <c r="E33" s="645"/>
      <c r="F33" s="645" t="s">
        <v>514</v>
      </c>
      <c r="G33" s="645" t="s">
        <v>514</v>
      </c>
      <c r="H33" s="645" t="s">
        <v>514</v>
      </c>
      <c r="I33" s="646" t="s">
        <v>514</v>
      </c>
      <c r="J33" s="647" t="s">
        <v>521</v>
      </c>
    </row>
    <row r="34" spans="1:10" ht="14.4" customHeight="1" x14ac:dyDescent="0.3">
      <c r="A34" s="643" t="s">
        <v>512</v>
      </c>
      <c r="B34" s="644" t="s">
        <v>515</v>
      </c>
      <c r="C34" s="645">
        <v>592.07974000000092</v>
      </c>
      <c r="D34" s="645">
        <v>622.16566999999986</v>
      </c>
      <c r="E34" s="645"/>
      <c r="F34" s="645">
        <v>835.42597000000001</v>
      </c>
      <c r="G34" s="645">
        <v>782.95498513486802</v>
      </c>
      <c r="H34" s="645">
        <v>52.470984865131982</v>
      </c>
      <c r="I34" s="646">
        <v>1.0670166048640632</v>
      </c>
      <c r="J34" s="647" t="s">
        <v>516</v>
      </c>
    </row>
  </sheetData>
  <mergeCells count="3">
    <mergeCell ref="A1:I1"/>
    <mergeCell ref="F3:I3"/>
    <mergeCell ref="C4:D4"/>
  </mergeCells>
  <conditionalFormatting sqref="F18 F35:F65537">
    <cfRule type="cellIs" dxfId="44" priority="18" stopIfTrue="1" operator="greaterThan">
      <formula>1</formula>
    </cfRule>
  </conditionalFormatting>
  <conditionalFormatting sqref="H5:H17">
    <cfRule type="expression" dxfId="43" priority="14">
      <formula>$H5&gt;0</formula>
    </cfRule>
  </conditionalFormatting>
  <conditionalFormatting sqref="I5:I17">
    <cfRule type="expression" dxfId="42" priority="15">
      <formula>$I5&gt;1</formula>
    </cfRule>
  </conditionalFormatting>
  <conditionalFormatting sqref="B5:B17">
    <cfRule type="expression" dxfId="41" priority="11">
      <formula>OR($J5="NS",$J5="SumaNS",$J5="Účet")</formula>
    </cfRule>
  </conditionalFormatting>
  <conditionalFormatting sqref="F5:I17 B5:D17">
    <cfRule type="expression" dxfId="40" priority="17">
      <formula>AND($J5&lt;&gt;"",$J5&lt;&gt;"mezeraKL")</formula>
    </cfRule>
  </conditionalFormatting>
  <conditionalFormatting sqref="B5:D17 F5:I17">
    <cfRule type="expression" dxfId="3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8" priority="13">
      <formula>OR($J5="SumaNS",$J5="NS")</formula>
    </cfRule>
  </conditionalFormatting>
  <conditionalFormatting sqref="A5:A17">
    <cfRule type="expression" dxfId="37" priority="9">
      <formula>AND($J5&lt;&gt;"mezeraKL",$J5&lt;&gt;"")</formula>
    </cfRule>
  </conditionalFormatting>
  <conditionalFormatting sqref="A5:A17">
    <cfRule type="expression" dxfId="36" priority="10">
      <formula>AND($J5&lt;&gt;"",$J5&lt;&gt;"mezeraKL")</formula>
    </cfRule>
  </conditionalFormatting>
  <conditionalFormatting sqref="H19:H34">
    <cfRule type="expression" dxfId="35" priority="5">
      <formula>$H19&gt;0</formula>
    </cfRule>
  </conditionalFormatting>
  <conditionalFormatting sqref="A19:A34">
    <cfRule type="expression" dxfId="34" priority="2">
      <formula>AND($J19&lt;&gt;"mezeraKL",$J19&lt;&gt;"")</formula>
    </cfRule>
  </conditionalFormatting>
  <conditionalFormatting sqref="I19:I34">
    <cfRule type="expression" dxfId="33" priority="6">
      <formula>$I19&gt;1</formula>
    </cfRule>
  </conditionalFormatting>
  <conditionalFormatting sqref="B19:B34">
    <cfRule type="expression" dxfId="32" priority="1">
      <formula>OR($J19="NS",$J19="SumaNS",$J19="Účet")</formula>
    </cfRule>
  </conditionalFormatting>
  <conditionalFormatting sqref="A19:D34 F19:I34">
    <cfRule type="expression" dxfId="31" priority="8">
      <formula>AND($J19&lt;&gt;"",$J19&lt;&gt;"mezeraKL")</formula>
    </cfRule>
  </conditionalFormatting>
  <conditionalFormatting sqref="B19:D34 F19:I34">
    <cfRule type="expression" dxfId="30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9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25" t="s">
        <v>1952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</row>
    <row r="2" spans="1:11" ht="14.4" customHeight="1" thickBot="1" x14ac:dyDescent="0.35">
      <c r="A2" s="351" t="s">
        <v>322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21"/>
      <c r="D3" s="522"/>
      <c r="E3" s="522"/>
      <c r="F3" s="522"/>
      <c r="G3" s="522"/>
      <c r="H3" s="244" t="s">
        <v>142</v>
      </c>
      <c r="I3" s="188">
        <f>IF(J3&lt;&gt;0,K3/J3,0)</f>
        <v>6.0488145300259211</v>
      </c>
      <c r="J3" s="188">
        <f>SUBTOTAL(9,J5:J1048576)</f>
        <v>138114</v>
      </c>
      <c r="K3" s="189">
        <f>SUBTOTAL(9,K5:K1048576)</f>
        <v>835425.97000000009</v>
      </c>
    </row>
    <row r="4" spans="1:11" s="311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77</v>
      </c>
      <c r="H4" s="650" t="s">
        <v>11</v>
      </c>
      <c r="I4" s="651" t="s">
        <v>165</v>
      </c>
      <c r="J4" s="651" t="s">
        <v>13</v>
      </c>
      <c r="K4" s="652" t="s">
        <v>176</v>
      </c>
    </row>
    <row r="5" spans="1:11" ht="14.4" customHeight="1" x14ac:dyDescent="0.3">
      <c r="A5" s="655" t="s">
        <v>512</v>
      </c>
      <c r="B5" s="656" t="s">
        <v>1387</v>
      </c>
      <c r="C5" s="657" t="s">
        <v>517</v>
      </c>
      <c r="D5" s="658" t="s">
        <v>1388</v>
      </c>
      <c r="E5" s="657" t="s">
        <v>1932</v>
      </c>
      <c r="F5" s="658" t="s">
        <v>1933</v>
      </c>
      <c r="G5" s="657" t="s">
        <v>1556</v>
      </c>
      <c r="H5" s="657" t="s">
        <v>1557</v>
      </c>
      <c r="I5" s="659">
        <v>183.08</v>
      </c>
      <c r="J5" s="659">
        <v>2</v>
      </c>
      <c r="K5" s="660">
        <v>366.16</v>
      </c>
    </row>
    <row r="6" spans="1:11" ht="14.4" customHeight="1" x14ac:dyDescent="0.3">
      <c r="A6" s="661" t="s">
        <v>512</v>
      </c>
      <c r="B6" s="662" t="s">
        <v>1387</v>
      </c>
      <c r="C6" s="663" t="s">
        <v>517</v>
      </c>
      <c r="D6" s="664" t="s">
        <v>1388</v>
      </c>
      <c r="E6" s="663" t="s">
        <v>1932</v>
      </c>
      <c r="F6" s="664" t="s">
        <v>1933</v>
      </c>
      <c r="G6" s="663" t="s">
        <v>1558</v>
      </c>
      <c r="H6" s="663" t="s">
        <v>1559</v>
      </c>
      <c r="I6" s="665">
        <v>4.8433333333333328</v>
      </c>
      <c r="J6" s="665">
        <v>200</v>
      </c>
      <c r="K6" s="666">
        <v>968.36</v>
      </c>
    </row>
    <row r="7" spans="1:11" ht="14.4" customHeight="1" x14ac:dyDescent="0.3">
      <c r="A7" s="661" t="s">
        <v>512</v>
      </c>
      <c r="B7" s="662" t="s">
        <v>1387</v>
      </c>
      <c r="C7" s="663" t="s">
        <v>517</v>
      </c>
      <c r="D7" s="664" t="s">
        <v>1388</v>
      </c>
      <c r="E7" s="663" t="s">
        <v>1932</v>
      </c>
      <c r="F7" s="664" t="s">
        <v>1933</v>
      </c>
      <c r="G7" s="663" t="s">
        <v>1560</v>
      </c>
      <c r="H7" s="663" t="s">
        <v>1561</v>
      </c>
      <c r="I7" s="665">
        <v>85.08</v>
      </c>
      <c r="J7" s="665">
        <v>12</v>
      </c>
      <c r="K7" s="666">
        <v>1020.96</v>
      </c>
    </row>
    <row r="8" spans="1:11" ht="14.4" customHeight="1" x14ac:dyDescent="0.3">
      <c r="A8" s="661" t="s">
        <v>512</v>
      </c>
      <c r="B8" s="662" t="s">
        <v>1387</v>
      </c>
      <c r="C8" s="663" t="s">
        <v>517</v>
      </c>
      <c r="D8" s="664" t="s">
        <v>1388</v>
      </c>
      <c r="E8" s="663" t="s">
        <v>1932</v>
      </c>
      <c r="F8" s="664" t="s">
        <v>1933</v>
      </c>
      <c r="G8" s="663" t="s">
        <v>1562</v>
      </c>
      <c r="H8" s="663" t="s">
        <v>1563</v>
      </c>
      <c r="I8" s="665">
        <v>2.5099999999999998</v>
      </c>
      <c r="J8" s="665">
        <v>20</v>
      </c>
      <c r="K8" s="666">
        <v>50.2</v>
      </c>
    </row>
    <row r="9" spans="1:11" ht="14.4" customHeight="1" x14ac:dyDescent="0.3">
      <c r="A9" s="661" t="s">
        <v>512</v>
      </c>
      <c r="B9" s="662" t="s">
        <v>1387</v>
      </c>
      <c r="C9" s="663" t="s">
        <v>517</v>
      </c>
      <c r="D9" s="664" t="s">
        <v>1388</v>
      </c>
      <c r="E9" s="663" t="s">
        <v>1932</v>
      </c>
      <c r="F9" s="664" t="s">
        <v>1933</v>
      </c>
      <c r="G9" s="663" t="s">
        <v>1564</v>
      </c>
      <c r="H9" s="663" t="s">
        <v>1565</v>
      </c>
      <c r="I9" s="665">
        <v>3.96</v>
      </c>
      <c r="J9" s="665">
        <v>20</v>
      </c>
      <c r="K9" s="666">
        <v>79.2</v>
      </c>
    </row>
    <row r="10" spans="1:11" ht="14.4" customHeight="1" x14ac:dyDescent="0.3">
      <c r="A10" s="661" t="s">
        <v>512</v>
      </c>
      <c r="B10" s="662" t="s">
        <v>1387</v>
      </c>
      <c r="C10" s="663" t="s">
        <v>517</v>
      </c>
      <c r="D10" s="664" t="s">
        <v>1388</v>
      </c>
      <c r="E10" s="663" t="s">
        <v>1932</v>
      </c>
      <c r="F10" s="664" t="s">
        <v>1933</v>
      </c>
      <c r="G10" s="663" t="s">
        <v>1566</v>
      </c>
      <c r="H10" s="663" t="s">
        <v>1567</v>
      </c>
      <c r="I10" s="665">
        <v>9.2899999999999991</v>
      </c>
      <c r="J10" s="665">
        <v>50</v>
      </c>
      <c r="K10" s="666">
        <v>464.68</v>
      </c>
    </row>
    <row r="11" spans="1:11" ht="14.4" customHeight="1" x14ac:dyDescent="0.3">
      <c r="A11" s="661" t="s">
        <v>512</v>
      </c>
      <c r="B11" s="662" t="s">
        <v>1387</v>
      </c>
      <c r="C11" s="663" t="s">
        <v>517</v>
      </c>
      <c r="D11" s="664" t="s">
        <v>1388</v>
      </c>
      <c r="E11" s="663" t="s">
        <v>1932</v>
      </c>
      <c r="F11" s="664" t="s">
        <v>1933</v>
      </c>
      <c r="G11" s="663" t="s">
        <v>1568</v>
      </c>
      <c r="H11" s="663" t="s">
        <v>1569</v>
      </c>
      <c r="I11" s="665">
        <v>0.42</v>
      </c>
      <c r="J11" s="665">
        <v>4000</v>
      </c>
      <c r="K11" s="666">
        <v>1680</v>
      </c>
    </row>
    <row r="12" spans="1:11" ht="14.4" customHeight="1" x14ac:dyDescent="0.3">
      <c r="A12" s="661" t="s">
        <v>512</v>
      </c>
      <c r="B12" s="662" t="s">
        <v>1387</v>
      </c>
      <c r="C12" s="663" t="s">
        <v>517</v>
      </c>
      <c r="D12" s="664" t="s">
        <v>1388</v>
      </c>
      <c r="E12" s="663" t="s">
        <v>1932</v>
      </c>
      <c r="F12" s="664" t="s">
        <v>1933</v>
      </c>
      <c r="G12" s="663" t="s">
        <v>1570</v>
      </c>
      <c r="H12" s="663" t="s">
        <v>1571</v>
      </c>
      <c r="I12" s="665">
        <v>28.73</v>
      </c>
      <c r="J12" s="665">
        <v>144</v>
      </c>
      <c r="K12" s="666">
        <v>4137.12</v>
      </c>
    </row>
    <row r="13" spans="1:11" ht="14.4" customHeight="1" x14ac:dyDescent="0.3">
      <c r="A13" s="661" t="s">
        <v>512</v>
      </c>
      <c r="B13" s="662" t="s">
        <v>1387</v>
      </c>
      <c r="C13" s="663" t="s">
        <v>517</v>
      </c>
      <c r="D13" s="664" t="s">
        <v>1388</v>
      </c>
      <c r="E13" s="663" t="s">
        <v>1932</v>
      </c>
      <c r="F13" s="664" t="s">
        <v>1933</v>
      </c>
      <c r="G13" s="663" t="s">
        <v>1572</v>
      </c>
      <c r="H13" s="663" t="s">
        <v>1573</v>
      </c>
      <c r="I13" s="665">
        <v>46.31</v>
      </c>
      <c r="J13" s="665">
        <v>12</v>
      </c>
      <c r="K13" s="666">
        <v>555.72</v>
      </c>
    </row>
    <row r="14" spans="1:11" ht="14.4" customHeight="1" x14ac:dyDescent="0.3">
      <c r="A14" s="661" t="s">
        <v>512</v>
      </c>
      <c r="B14" s="662" t="s">
        <v>1387</v>
      </c>
      <c r="C14" s="663" t="s">
        <v>517</v>
      </c>
      <c r="D14" s="664" t="s">
        <v>1388</v>
      </c>
      <c r="E14" s="663" t="s">
        <v>1932</v>
      </c>
      <c r="F14" s="664" t="s">
        <v>1933</v>
      </c>
      <c r="G14" s="663" t="s">
        <v>1574</v>
      </c>
      <c r="H14" s="663" t="s">
        <v>1575</v>
      </c>
      <c r="I14" s="665">
        <v>4.0999999999999996</v>
      </c>
      <c r="J14" s="665">
        <v>100</v>
      </c>
      <c r="K14" s="666">
        <v>410</v>
      </c>
    </row>
    <row r="15" spans="1:11" ht="14.4" customHeight="1" x14ac:dyDescent="0.3">
      <c r="A15" s="661" t="s">
        <v>512</v>
      </c>
      <c r="B15" s="662" t="s">
        <v>1387</v>
      </c>
      <c r="C15" s="663" t="s">
        <v>517</v>
      </c>
      <c r="D15" s="664" t="s">
        <v>1388</v>
      </c>
      <c r="E15" s="663" t="s">
        <v>1932</v>
      </c>
      <c r="F15" s="664" t="s">
        <v>1933</v>
      </c>
      <c r="G15" s="663" t="s">
        <v>1576</v>
      </c>
      <c r="H15" s="663" t="s">
        <v>1577</v>
      </c>
      <c r="I15" s="665">
        <v>3.01</v>
      </c>
      <c r="J15" s="665">
        <v>2840</v>
      </c>
      <c r="K15" s="666">
        <v>8552</v>
      </c>
    </row>
    <row r="16" spans="1:11" ht="14.4" customHeight="1" x14ac:dyDescent="0.3">
      <c r="A16" s="661" t="s">
        <v>512</v>
      </c>
      <c r="B16" s="662" t="s">
        <v>1387</v>
      </c>
      <c r="C16" s="663" t="s">
        <v>517</v>
      </c>
      <c r="D16" s="664" t="s">
        <v>1388</v>
      </c>
      <c r="E16" s="663" t="s">
        <v>1932</v>
      </c>
      <c r="F16" s="664" t="s">
        <v>1933</v>
      </c>
      <c r="G16" s="663" t="s">
        <v>1578</v>
      </c>
      <c r="H16" s="663" t="s">
        <v>1579</v>
      </c>
      <c r="I16" s="665">
        <v>0.88</v>
      </c>
      <c r="J16" s="665">
        <v>6000</v>
      </c>
      <c r="K16" s="666">
        <v>5280</v>
      </c>
    </row>
    <row r="17" spans="1:11" ht="14.4" customHeight="1" x14ac:dyDescent="0.3">
      <c r="A17" s="661" t="s">
        <v>512</v>
      </c>
      <c r="B17" s="662" t="s">
        <v>1387</v>
      </c>
      <c r="C17" s="663" t="s">
        <v>517</v>
      </c>
      <c r="D17" s="664" t="s">
        <v>1388</v>
      </c>
      <c r="E17" s="663" t="s">
        <v>1932</v>
      </c>
      <c r="F17" s="664" t="s">
        <v>1933</v>
      </c>
      <c r="G17" s="663" t="s">
        <v>1580</v>
      </c>
      <c r="H17" s="663" t="s">
        <v>1581</v>
      </c>
      <c r="I17" s="665">
        <v>1.42</v>
      </c>
      <c r="J17" s="665">
        <v>400</v>
      </c>
      <c r="K17" s="666">
        <v>567.23</v>
      </c>
    </row>
    <row r="18" spans="1:11" ht="14.4" customHeight="1" x14ac:dyDescent="0.3">
      <c r="A18" s="661" t="s">
        <v>512</v>
      </c>
      <c r="B18" s="662" t="s">
        <v>1387</v>
      </c>
      <c r="C18" s="663" t="s">
        <v>517</v>
      </c>
      <c r="D18" s="664" t="s">
        <v>1388</v>
      </c>
      <c r="E18" s="663" t="s">
        <v>1932</v>
      </c>
      <c r="F18" s="664" t="s">
        <v>1933</v>
      </c>
      <c r="G18" s="663" t="s">
        <v>1582</v>
      </c>
      <c r="H18" s="663" t="s">
        <v>1583</v>
      </c>
      <c r="I18" s="665">
        <v>86.37</v>
      </c>
      <c r="J18" s="665">
        <v>20</v>
      </c>
      <c r="K18" s="666">
        <v>1727.4</v>
      </c>
    </row>
    <row r="19" spans="1:11" ht="14.4" customHeight="1" x14ac:dyDescent="0.3">
      <c r="A19" s="661" t="s">
        <v>512</v>
      </c>
      <c r="B19" s="662" t="s">
        <v>1387</v>
      </c>
      <c r="C19" s="663" t="s">
        <v>517</v>
      </c>
      <c r="D19" s="664" t="s">
        <v>1388</v>
      </c>
      <c r="E19" s="663" t="s">
        <v>1932</v>
      </c>
      <c r="F19" s="664" t="s">
        <v>1933</v>
      </c>
      <c r="G19" s="663" t="s">
        <v>1584</v>
      </c>
      <c r="H19" s="663" t="s">
        <v>1585</v>
      </c>
      <c r="I19" s="665">
        <v>0.99</v>
      </c>
      <c r="J19" s="665">
        <v>160</v>
      </c>
      <c r="K19" s="666">
        <v>158.4</v>
      </c>
    </row>
    <row r="20" spans="1:11" ht="14.4" customHeight="1" x14ac:dyDescent="0.3">
      <c r="A20" s="661" t="s">
        <v>512</v>
      </c>
      <c r="B20" s="662" t="s">
        <v>1387</v>
      </c>
      <c r="C20" s="663" t="s">
        <v>517</v>
      </c>
      <c r="D20" s="664" t="s">
        <v>1388</v>
      </c>
      <c r="E20" s="663" t="s">
        <v>1932</v>
      </c>
      <c r="F20" s="664" t="s">
        <v>1933</v>
      </c>
      <c r="G20" s="663" t="s">
        <v>1586</v>
      </c>
      <c r="H20" s="663" t="s">
        <v>1587</v>
      </c>
      <c r="I20" s="665">
        <v>233.8</v>
      </c>
      <c r="J20" s="665">
        <v>5</v>
      </c>
      <c r="K20" s="666">
        <v>1168.98</v>
      </c>
    </row>
    <row r="21" spans="1:11" ht="14.4" customHeight="1" x14ac:dyDescent="0.3">
      <c r="A21" s="661" t="s">
        <v>512</v>
      </c>
      <c r="B21" s="662" t="s">
        <v>1387</v>
      </c>
      <c r="C21" s="663" t="s">
        <v>517</v>
      </c>
      <c r="D21" s="664" t="s">
        <v>1388</v>
      </c>
      <c r="E21" s="663" t="s">
        <v>1932</v>
      </c>
      <c r="F21" s="664" t="s">
        <v>1933</v>
      </c>
      <c r="G21" s="663" t="s">
        <v>1588</v>
      </c>
      <c r="H21" s="663" t="s">
        <v>1589</v>
      </c>
      <c r="I21" s="665">
        <v>0.43</v>
      </c>
      <c r="J21" s="665">
        <v>500</v>
      </c>
      <c r="K21" s="666">
        <v>215</v>
      </c>
    </row>
    <row r="22" spans="1:11" ht="14.4" customHeight="1" x14ac:dyDescent="0.3">
      <c r="A22" s="661" t="s">
        <v>512</v>
      </c>
      <c r="B22" s="662" t="s">
        <v>1387</v>
      </c>
      <c r="C22" s="663" t="s">
        <v>517</v>
      </c>
      <c r="D22" s="664" t="s">
        <v>1388</v>
      </c>
      <c r="E22" s="663" t="s">
        <v>1932</v>
      </c>
      <c r="F22" s="664" t="s">
        <v>1933</v>
      </c>
      <c r="G22" s="663" t="s">
        <v>1590</v>
      </c>
      <c r="H22" s="663" t="s">
        <v>1591</v>
      </c>
      <c r="I22" s="665">
        <v>22.14</v>
      </c>
      <c r="J22" s="665">
        <v>125</v>
      </c>
      <c r="K22" s="666">
        <v>2767.5</v>
      </c>
    </row>
    <row r="23" spans="1:11" ht="14.4" customHeight="1" x14ac:dyDescent="0.3">
      <c r="A23" s="661" t="s">
        <v>512</v>
      </c>
      <c r="B23" s="662" t="s">
        <v>1387</v>
      </c>
      <c r="C23" s="663" t="s">
        <v>517</v>
      </c>
      <c r="D23" s="664" t="s">
        <v>1388</v>
      </c>
      <c r="E23" s="663" t="s">
        <v>1932</v>
      </c>
      <c r="F23" s="664" t="s">
        <v>1933</v>
      </c>
      <c r="G23" s="663" t="s">
        <v>1592</v>
      </c>
      <c r="H23" s="663" t="s">
        <v>1593</v>
      </c>
      <c r="I23" s="665">
        <v>30.18</v>
      </c>
      <c r="J23" s="665">
        <v>50</v>
      </c>
      <c r="K23" s="666">
        <v>1509</v>
      </c>
    </row>
    <row r="24" spans="1:11" ht="14.4" customHeight="1" x14ac:dyDescent="0.3">
      <c r="A24" s="661" t="s">
        <v>512</v>
      </c>
      <c r="B24" s="662" t="s">
        <v>1387</v>
      </c>
      <c r="C24" s="663" t="s">
        <v>517</v>
      </c>
      <c r="D24" s="664" t="s">
        <v>1388</v>
      </c>
      <c r="E24" s="663" t="s">
        <v>1932</v>
      </c>
      <c r="F24" s="664" t="s">
        <v>1933</v>
      </c>
      <c r="G24" s="663" t="s">
        <v>1594</v>
      </c>
      <c r="H24" s="663" t="s">
        <v>1595</v>
      </c>
      <c r="I24" s="665">
        <v>272.44</v>
      </c>
      <c r="J24" s="665">
        <v>6</v>
      </c>
      <c r="K24" s="666">
        <v>1634.64</v>
      </c>
    </row>
    <row r="25" spans="1:11" ht="14.4" customHeight="1" x14ac:dyDescent="0.3">
      <c r="A25" s="661" t="s">
        <v>512</v>
      </c>
      <c r="B25" s="662" t="s">
        <v>1387</v>
      </c>
      <c r="C25" s="663" t="s">
        <v>517</v>
      </c>
      <c r="D25" s="664" t="s">
        <v>1388</v>
      </c>
      <c r="E25" s="663" t="s">
        <v>1932</v>
      </c>
      <c r="F25" s="664" t="s">
        <v>1933</v>
      </c>
      <c r="G25" s="663" t="s">
        <v>1596</v>
      </c>
      <c r="H25" s="663" t="s">
        <v>1597</v>
      </c>
      <c r="I25" s="665">
        <v>1.2549999999999999</v>
      </c>
      <c r="J25" s="665">
        <v>625</v>
      </c>
      <c r="K25" s="666">
        <v>784.72</v>
      </c>
    </row>
    <row r="26" spans="1:11" ht="14.4" customHeight="1" x14ac:dyDescent="0.3">
      <c r="A26" s="661" t="s">
        <v>512</v>
      </c>
      <c r="B26" s="662" t="s">
        <v>1387</v>
      </c>
      <c r="C26" s="663" t="s">
        <v>517</v>
      </c>
      <c r="D26" s="664" t="s">
        <v>1388</v>
      </c>
      <c r="E26" s="663" t="s">
        <v>1932</v>
      </c>
      <c r="F26" s="664" t="s">
        <v>1933</v>
      </c>
      <c r="G26" s="663" t="s">
        <v>1598</v>
      </c>
      <c r="H26" s="663" t="s">
        <v>1599</v>
      </c>
      <c r="I26" s="665">
        <v>13.045</v>
      </c>
      <c r="J26" s="665">
        <v>280</v>
      </c>
      <c r="K26" s="666">
        <v>3652.6</v>
      </c>
    </row>
    <row r="27" spans="1:11" ht="14.4" customHeight="1" x14ac:dyDescent="0.3">
      <c r="A27" s="661" t="s">
        <v>512</v>
      </c>
      <c r="B27" s="662" t="s">
        <v>1387</v>
      </c>
      <c r="C27" s="663" t="s">
        <v>517</v>
      </c>
      <c r="D27" s="664" t="s">
        <v>1388</v>
      </c>
      <c r="E27" s="663" t="s">
        <v>1932</v>
      </c>
      <c r="F27" s="664" t="s">
        <v>1933</v>
      </c>
      <c r="G27" s="663" t="s">
        <v>1600</v>
      </c>
      <c r="H27" s="663" t="s">
        <v>1601</v>
      </c>
      <c r="I27" s="665">
        <v>1.38</v>
      </c>
      <c r="J27" s="665">
        <v>100</v>
      </c>
      <c r="K27" s="666">
        <v>138</v>
      </c>
    </row>
    <row r="28" spans="1:11" ht="14.4" customHeight="1" x14ac:dyDescent="0.3">
      <c r="A28" s="661" t="s">
        <v>512</v>
      </c>
      <c r="B28" s="662" t="s">
        <v>1387</v>
      </c>
      <c r="C28" s="663" t="s">
        <v>517</v>
      </c>
      <c r="D28" s="664" t="s">
        <v>1388</v>
      </c>
      <c r="E28" s="663" t="s">
        <v>1932</v>
      </c>
      <c r="F28" s="664" t="s">
        <v>1933</v>
      </c>
      <c r="G28" s="663" t="s">
        <v>1602</v>
      </c>
      <c r="H28" s="663" t="s">
        <v>1603</v>
      </c>
      <c r="I28" s="665">
        <v>3.94</v>
      </c>
      <c r="J28" s="665">
        <v>2250</v>
      </c>
      <c r="K28" s="666">
        <v>8875.35</v>
      </c>
    </row>
    <row r="29" spans="1:11" ht="14.4" customHeight="1" x14ac:dyDescent="0.3">
      <c r="A29" s="661" t="s">
        <v>512</v>
      </c>
      <c r="B29" s="662" t="s">
        <v>1387</v>
      </c>
      <c r="C29" s="663" t="s">
        <v>517</v>
      </c>
      <c r="D29" s="664" t="s">
        <v>1388</v>
      </c>
      <c r="E29" s="663" t="s">
        <v>1932</v>
      </c>
      <c r="F29" s="664" t="s">
        <v>1933</v>
      </c>
      <c r="G29" s="663" t="s">
        <v>1604</v>
      </c>
      <c r="H29" s="663" t="s">
        <v>1605</v>
      </c>
      <c r="I29" s="665">
        <v>0.44</v>
      </c>
      <c r="J29" s="665">
        <v>500</v>
      </c>
      <c r="K29" s="666">
        <v>220</v>
      </c>
    </row>
    <row r="30" spans="1:11" ht="14.4" customHeight="1" x14ac:dyDescent="0.3">
      <c r="A30" s="661" t="s">
        <v>512</v>
      </c>
      <c r="B30" s="662" t="s">
        <v>1387</v>
      </c>
      <c r="C30" s="663" t="s">
        <v>517</v>
      </c>
      <c r="D30" s="664" t="s">
        <v>1388</v>
      </c>
      <c r="E30" s="663" t="s">
        <v>1932</v>
      </c>
      <c r="F30" s="664" t="s">
        <v>1933</v>
      </c>
      <c r="G30" s="663" t="s">
        <v>1606</v>
      </c>
      <c r="H30" s="663" t="s">
        <v>1607</v>
      </c>
      <c r="I30" s="665">
        <v>775.93</v>
      </c>
      <c r="J30" s="665">
        <v>3</v>
      </c>
      <c r="K30" s="666">
        <v>2327.79</v>
      </c>
    </row>
    <row r="31" spans="1:11" ht="14.4" customHeight="1" x14ac:dyDescent="0.3">
      <c r="A31" s="661" t="s">
        <v>512</v>
      </c>
      <c r="B31" s="662" t="s">
        <v>1387</v>
      </c>
      <c r="C31" s="663" t="s">
        <v>517</v>
      </c>
      <c r="D31" s="664" t="s">
        <v>1388</v>
      </c>
      <c r="E31" s="663" t="s">
        <v>1932</v>
      </c>
      <c r="F31" s="664" t="s">
        <v>1933</v>
      </c>
      <c r="G31" s="663" t="s">
        <v>1608</v>
      </c>
      <c r="H31" s="663" t="s">
        <v>1609</v>
      </c>
      <c r="I31" s="665">
        <v>8.58</v>
      </c>
      <c r="J31" s="665">
        <v>72</v>
      </c>
      <c r="K31" s="666">
        <v>617.76</v>
      </c>
    </row>
    <row r="32" spans="1:11" ht="14.4" customHeight="1" x14ac:dyDescent="0.3">
      <c r="A32" s="661" t="s">
        <v>512</v>
      </c>
      <c r="B32" s="662" t="s">
        <v>1387</v>
      </c>
      <c r="C32" s="663" t="s">
        <v>517</v>
      </c>
      <c r="D32" s="664" t="s">
        <v>1388</v>
      </c>
      <c r="E32" s="663" t="s">
        <v>1932</v>
      </c>
      <c r="F32" s="664" t="s">
        <v>1933</v>
      </c>
      <c r="G32" s="663" t="s">
        <v>1610</v>
      </c>
      <c r="H32" s="663" t="s">
        <v>1611</v>
      </c>
      <c r="I32" s="665">
        <v>27.876666666666665</v>
      </c>
      <c r="J32" s="665">
        <v>9</v>
      </c>
      <c r="K32" s="666">
        <v>250.89</v>
      </c>
    </row>
    <row r="33" spans="1:11" ht="14.4" customHeight="1" x14ac:dyDescent="0.3">
      <c r="A33" s="661" t="s">
        <v>512</v>
      </c>
      <c r="B33" s="662" t="s">
        <v>1387</v>
      </c>
      <c r="C33" s="663" t="s">
        <v>517</v>
      </c>
      <c r="D33" s="664" t="s">
        <v>1388</v>
      </c>
      <c r="E33" s="663" t="s">
        <v>1932</v>
      </c>
      <c r="F33" s="664" t="s">
        <v>1933</v>
      </c>
      <c r="G33" s="663" t="s">
        <v>1612</v>
      </c>
      <c r="H33" s="663" t="s">
        <v>1613</v>
      </c>
      <c r="I33" s="665">
        <v>3.2450000000000001</v>
      </c>
      <c r="J33" s="665">
        <v>340</v>
      </c>
      <c r="K33" s="666">
        <v>1103.56</v>
      </c>
    </row>
    <row r="34" spans="1:11" ht="14.4" customHeight="1" x14ac:dyDescent="0.3">
      <c r="A34" s="661" t="s">
        <v>512</v>
      </c>
      <c r="B34" s="662" t="s">
        <v>1387</v>
      </c>
      <c r="C34" s="663" t="s">
        <v>517</v>
      </c>
      <c r="D34" s="664" t="s">
        <v>1388</v>
      </c>
      <c r="E34" s="663" t="s">
        <v>1932</v>
      </c>
      <c r="F34" s="664" t="s">
        <v>1933</v>
      </c>
      <c r="G34" s="663" t="s">
        <v>1614</v>
      </c>
      <c r="H34" s="663" t="s">
        <v>1615</v>
      </c>
      <c r="I34" s="665">
        <v>1.29</v>
      </c>
      <c r="J34" s="665">
        <v>2500</v>
      </c>
      <c r="K34" s="666">
        <v>3225</v>
      </c>
    </row>
    <row r="35" spans="1:11" ht="14.4" customHeight="1" x14ac:dyDescent="0.3">
      <c r="A35" s="661" t="s">
        <v>512</v>
      </c>
      <c r="B35" s="662" t="s">
        <v>1387</v>
      </c>
      <c r="C35" s="663" t="s">
        <v>517</v>
      </c>
      <c r="D35" s="664" t="s">
        <v>1388</v>
      </c>
      <c r="E35" s="663" t="s">
        <v>1932</v>
      </c>
      <c r="F35" s="664" t="s">
        <v>1933</v>
      </c>
      <c r="G35" s="663" t="s">
        <v>1616</v>
      </c>
      <c r="H35" s="663" t="s">
        <v>1617</v>
      </c>
      <c r="I35" s="665">
        <v>46</v>
      </c>
      <c r="J35" s="665">
        <v>2</v>
      </c>
      <c r="K35" s="666">
        <v>92</v>
      </c>
    </row>
    <row r="36" spans="1:11" ht="14.4" customHeight="1" x14ac:dyDescent="0.3">
      <c r="A36" s="661" t="s">
        <v>512</v>
      </c>
      <c r="B36" s="662" t="s">
        <v>1387</v>
      </c>
      <c r="C36" s="663" t="s">
        <v>517</v>
      </c>
      <c r="D36" s="664" t="s">
        <v>1388</v>
      </c>
      <c r="E36" s="663" t="s">
        <v>1932</v>
      </c>
      <c r="F36" s="664" t="s">
        <v>1933</v>
      </c>
      <c r="G36" s="663" t="s">
        <v>1618</v>
      </c>
      <c r="H36" s="663" t="s">
        <v>1619</v>
      </c>
      <c r="I36" s="665">
        <v>29.9</v>
      </c>
      <c r="J36" s="665">
        <v>20</v>
      </c>
      <c r="K36" s="666">
        <v>598</v>
      </c>
    </row>
    <row r="37" spans="1:11" ht="14.4" customHeight="1" x14ac:dyDescent="0.3">
      <c r="A37" s="661" t="s">
        <v>512</v>
      </c>
      <c r="B37" s="662" t="s">
        <v>1387</v>
      </c>
      <c r="C37" s="663" t="s">
        <v>517</v>
      </c>
      <c r="D37" s="664" t="s">
        <v>1388</v>
      </c>
      <c r="E37" s="663" t="s">
        <v>1932</v>
      </c>
      <c r="F37" s="664" t="s">
        <v>1933</v>
      </c>
      <c r="G37" s="663" t="s">
        <v>1620</v>
      </c>
      <c r="H37" s="663" t="s">
        <v>1621</v>
      </c>
      <c r="I37" s="665">
        <v>283.02</v>
      </c>
      <c r="J37" s="665">
        <v>5</v>
      </c>
      <c r="K37" s="666">
        <v>1415.08</v>
      </c>
    </row>
    <row r="38" spans="1:11" ht="14.4" customHeight="1" x14ac:dyDescent="0.3">
      <c r="A38" s="661" t="s">
        <v>512</v>
      </c>
      <c r="B38" s="662" t="s">
        <v>1387</v>
      </c>
      <c r="C38" s="663" t="s">
        <v>517</v>
      </c>
      <c r="D38" s="664" t="s">
        <v>1388</v>
      </c>
      <c r="E38" s="663" t="s">
        <v>1932</v>
      </c>
      <c r="F38" s="664" t="s">
        <v>1933</v>
      </c>
      <c r="G38" s="663" t="s">
        <v>1622</v>
      </c>
      <c r="H38" s="663" t="s">
        <v>1623</v>
      </c>
      <c r="I38" s="665">
        <v>0.97</v>
      </c>
      <c r="J38" s="665">
        <v>500</v>
      </c>
      <c r="K38" s="666">
        <v>485</v>
      </c>
    </row>
    <row r="39" spans="1:11" ht="14.4" customHeight="1" x14ac:dyDescent="0.3">
      <c r="A39" s="661" t="s">
        <v>512</v>
      </c>
      <c r="B39" s="662" t="s">
        <v>1387</v>
      </c>
      <c r="C39" s="663" t="s">
        <v>517</v>
      </c>
      <c r="D39" s="664" t="s">
        <v>1388</v>
      </c>
      <c r="E39" s="663" t="s">
        <v>1932</v>
      </c>
      <c r="F39" s="664" t="s">
        <v>1933</v>
      </c>
      <c r="G39" s="663" t="s">
        <v>1624</v>
      </c>
      <c r="H39" s="663" t="s">
        <v>1625</v>
      </c>
      <c r="I39" s="665">
        <v>0.85499999999999998</v>
      </c>
      <c r="J39" s="665">
        <v>500</v>
      </c>
      <c r="K39" s="666">
        <v>428</v>
      </c>
    </row>
    <row r="40" spans="1:11" ht="14.4" customHeight="1" x14ac:dyDescent="0.3">
      <c r="A40" s="661" t="s">
        <v>512</v>
      </c>
      <c r="B40" s="662" t="s">
        <v>1387</v>
      </c>
      <c r="C40" s="663" t="s">
        <v>517</v>
      </c>
      <c r="D40" s="664" t="s">
        <v>1388</v>
      </c>
      <c r="E40" s="663" t="s">
        <v>1932</v>
      </c>
      <c r="F40" s="664" t="s">
        <v>1933</v>
      </c>
      <c r="G40" s="663" t="s">
        <v>1626</v>
      </c>
      <c r="H40" s="663" t="s">
        <v>1627</v>
      </c>
      <c r="I40" s="665">
        <v>1.5150000000000001</v>
      </c>
      <c r="J40" s="665">
        <v>400</v>
      </c>
      <c r="K40" s="666">
        <v>606</v>
      </c>
    </row>
    <row r="41" spans="1:11" ht="14.4" customHeight="1" x14ac:dyDescent="0.3">
      <c r="A41" s="661" t="s">
        <v>512</v>
      </c>
      <c r="B41" s="662" t="s">
        <v>1387</v>
      </c>
      <c r="C41" s="663" t="s">
        <v>517</v>
      </c>
      <c r="D41" s="664" t="s">
        <v>1388</v>
      </c>
      <c r="E41" s="663" t="s">
        <v>1932</v>
      </c>
      <c r="F41" s="664" t="s">
        <v>1933</v>
      </c>
      <c r="G41" s="663" t="s">
        <v>1628</v>
      </c>
      <c r="H41" s="663" t="s">
        <v>1629</v>
      </c>
      <c r="I41" s="665">
        <v>2.06</v>
      </c>
      <c r="J41" s="665">
        <v>300</v>
      </c>
      <c r="K41" s="666">
        <v>618</v>
      </c>
    </row>
    <row r="42" spans="1:11" ht="14.4" customHeight="1" x14ac:dyDescent="0.3">
      <c r="A42" s="661" t="s">
        <v>512</v>
      </c>
      <c r="B42" s="662" t="s">
        <v>1387</v>
      </c>
      <c r="C42" s="663" t="s">
        <v>517</v>
      </c>
      <c r="D42" s="664" t="s">
        <v>1388</v>
      </c>
      <c r="E42" s="663" t="s">
        <v>1932</v>
      </c>
      <c r="F42" s="664" t="s">
        <v>1933</v>
      </c>
      <c r="G42" s="663" t="s">
        <v>1630</v>
      </c>
      <c r="H42" s="663" t="s">
        <v>1631</v>
      </c>
      <c r="I42" s="665">
        <v>3.3650000000000002</v>
      </c>
      <c r="J42" s="665">
        <v>100</v>
      </c>
      <c r="K42" s="666">
        <v>336.5</v>
      </c>
    </row>
    <row r="43" spans="1:11" ht="14.4" customHeight="1" x14ac:dyDescent="0.3">
      <c r="A43" s="661" t="s">
        <v>512</v>
      </c>
      <c r="B43" s="662" t="s">
        <v>1387</v>
      </c>
      <c r="C43" s="663" t="s">
        <v>517</v>
      </c>
      <c r="D43" s="664" t="s">
        <v>1388</v>
      </c>
      <c r="E43" s="663" t="s">
        <v>1932</v>
      </c>
      <c r="F43" s="664" t="s">
        <v>1933</v>
      </c>
      <c r="G43" s="663" t="s">
        <v>1632</v>
      </c>
      <c r="H43" s="663" t="s">
        <v>1633</v>
      </c>
      <c r="I43" s="665">
        <v>180.976</v>
      </c>
      <c r="J43" s="665">
        <v>46</v>
      </c>
      <c r="K43" s="666">
        <v>8030.4299999999994</v>
      </c>
    </row>
    <row r="44" spans="1:11" ht="14.4" customHeight="1" x14ac:dyDescent="0.3">
      <c r="A44" s="661" t="s">
        <v>512</v>
      </c>
      <c r="B44" s="662" t="s">
        <v>1387</v>
      </c>
      <c r="C44" s="663" t="s">
        <v>517</v>
      </c>
      <c r="D44" s="664" t="s">
        <v>1388</v>
      </c>
      <c r="E44" s="663" t="s">
        <v>1932</v>
      </c>
      <c r="F44" s="664" t="s">
        <v>1933</v>
      </c>
      <c r="G44" s="663" t="s">
        <v>1634</v>
      </c>
      <c r="H44" s="663" t="s">
        <v>1635</v>
      </c>
      <c r="I44" s="665">
        <v>243.53</v>
      </c>
      <c r="J44" s="665">
        <v>1</v>
      </c>
      <c r="K44" s="666">
        <v>243.53</v>
      </c>
    </row>
    <row r="45" spans="1:11" ht="14.4" customHeight="1" x14ac:dyDescent="0.3">
      <c r="A45" s="661" t="s">
        <v>512</v>
      </c>
      <c r="B45" s="662" t="s">
        <v>1387</v>
      </c>
      <c r="C45" s="663" t="s">
        <v>517</v>
      </c>
      <c r="D45" s="664" t="s">
        <v>1388</v>
      </c>
      <c r="E45" s="663" t="s">
        <v>1932</v>
      </c>
      <c r="F45" s="664" t="s">
        <v>1933</v>
      </c>
      <c r="G45" s="663" t="s">
        <v>1636</v>
      </c>
      <c r="H45" s="663" t="s">
        <v>1637</v>
      </c>
      <c r="I45" s="665">
        <v>3.01</v>
      </c>
      <c r="J45" s="665">
        <v>50</v>
      </c>
      <c r="K45" s="666">
        <v>150.49</v>
      </c>
    </row>
    <row r="46" spans="1:11" ht="14.4" customHeight="1" x14ac:dyDescent="0.3">
      <c r="A46" s="661" t="s">
        <v>512</v>
      </c>
      <c r="B46" s="662" t="s">
        <v>1387</v>
      </c>
      <c r="C46" s="663" t="s">
        <v>517</v>
      </c>
      <c r="D46" s="664" t="s">
        <v>1388</v>
      </c>
      <c r="E46" s="663" t="s">
        <v>1932</v>
      </c>
      <c r="F46" s="664" t="s">
        <v>1933</v>
      </c>
      <c r="G46" s="663" t="s">
        <v>1638</v>
      </c>
      <c r="H46" s="663" t="s">
        <v>1639</v>
      </c>
      <c r="I46" s="665">
        <v>9.7799999999999994</v>
      </c>
      <c r="J46" s="665">
        <v>200</v>
      </c>
      <c r="K46" s="666">
        <v>1955</v>
      </c>
    </row>
    <row r="47" spans="1:11" ht="14.4" customHeight="1" x14ac:dyDescent="0.3">
      <c r="A47" s="661" t="s">
        <v>512</v>
      </c>
      <c r="B47" s="662" t="s">
        <v>1387</v>
      </c>
      <c r="C47" s="663" t="s">
        <v>517</v>
      </c>
      <c r="D47" s="664" t="s">
        <v>1388</v>
      </c>
      <c r="E47" s="663" t="s">
        <v>1932</v>
      </c>
      <c r="F47" s="664" t="s">
        <v>1933</v>
      </c>
      <c r="G47" s="663" t="s">
        <v>1640</v>
      </c>
      <c r="H47" s="663" t="s">
        <v>1641</v>
      </c>
      <c r="I47" s="665">
        <v>185.98</v>
      </c>
      <c r="J47" s="665">
        <v>15</v>
      </c>
      <c r="K47" s="666">
        <v>2789.7</v>
      </c>
    </row>
    <row r="48" spans="1:11" ht="14.4" customHeight="1" x14ac:dyDescent="0.3">
      <c r="A48" s="661" t="s">
        <v>512</v>
      </c>
      <c r="B48" s="662" t="s">
        <v>1387</v>
      </c>
      <c r="C48" s="663" t="s">
        <v>517</v>
      </c>
      <c r="D48" s="664" t="s">
        <v>1388</v>
      </c>
      <c r="E48" s="663" t="s">
        <v>1932</v>
      </c>
      <c r="F48" s="664" t="s">
        <v>1933</v>
      </c>
      <c r="G48" s="663" t="s">
        <v>1642</v>
      </c>
      <c r="H48" s="663" t="s">
        <v>1643</v>
      </c>
      <c r="I48" s="665">
        <v>685.05</v>
      </c>
      <c r="J48" s="665">
        <v>3</v>
      </c>
      <c r="K48" s="666">
        <v>2055.15</v>
      </c>
    </row>
    <row r="49" spans="1:11" ht="14.4" customHeight="1" x14ac:dyDescent="0.3">
      <c r="A49" s="661" t="s">
        <v>512</v>
      </c>
      <c r="B49" s="662" t="s">
        <v>1387</v>
      </c>
      <c r="C49" s="663" t="s">
        <v>517</v>
      </c>
      <c r="D49" s="664" t="s">
        <v>1388</v>
      </c>
      <c r="E49" s="663" t="s">
        <v>1932</v>
      </c>
      <c r="F49" s="664" t="s">
        <v>1933</v>
      </c>
      <c r="G49" s="663" t="s">
        <v>1644</v>
      </c>
      <c r="H49" s="663" t="s">
        <v>1645</v>
      </c>
      <c r="I49" s="665">
        <v>899.84</v>
      </c>
      <c r="J49" s="665">
        <v>3</v>
      </c>
      <c r="K49" s="666">
        <v>2699.52</v>
      </c>
    </row>
    <row r="50" spans="1:11" ht="14.4" customHeight="1" x14ac:dyDescent="0.3">
      <c r="A50" s="661" t="s">
        <v>512</v>
      </c>
      <c r="B50" s="662" t="s">
        <v>1387</v>
      </c>
      <c r="C50" s="663" t="s">
        <v>517</v>
      </c>
      <c r="D50" s="664" t="s">
        <v>1388</v>
      </c>
      <c r="E50" s="663" t="s">
        <v>1932</v>
      </c>
      <c r="F50" s="664" t="s">
        <v>1933</v>
      </c>
      <c r="G50" s="663" t="s">
        <v>1646</v>
      </c>
      <c r="H50" s="663" t="s">
        <v>1647</v>
      </c>
      <c r="I50" s="665">
        <v>5.2733333333333334</v>
      </c>
      <c r="J50" s="665">
        <v>130</v>
      </c>
      <c r="K50" s="666">
        <v>685.6</v>
      </c>
    </row>
    <row r="51" spans="1:11" ht="14.4" customHeight="1" x14ac:dyDescent="0.3">
      <c r="A51" s="661" t="s">
        <v>512</v>
      </c>
      <c r="B51" s="662" t="s">
        <v>1387</v>
      </c>
      <c r="C51" s="663" t="s">
        <v>517</v>
      </c>
      <c r="D51" s="664" t="s">
        <v>1388</v>
      </c>
      <c r="E51" s="663" t="s">
        <v>1932</v>
      </c>
      <c r="F51" s="664" t="s">
        <v>1933</v>
      </c>
      <c r="G51" s="663" t="s">
        <v>1648</v>
      </c>
      <c r="H51" s="663" t="s">
        <v>1649</v>
      </c>
      <c r="I51" s="665">
        <v>128.71</v>
      </c>
      <c r="J51" s="665">
        <v>5</v>
      </c>
      <c r="K51" s="666">
        <v>643.54</v>
      </c>
    </row>
    <row r="52" spans="1:11" ht="14.4" customHeight="1" x14ac:dyDescent="0.3">
      <c r="A52" s="661" t="s">
        <v>512</v>
      </c>
      <c r="B52" s="662" t="s">
        <v>1387</v>
      </c>
      <c r="C52" s="663" t="s">
        <v>517</v>
      </c>
      <c r="D52" s="664" t="s">
        <v>1388</v>
      </c>
      <c r="E52" s="663" t="s">
        <v>1932</v>
      </c>
      <c r="F52" s="664" t="s">
        <v>1933</v>
      </c>
      <c r="G52" s="663" t="s">
        <v>1650</v>
      </c>
      <c r="H52" s="663" t="s">
        <v>1651</v>
      </c>
      <c r="I52" s="665">
        <v>5.17</v>
      </c>
      <c r="J52" s="665">
        <v>200</v>
      </c>
      <c r="K52" s="666">
        <v>1035</v>
      </c>
    </row>
    <row r="53" spans="1:11" ht="14.4" customHeight="1" x14ac:dyDescent="0.3">
      <c r="A53" s="661" t="s">
        <v>512</v>
      </c>
      <c r="B53" s="662" t="s">
        <v>1387</v>
      </c>
      <c r="C53" s="663" t="s">
        <v>517</v>
      </c>
      <c r="D53" s="664" t="s">
        <v>1388</v>
      </c>
      <c r="E53" s="663" t="s">
        <v>1932</v>
      </c>
      <c r="F53" s="664" t="s">
        <v>1933</v>
      </c>
      <c r="G53" s="663" t="s">
        <v>1652</v>
      </c>
      <c r="H53" s="663" t="s">
        <v>1653</v>
      </c>
      <c r="I53" s="665">
        <v>314.8</v>
      </c>
      <c r="J53" s="665">
        <v>3</v>
      </c>
      <c r="K53" s="666">
        <v>944.4</v>
      </c>
    </row>
    <row r="54" spans="1:11" ht="14.4" customHeight="1" x14ac:dyDescent="0.3">
      <c r="A54" s="661" t="s">
        <v>512</v>
      </c>
      <c r="B54" s="662" t="s">
        <v>1387</v>
      </c>
      <c r="C54" s="663" t="s">
        <v>517</v>
      </c>
      <c r="D54" s="664" t="s">
        <v>1388</v>
      </c>
      <c r="E54" s="663" t="s">
        <v>1932</v>
      </c>
      <c r="F54" s="664" t="s">
        <v>1933</v>
      </c>
      <c r="G54" s="663" t="s">
        <v>1654</v>
      </c>
      <c r="H54" s="663" t="s">
        <v>1655</v>
      </c>
      <c r="I54" s="665">
        <v>8.77</v>
      </c>
      <c r="J54" s="665">
        <v>384</v>
      </c>
      <c r="K54" s="666">
        <v>3369.42</v>
      </c>
    </row>
    <row r="55" spans="1:11" ht="14.4" customHeight="1" x14ac:dyDescent="0.3">
      <c r="A55" s="661" t="s">
        <v>512</v>
      </c>
      <c r="B55" s="662" t="s">
        <v>1387</v>
      </c>
      <c r="C55" s="663" t="s">
        <v>517</v>
      </c>
      <c r="D55" s="664" t="s">
        <v>1388</v>
      </c>
      <c r="E55" s="663" t="s">
        <v>1932</v>
      </c>
      <c r="F55" s="664" t="s">
        <v>1933</v>
      </c>
      <c r="G55" s="663" t="s">
        <v>1656</v>
      </c>
      <c r="H55" s="663" t="s">
        <v>1657</v>
      </c>
      <c r="I55" s="665">
        <v>2.9</v>
      </c>
      <c r="J55" s="665">
        <v>100</v>
      </c>
      <c r="K55" s="666">
        <v>289.8</v>
      </c>
    </row>
    <row r="56" spans="1:11" ht="14.4" customHeight="1" x14ac:dyDescent="0.3">
      <c r="A56" s="661" t="s">
        <v>512</v>
      </c>
      <c r="B56" s="662" t="s">
        <v>1387</v>
      </c>
      <c r="C56" s="663" t="s">
        <v>517</v>
      </c>
      <c r="D56" s="664" t="s">
        <v>1388</v>
      </c>
      <c r="E56" s="663" t="s">
        <v>1932</v>
      </c>
      <c r="F56" s="664" t="s">
        <v>1933</v>
      </c>
      <c r="G56" s="663" t="s">
        <v>1658</v>
      </c>
      <c r="H56" s="663" t="s">
        <v>1659</v>
      </c>
      <c r="I56" s="665">
        <v>10.52</v>
      </c>
      <c r="J56" s="665">
        <v>10</v>
      </c>
      <c r="K56" s="666">
        <v>105.2</v>
      </c>
    </row>
    <row r="57" spans="1:11" ht="14.4" customHeight="1" x14ac:dyDescent="0.3">
      <c r="A57" s="661" t="s">
        <v>512</v>
      </c>
      <c r="B57" s="662" t="s">
        <v>1387</v>
      </c>
      <c r="C57" s="663" t="s">
        <v>517</v>
      </c>
      <c r="D57" s="664" t="s">
        <v>1388</v>
      </c>
      <c r="E57" s="663" t="s">
        <v>1932</v>
      </c>
      <c r="F57" s="664" t="s">
        <v>1933</v>
      </c>
      <c r="G57" s="663" t="s">
        <v>1660</v>
      </c>
      <c r="H57" s="663" t="s">
        <v>1661</v>
      </c>
      <c r="I57" s="665">
        <v>13.225000000000001</v>
      </c>
      <c r="J57" s="665">
        <v>40</v>
      </c>
      <c r="K57" s="666">
        <v>529.09999999999991</v>
      </c>
    </row>
    <row r="58" spans="1:11" ht="14.4" customHeight="1" x14ac:dyDescent="0.3">
      <c r="A58" s="661" t="s">
        <v>512</v>
      </c>
      <c r="B58" s="662" t="s">
        <v>1387</v>
      </c>
      <c r="C58" s="663" t="s">
        <v>517</v>
      </c>
      <c r="D58" s="664" t="s">
        <v>1388</v>
      </c>
      <c r="E58" s="663" t="s">
        <v>1932</v>
      </c>
      <c r="F58" s="664" t="s">
        <v>1933</v>
      </c>
      <c r="G58" s="663" t="s">
        <v>1662</v>
      </c>
      <c r="H58" s="663" t="s">
        <v>1663</v>
      </c>
      <c r="I58" s="665">
        <v>124.55</v>
      </c>
      <c r="J58" s="665">
        <v>10</v>
      </c>
      <c r="K58" s="666">
        <v>1245.5</v>
      </c>
    </row>
    <row r="59" spans="1:11" ht="14.4" customHeight="1" x14ac:dyDescent="0.3">
      <c r="A59" s="661" t="s">
        <v>512</v>
      </c>
      <c r="B59" s="662" t="s">
        <v>1387</v>
      </c>
      <c r="C59" s="663" t="s">
        <v>517</v>
      </c>
      <c r="D59" s="664" t="s">
        <v>1388</v>
      </c>
      <c r="E59" s="663" t="s">
        <v>1934</v>
      </c>
      <c r="F59" s="664" t="s">
        <v>1935</v>
      </c>
      <c r="G59" s="663" t="s">
        <v>1664</v>
      </c>
      <c r="H59" s="663" t="s">
        <v>1665</v>
      </c>
      <c r="I59" s="665">
        <v>229.9</v>
      </c>
      <c r="J59" s="665">
        <v>120</v>
      </c>
      <c r="K59" s="666">
        <v>27588.05</v>
      </c>
    </row>
    <row r="60" spans="1:11" ht="14.4" customHeight="1" x14ac:dyDescent="0.3">
      <c r="A60" s="661" t="s">
        <v>512</v>
      </c>
      <c r="B60" s="662" t="s">
        <v>1387</v>
      </c>
      <c r="C60" s="663" t="s">
        <v>517</v>
      </c>
      <c r="D60" s="664" t="s">
        <v>1388</v>
      </c>
      <c r="E60" s="663" t="s">
        <v>1934</v>
      </c>
      <c r="F60" s="664" t="s">
        <v>1935</v>
      </c>
      <c r="G60" s="663" t="s">
        <v>1666</v>
      </c>
      <c r="H60" s="663" t="s">
        <v>1667</v>
      </c>
      <c r="I60" s="665">
        <v>268.62</v>
      </c>
      <c r="J60" s="665">
        <v>250</v>
      </c>
      <c r="K60" s="666">
        <v>67155</v>
      </c>
    </row>
    <row r="61" spans="1:11" ht="14.4" customHeight="1" x14ac:dyDescent="0.3">
      <c r="A61" s="661" t="s">
        <v>512</v>
      </c>
      <c r="B61" s="662" t="s">
        <v>1387</v>
      </c>
      <c r="C61" s="663" t="s">
        <v>517</v>
      </c>
      <c r="D61" s="664" t="s">
        <v>1388</v>
      </c>
      <c r="E61" s="663" t="s">
        <v>1934</v>
      </c>
      <c r="F61" s="664" t="s">
        <v>1935</v>
      </c>
      <c r="G61" s="663" t="s">
        <v>1668</v>
      </c>
      <c r="H61" s="663" t="s">
        <v>1669</v>
      </c>
      <c r="I61" s="665">
        <v>37.51</v>
      </c>
      <c r="J61" s="665">
        <v>600</v>
      </c>
      <c r="K61" s="666">
        <v>22506</v>
      </c>
    </row>
    <row r="62" spans="1:11" ht="14.4" customHeight="1" x14ac:dyDescent="0.3">
      <c r="A62" s="661" t="s">
        <v>512</v>
      </c>
      <c r="B62" s="662" t="s">
        <v>1387</v>
      </c>
      <c r="C62" s="663" t="s">
        <v>517</v>
      </c>
      <c r="D62" s="664" t="s">
        <v>1388</v>
      </c>
      <c r="E62" s="663" t="s">
        <v>1934</v>
      </c>
      <c r="F62" s="664" t="s">
        <v>1935</v>
      </c>
      <c r="G62" s="663" t="s">
        <v>1670</v>
      </c>
      <c r="H62" s="663" t="s">
        <v>1671</v>
      </c>
      <c r="I62" s="665">
        <v>0.26</v>
      </c>
      <c r="J62" s="665">
        <v>200</v>
      </c>
      <c r="K62" s="666">
        <v>52</v>
      </c>
    </row>
    <row r="63" spans="1:11" ht="14.4" customHeight="1" x14ac:dyDescent="0.3">
      <c r="A63" s="661" t="s">
        <v>512</v>
      </c>
      <c r="B63" s="662" t="s">
        <v>1387</v>
      </c>
      <c r="C63" s="663" t="s">
        <v>517</v>
      </c>
      <c r="D63" s="664" t="s">
        <v>1388</v>
      </c>
      <c r="E63" s="663" t="s">
        <v>1934</v>
      </c>
      <c r="F63" s="664" t="s">
        <v>1935</v>
      </c>
      <c r="G63" s="663" t="s">
        <v>1672</v>
      </c>
      <c r="H63" s="663" t="s">
        <v>1673</v>
      </c>
      <c r="I63" s="665">
        <v>11.146666666666667</v>
      </c>
      <c r="J63" s="665">
        <v>1300</v>
      </c>
      <c r="K63" s="666">
        <v>14489</v>
      </c>
    </row>
    <row r="64" spans="1:11" ht="14.4" customHeight="1" x14ac:dyDescent="0.3">
      <c r="A64" s="661" t="s">
        <v>512</v>
      </c>
      <c r="B64" s="662" t="s">
        <v>1387</v>
      </c>
      <c r="C64" s="663" t="s">
        <v>517</v>
      </c>
      <c r="D64" s="664" t="s">
        <v>1388</v>
      </c>
      <c r="E64" s="663" t="s">
        <v>1934</v>
      </c>
      <c r="F64" s="664" t="s">
        <v>1935</v>
      </c>
      <c r="G64" s="663" t="s">
        <v>1674</v>
      </c>
      <c r="H64" s="663" t="s">
        <v>1675</v>
      </c>
      <c r="I64" s="665">
        <v>1.0900000000000001</v>
      </c>
      <c r="J64" s="665">
        <v>7400</v>
      </c>
      <c r="K64" s="666">
        <v>8066</v>
      </c>
    </row>
    <row r="65" spans="1:11" ht="14.4" customHeight="1" x14ac:dyDescent="0.3">
      <c r="A65" s="661" t="s">
        <v>512</v>
      </c>
      <c r="B65" s="662" t="s">
        <v>1387</v>
      </c>
      <c r="C65" s="663" t="s">
        <v>517</v>
      </c>
      <c r="D65" s="664" t="s">
        <v>1388</v>
      </c>
      <c r="E65" s="663" t="s">
        <v>1934</v>
      </c>
      <c r="F65" s="664" t="s">
        <v>1935</v>
      </c>
      <c r="G65" s="663" t="s">
        <v>1676</v>
      </c>
      <c r="H65" s="663" t="s">
        <v>1677</v>
      </c>
      <c r="I65" s="665">
        <v>1.68</v>
      </c>
      <c r="J65" s="665">
        <v>7400</v>
      </c>
      <c r="K65" s="666">
        <v>12432</v>
      </c>
    </row>
    <row r="66" spans="1:11" ht="14.4" customHeight="1" x14ac:dyDescent="0.3">
      <c r="A66" s="661" t="s">
        <v>512</v>
      </c>
      <c r="B66" s="662" t="s">
        <v>1387</v>
      </c>
      <c r="C66" s="663" t="s">
        <v>517</v>
      </c>
      <c r="D66" s="664" t="s">
        <v>1388</v>
      </c>
      <c r="E66" s="663" t="s">
        <v>1934</v>
      </c>
      <c r="F66" s="664" t="s">
        <v>1935</v>
      </c>
      <c r="G66" s="663" t="s">
        <v>1678</v>
      </c>
      <c r="H66" s="663" t="s">
        <v>1679</v>
      </c>
      <c r="I66" s="665">
        <v>0.47</v>
      </c>
      <c r="J66" s="665">
        <v>5000</v>
      </c>
      <c r="K66" s="666">
        <v>2350</v>
      </c>
    </row>
    <row r="67" spans="1:11" ht="14.4" customHeight="1" x14ac:dyDescent="0.3">
      <c r="A67" s="661" t="s">
        <v>512</v>
      </c>
      <c r="B67" s="662" t="s">
        <v>1387</v>
      </c>
      <c r="C67" s="663" t="s">
        <v>517</v>
      </c>
      <c r="D67" s="664" t="s">
        <v>1388</v>
      </c>
      <c r="E67" s="663" t="s">
        <v>1934</v>
      </c>
      <c r="F67" s="664" t="s">
        <v>1935</v>
      </c>
      <c r="G67" s="663" t="s">
        <v>1680</v>
      </c>
      <c r="H67" s="663" t="s">
        <v>1681</v>
      </c>
      <c r="I67" s="665">
        <v>0.67</v>
      </c>
      <c r="J67" s="665">
        <v>2000</v>
      </c>
      <c r="K67" s="666">
        <v>1340</v>
      </c>
    </row>
    <row r="68" spans="1:11" ht="14.4" customHeight="1" x14ac:dyDescent="0.3">
      <c r="A68" s="661" t="s">
        <v>512</v>
      </c>
      <c r="B68" s="662" t="s">
        <v>1387</v>
      </c>
      <c r="C68" s="663" t="s">
        <v>517</v>
      </c>
      <c r="D68" s="664" t="s">
        <v>1388</v>
      </c>
      <c r="E68" s="663" t="s">
        <v>1934</v>
      </c>
      <c r="F68" s="664" t="s">
        <v>1935</v>
      </c>
      <c r="G68" s="663" t="s">
        <v>1682</v>
      </c>
      <c r="H68" s="663" t="s">
        <v>1683</v>
      </c>
      <c r="I68" s="665">
        <v>3.13</v>
      </c>
      <c r="J68" s="665">
        <v>600</v>
      </c>
      <c r="K68" s="666">
        <v>1878</v>
      </c>
    </row>
    <row r="69" spans="1:11" ht="14.4" customHeight="1" x14ac:dyDescent="0.3">
      <c r="A69" s="661" t="s">
        <v>512</v>
      </c>
      <c r="B69" s="662" t="s">
        <v>1387</v>
      </c>
      <c r="C69" s="663" t="s">
        <v>517</v>
      </c>
      <c r="D69" s="664" t="s">
        <v>1388</v>
      </c>
      <c r="E69" s="663" t="s">
        <v>1934</v>
      </c>
      <c r="F69" s="664" t="s">
        <v>1935</v>
      </c>
      <c r="G69" s="663" t="s">
        <v>1684</v>
      </c>
      <c r="H69" s="663" t="s">
        <v>1685</v>
      </c>
      <c r="I69" s="665">
        <v>6.29</v>
      </c>
      <c r="J69" s="665">
        <v>5</v>
      </c>
      <c r="K69" s="666">
        <v>31.45</v>
      </c>
    </row>
    <row r="70" spans="1:11" ht="14.4" customHeight="1" x14ac:dyDescent="0.3">
      <c r="A70" s="661" t="s">
        <v>512</v>
      </c>
      <c r="B70" s="662" t="s">
        <v>1387</v>
      </c>
      <c r="C70" s="663" t="s">
        <v>517</v>
      </c>
      <c r="D70" s="664" t="s">
        <v>1388</v>
      </c>
      <c r="E70" s="663" t="s">
        <v>1934</v>
      </c>
      <c r="F70" s="664" t="s">
        <v>1935</v>
      </c>
      <c r="G70" s="663" t="s">
        <v>1686</v>
      </c>
      <c r="H70" s="663" t="s">
        <v>1687</v>
      </c>
      <c r="I70" s="665">
        <v>6.2333333333333343</v>
      </c>
      <c r="J70" s="665">
        <v>390</v>
      </c>
      <c r="K70" s="666">
        <v>2432.1</v>
      </c>
    </row>
    <row r="71" spans="1:11" ht="14.4" customHeight="1" x14ac:dyDescent="0.3">
      <c r="A71" s="661" t="s">
        <v>512</v>
      </c>
      <c r="B71" s="662" t="s">
        <v>1387</v>
      </c>
      <c r="C71" s="663" t="s">
        <v>517</v>
      </c>
      <c r="D71" s="664" t="s">
        <v>1388</v>
      </c>
      <c r="E71" s="663" t="s">
        <v>1934</v>
      </c>
      <c r="F71" s="664" t="s">
        <v>1935</v>
      </c>
      <c r="G71" s="663" t="s">
        <v>1688</v>
      </c>
      <c r="H71" s="663" t="s">
        <v>1689</v>
      </c>
      <c r="I71" s="665">
        <v>204.4</v>
      </c>
      <c r="J71" s="665">
        <v>60</v>
      </c>
      <c r="K71" s="666">
        <v>12264</v>
      </c>
    </row>
    <row r="72" spans="1:11" ht="14.4" customHeight="1" x14ac:dyDescent="0.3">
      <c r="A72" s="661" t="s">
        <v>512</v>
      </c>
      <c r="B72" s="662" t="s">
        <v>1387</v>
      </c>
      <c r="C72" s="663" t="s">
        <v>517</v>
      </c>
      <c r="D72" s="664" t="s">
        <v>1388</v>
      </c>
      <c r="E72" s="663" t="s">
        <v>1934</v>
      </c>
      <c r="F72" s="664" t="s">
        <v>1935</v>
      </c>
      <c r="G72" s="663" t="s">
        <v>1690</v>
      </c>
      <c r="H72" s="663" t="s">
        <v>1691</v>
      </c>
      <c r="I72" s="665">
        <v>80.58</v>
      </c>
      <c r="J72" s="665">
        <v>10</v>
      </c>
      <c r="K72" s="666">
        <v>805.8</v>
      </c>
    </row>
    <row r="73" spans="1:11" ht="14.4" customHeight="1" x14ac:dyDescent="0.3">
      <c r="A73" s="661" t="s">
        <v>512</v>
      </c>
      <c r="B73" s="662" t="s">
        <v>1387</v>
      </c>
      <c r="C73" s="663" t="s">
        <v>517</v>
      </c>
      <c r="D73" s="664" t="s">
        <v>1388</v>
      </c>
      <c r="E73" s="663" t="s">
        <v>1934</v>
      </c>
      <c r="F73" s="664" t="s">
        <v>1935</v>
      </c>
      <c r="G73" s="663" t="s">
        <v>1692</v>
      </c>
      <c r="H73" s="663" t="s">
        <v>1693</v>
      </c>
      <c r="I73" s="665">
        <v>6.17</v>
      </c>
      <c r="J73" s="665">
        <v>1750</v>
      </c>
      <c r="K73" s="666">
        <v>10797.5</v>
      </c>
    </row>
    <row r="74" spans="1:11" ht="14.4" customHeight="1" x14ac:dyDescent="0.3">
      <c r="A74" s="661" t="s">
        <v>512</v>
      </c>
      <c r="B74" s="662" t="s">
        <v>1387</v>
      </c>
      <c r="C74" s="663" t="s">
        <v>517</v>
      </c>
      <c r="D74" s="664" t="s">
        <v>1388</v>
      </c>
      <c r="E74" s="663" t="s">
        <v>1934</v>
      </c>
      <c r="F74" s="664" t="s">
        <v>1935</v>
      </c>
      <c r="G74" s="663" t="s">
        <v>1694</v>
      </c>
      <c r="H74" s="663" t="s">
        <v>1695</v>
      </c>
      <c r="I74" s="665">
        <v>646.76</v>
      </c>
      <c r="J74" s="665">
        <v>2</v>
      </c>
      <c r="K74" s="666">
        <v>1293.52</v>
      </c>
    </row>
    <row r="75" spans="1:11" ht="14.4" customHeight="1" x14ac:dyDescent="0.3">
      <c r="A75" s="661" t="s">
        <v>512</v>
      </c>
      <c r="B75" s="662" t="s">
        <v>1387</v>
      </c>
      <c r="C75" s="663" t="s">
        <v>517</v>
      </c>
      <c r="D75" s="664" t="s">
        <v>1388</v>
      </c>
      <c r="E75" s="663" t="s">
        <v>1934</v>
      </c>
      <c r="F75" s="664" t="s">
        <v>1935</v>
      </c>
      <c r="G75" s="663" t="s">
        <v>1696</v>
      </c>
      <c r="H75" s="663" t="s">
        <v>1697</v>
      </c>
      <c r="I75" s="665">
        <v>102.85</v>
      </c>
      <c r="J75" s="665">
        <v>40</v>
      </c>
      <c r="K75" s="666">
        <v>4114</v>
      </c>
    </row>
    <row r="76" spans="1:11" ht="14.4" customHeight="1" x14ac:dyDescent="0.3">
      <c r="A76" s="661" t="s">
        <v>512</v>
      </c>
      <c r="B76" s="662" t="s">
        <v>1387</v>
      </c>
      <c r="C76" s="663" t="s">
        <v>517</v>
      </c>
      <c r="D76" s="664" t="s">
        <v>1388</v>
      </c>
      <c r="E76" s="663" t="s">
        <v>1934</v>
      </c>
      <c r="F76" s="664" t="s">
        <v>1935</v>
      </c>
      <c r="G76" s="663" t="s">
        <v>1698</v>
      </c>
      <c r="H76" s="663" t="s">
        <v>1699</v>
      </c>
      <c r="I76" s="665">
        <v>206.04</v>
      </c>
      <c r="J76" s="665">
        <v>15</v>
      </c>
      <c r="K76" s="666">
        <v>3090.6</v>
      </c>
    </row>
    <row r="77" spans="1:11" ht="14.4" customHeight="1" x14ac:dyDescent="0.3">
      <c r="A77" s="661" t="s">
        <v>512</v>
      </c>
      <c r="B77" s="662" t="s">
        <v>1387</v>
      </c>
      <c r="C77" s="663" t="s">
        <v>517</v>
      </c>
      <c r="D77" s="664" t="s">
        <v>1388</v>
      </c>
      <c r="E77" s="663" t="s">
        <v>1934</v>
      </c>
      <c r="F77" s="664" t="s">
        <v>1935</v>
      </c>
      <c r="G77" s="663" t="s">
        <v>1700</v>
      </c>
      <c r="H77" s="663" t="s">
        <v>1701</v>
      </c>
      <c r="I77" s="665">
        <v>16.46</v>
      </c>
      <c r="J77" s="665">
        <v>140</v>
      </c>
      <c r="K77" s="666">
        <v>2304.4</v>
      </c>
    </row>
    <row r="78" spans="1:11" ht="14.4" customHeight="1" x14ac:dyDescent="0.3">
      <c r="A78" s="661" t="s">
        <v>512</v>
      </c>
      <c r="B78" s="662" t="s">
        <v>1387</v>
      </c>
      <c r="C78" s="663" t="s">
        <v>517</v>
      </c>
      <c r="D78" s="664" t="s">
        <v>1388</v>
      </c>
      <c r="E78" s="663" t="s">
        <v>1934</v>
      </c>
      <c r="F78" s="664" t="s">
        <v>1935</v>
      </c>
      <c r="G78" s="663" t="s">
        <v>1702</v>
      </c>
      <c r="H78" s="663" t="s">
        <v>1703</v>
      </c>
      <c r="I78" s="665">
        <v>121</v>
      </c>
      <c r="J78" s="665">
        <v>30</v>
      </c>
      <c r="K78" s="666">
        <v>3630</v>
      </c>
    </row>
    <row r="79" spans="1:11" ht="14.4" customHeight="1" x14ac:dyDescent="0.3">
      <c r="A79" s="661" t="s">
        <v>512</v>
      </c>
      <c r="B79" s="662" t="s">
        <v>1387</v>
      </c>
      <c r="C79" s="663" t="s">
        <v>517</v>
      </c>
      <c r="D79" s="664" t="s">
        <v>1388</v>
      </c>
      <c r="E79" s="663" t="s">
        <v>1934</v>
      </c>
      <c r="F79" s="664" t="s">
        <v>1935</v>
      </c>
      <c r="G79" s="663" t="s">
        <v>1704</v>
      </c>
      <c r="H79" s="663" t="s">
        <v>1705</v>
      </c>
      <c r="I79" s="665">
        <v>1.9</v>
      </c>
      <c r="J79" s="665">
        <v>50</v>
      </c>
      <c r="K79" s="666">
        <v>95</v>
      </c>
    </row>
    <row r="80" spans="1:11" ht="14.4" customHeight="1" x14ac:dyDescent="0.3">
      <c r="A80" s="661" t="s">
        <v>512</v>
      </c>
      <c r="B80" s="662" t="s">
        <v>1387</v>
      </c>
      <c r="C80" s="663" t="s">
        <v>517</v>
      </c>
      <c r="D80" s="664" t="s">
        <v>1388</v>
      </c>
      <c r="E80" s="663" t="s">
        <v>1934</v>
      </c>
      <c r="F80" s="664" t="s">
        <v>1935</v>
      </c>
      <c r="G80" s="663" t="s">
        <v>1706</v>
      </c>
      <c r="H80" s="663" t="s">
        <v>1707</v>
      </c>
      <c r="I80" s="665">
        <v>1.9824999999999999</v>
      </c>
      <c r="J80" s="665">
        <v>1200</v>
      </c>
      <c r="K80" s="666">
        <v>2380.5</v>
      </c>
    </row>
    <row r="81" spans="1:11" ht="14.4" customHeight="1" x14ac:dyDescent="0.3">
      <c r="A81" s="661" t="s">
        <v>512</v>
      </c>
      <c r="B81" s="662" t="s">
        <v>1387</v>
      </c>
      <c r="C81" s="663" t="s">
        <v>517</v>
      </c>
      <c r="D81" s="664" t="s">
        <v>1388</v>
      </c>
      <c r="E81" s="663" t="s">
        <v>1934</v>
      </c>
      <c r="F81" s="664" t="s">
        <v>1935</v>
      </c>
      <c r="G81" s="663" t="s">
        <v>1708</v>
      </c>
      <c r="H81" s="663" t="s">
        <v>1709</v>
      </c>
      <c r="I81" s="665">
        <v>2.04</v>
      </c>
      <c r="J81" s="665">
        <v>500</v>
      </c>
      <c r="K81" s="666">
        <v>1019</v>
      </c>
    </row>
    <row r="82" spans="1:11" ht="14.4" customHeight="1" x14ac:dyDescent="0.3">
      <c r="A82" s="661" t="s">
        <v>512</v>
      </c>
      <c r="B82" s="662" t="s">
        <v>1387</v>
      </c>
      <c r="C82" s="663" t="s">
        <v>517</v>
      </c>
      <c r="D82" s="664" t="s">
        <v>1388</v>
      </c>
      <c r="E82" s="663" t="s">
        <v>1934</v>
      </c>
      <c r="F82" s="664" t="s">
        <v>1935</v>
      </c>
      <c r="G82" s="663" t="s">
        <v>1710</v>
      </c>
      <c r="H82" s="663" t="s">
        <v>1711</v>
      </c>
      <c r="I82" s="665">
        <v>3.09</v>
      </c>
      <c r="J82" s="665">
        <v>300</v>
      </c>
      <c r="K82" s="666">
        <v>927</v>
      </c>
    </row>
    <row r="83" spans="1:11" ht="14.4" customHeight="1" x14ac:dyDescent="0.3">
      <c r="A83" s="661" t="s">
        <v>512</v>
      </c>
      <c r="B83" s="662" t="s">
        <v>1387</v>
      </c>
      <c r="C83" s="663" t="s">
        <v>517</v>
      </c>
      <c r="D83" s="664" t="s">
        <v>1388</v>
      </c>
      <c r="E83" s="663" t="s">
        <v>1934</v>
      </c>
      <c r="F83" s="664" t="s">
        <v>1935</v>
      </c>
      <c r="G83" s="663" t="s">
        <v>1712</v>
      </c>
      <c r="H83" s="663" t="s">
        <v>1713</v>
      </c>
      <c r="I83" s="665">
        <v>1.9249999999999998</v>
      </c>
      <c r="J83" s="665">
        <v>150</v>
      </c>
      <c r="K83" s="666">
        <v>288.5</v>
      </c>
    </row>
    <row r="84" spans="1:11" ht="14.4" customHeight="1" x14ac:dyDescent="0.3">
      <c r="A84" s="661" t="s">
        <v>512</v>
      </c>
      <c r="B84" s="662" t="s">
        <v>1387</v>
      </c>
      <c r="C84" s="663" t="s">
        <v>517</v>
      </c>
      <c r="D84" s="664" t="s">
        <v>1388</v>
      </c>
      <c r="E84" s="663" t="s">
        <v>1934</v>
      </c>
      <c r="F84" s="664" t="s">
        <v>1935</v>
      </c>
      <c r="G84" s="663" t="s">
        <v>1714</v>
      </c>
      <c r="H84" s="663" t="s">
        <v>1715</v>
      </c>
      <c r="I84" s="665">
        <v>4.8124999999999991</v>
      </c>
      <c r="J84" s="665">
        <v>2100</v>
      </c>
      <c r="K84" s="666">
        <v>10105</v>
      </c>
    </row>
    <row r="85" spans="1:11" ht="14.4" customHeight="1" x14ac:dyDescent="0.3">
      <c r="A85" s="661" t="s">
        <v>512</v>
      </c>
      <c r="B85" s="662" t="s">
        <v>1387</v>
      </c>
      <c r="C85" s="663" t="s">
        <v>517</v>
      </c>
      <c r="D85" s="664" t="s">
        <v>1388</v>
      </c>
      <c r="E85" s="663" t="s">
        <v>1934</v>
      </c>
      <c r="F85" s="664" t="s">
        <v>1935</v>
      </c>
      <c r="G85" s="663" t="s">
        <v>1716</v>
      </c>
      <c r="H85" s="663" t="s">
        <v>1717</v>
      </c>
      <c r="I85" s="665">
        <v>3.07</v>
      </c>
      <c r="J85" s="665">
        <v>200</v>
      </c>
      <c r="K85" s="666">
        <v>614</v>
      </c>
    </row>
    <row r="86" spans="1:11" ht="14.4" customHeight="1" x14ac:dyDescent="0.3">
      <c r="A86" s="661" t="s">
        <v>512</v>
      </c>
      <c r="B86" s="662" t="s">
        <v>1387</v>
      </c>
      <c r="C86" s="663" t="s">
        <v>517</v>
      </c>
      <c r="D86" s="664" t="s">
        <v>1388</v>
      </c>
      <c r="E86" s="663" t="s">
        <v>1934</v>
      </c>
      <c r="F86" s="664" t="s">
        <v>1935</v>
      </c>
      <c r="G86" s="663" t="s">
        <v>1718</v>
      </c>
      <c r="H86" s="663" t="s">
        <v>1719</v>
      </c>
      <c r="I86" s="665">
        <v>2.17</v>
      </c>
      <c r="J86" s="665">
        <v>600</v>
      </c>
      <c r="K86" s="666">
        <v>1302</v>
      </c>
    </row>
    <row r="87" spans="1:11" ht="14.4" customHeight="1" x14ac:dyDescent="0.3">
      <c r="A87" s="661" t="s">
        <v>512</v>
      </c>
      <c r="B87" s="662" t="s">
        <v>1387</v>
      </c>
      <c r="C87" s="663" t="s">
        <v>517</v>
      </c>
      <c r="D87" s="664" t="s">
        <v>1388</v>
      </c>
      <c r="E87" s="663" t="s">
        <v>1934</v>
      </c>
      <c r="F87" s="664" t="s">
        <v>1935</v>
      </c>
      <c r="G87" s="663" t="s">
        <v>1720</v>
      </c>
      <c r="H87" s="663" t="s">
        <v>1721</v>
      </c>
      <c r="I87" s="665">
        <v>2.6966666666666668</v>
      </c>
      <c r="J87" s="665">
        <v>1050</v>
      </c>
      <c r="K87" s="666">
        <v>2831</v>
      </c>
    </row>
    <row r="88" spans="1:11" ht="14.4" customHeight="1" x14ac:dyDescent="0.3">
      <c r="A88" s="661" t="s">
        <v>512</v>
      </c>
      <c r="B88" s="662" t="s">
        <v>1387</v>
      </c>
      <c r="C88" s="663" t="s">
        <v>517</v>
      </c>
      <c r="D88" s="664" t="s">
        <v>1388</v>
      </c>
      <c r="E88" s="663" t="s">
        <v>1934</v>
      </c>
      <c r="F88" s="664" t="s">
        <v>1935</v>
      </c>
      <c r="G88" s="663" t="s">
        <v>1722</v>
      </c>
      <c r="H88" s="663" t="s">
        <v>1723</v>
      </c>
      <c r="I88" s="665">
        <v>3.99</v>
      </c>
      <c r="J88" s="665">
        <v>50</v>
      </c>
      <c r="K88" s="666">
        <v>199.5</v>
      </c>
    </row>
    <row r="89" spans="1:11" ht="14.4" customHeight="1" x14ac:dyDescent="0.3">
      <c r="A89" s="661" t="s">
        <v>512</v>
      </c>
      <c r="B89" s="662" t="s">
        <v>1387</v>
      </c>
      <c r="C89" s="663" t="s">
        <v>517</v>
      </c>
      <c r="D89" s="664" t="s">
        <v>1388</v>
      </c>
      <c r="E89" s="663" t="s">
        <v>1934</v>
      </c>
      <c r="F89" s="664" t="s">
        <v>1935</v>
      </c>
      <c r="G89" s="663" t="s">
        <v>1724</v>
      </c>
      <c r="H89" s="663" t="s">
        <v>1725</v>
      </c>
      <c r="I89" s="665">
        <v>90.995000000000005</v>
      </c>
      <c r="J89" s="665">
        <v>100</v>
      </c>
      <c r="K89" s="666">
        <v>9099.5</v>
      </c>
    </row>
    <row r="90" spans="1:11" ht="14.4" customHeight="1" x14ac:dyDescent="0.3">
      <c r="A90" s="661" t="s">
        <v>512</v>
      </c>
      <c r="B90" s="662" t="s">
        <v>1387</v>
      </c>
      <c r="C90" s="663" t="s">
        <v>517</v>
      </c>
      <c r="D90" s="664" t="s">
        <v>1388</v>
      </c>
      <c r="E90" s="663" t="s">
        <v>1934</v>
      </c>
      <c r="F90" s="664" t="s">
        <v>1935</v>
      </c>
      <c r="G90" s="663" t="s">
        <v>1726</v>
      </c>
      <c r="H90" s="663" t="s">
        <v>1727</v>
      </c>
      <c r="I90" s="665">
        <v>2.1749999999999998</v>
      </c>
      <c r="J90" s="665">
        <v>1500</v>
      </c>
      <c r="K90" s="666">
        <v>3262</v>
      </c>
    </row>
    <row r="91" spans="1:11" ht="14.4" customHeight="1" x14ac:dyDescent="0.3">
      <c r="A91" s="661" t="s">
        <v>512</v>
      </c>
      <c r="B91" s="662" t="s">
        <v>1387</v>
      </c>
      <c r="C91" s="663" t="s">
        <v>517</v>
      </c>
      <c r="D91" s="664" t="s">
        <v>1388</v>
      </c>
      <c r="E91" s="663" t="s">
        <v>1934</v>
      </c>
      <c r="F91" s="664" t="s">
        <v>1935</v>
      </c>
      <c r="G91" s="663" t="s">
        <v>1728</v>
      </c>
      <c r="H91" s="663" t="s">
        <v>1729</v>
      </c>
      <c r="I91" s="665">
        <v>58.91</v>
      </c>
      <c r="J91" s="665">
        <v>100</v>
      </c>
      <c r="K91" s="666">
        <v>5891.49</v>
      </c>
    </row>
    <row r="92" spans="1:11" ht="14.4" customHeight="1" x14ac:dyDescent="0.3">
      <c r="A92" s="661" t="s">
        <v>512</v>
      </c>
      <c r="B92" s="662" t="s">
        <v>1387</v>
      </c>
      <c r="C92" s="663" t="s">
        <v>517</v>
      </c>
      <c r="D92" s="664" t="s">
        <v>1388</v>
      </c>
      <c r="E92" s="663" t="s">
        <v>1934</v>
      </c>
      <c r="F92" s="664" t="s">
        <v>1935</v>
      </c>
      <c r="G92" s="663" t="s">
        <v>1730</v>
      </c>
      <c r="H92" s="663" t="s">
        <v>1731</v>
      </c>
      <c r="I92" s="665">
        <v>31.07</v>
      </c>
      <c r="J92" s="665">
        <v>150</v>
      </c>
      <c r="K92" s="666">
        <v>4660.8899999999994</v>
      </c>
    </row>
    <row r="93" spans="1:11" ht="14.4" customHeight="1" x14ac:dyDescent="0.3">
      <c r="A93" s="661" t="s">
        <v>512</v>
      </c>
      <c r="B93" s="662" t="s">
        <v>1387</v>
      </c>
      <c r="C93" s="663" t="s">
        <v>517</v>
      </c>
      <c r="D93" s="664" t="s">
        <v>1388</v>
      </c>
      <c r="E93" s="663" t="s">
        <v>1934</v>
      </c>
      <c r="F93" s="664" t="s">
        <v>1935</v>
      </c>
      <c r="G93" s="663" t="s">
        <v>1732</v>
      </c>
      <c r="H93" s="663" t="s">
        <v>1733</v>
      </c>
      <c r="I93" s="665">
        <v>112.2</v>
      </c>
      <c r="J93" s="665">
        <v>2</v>
      </c>
      <c r="K93" s="666">
        <v>224.4</v>
      </c>
    </row>
    <row r="94" spans="1:11" ht="14.4" customHeight="1" x14ac:dyDescent="0.3">
      <c r="A94" s="661" t="s">
        <v>512</v>
      </c>
      <c r="B94" s="662" t="s">
        <v>1387</v>
      </c>
      <c r="C94" s="663" t="s">
        <v>517</v>
      </c>
      <c r="D94" s="664" t="s">
        <v>1388</v>
      </c>
      <c r="E94" s="663" t="s">
        <v>1934</v>
      </c>
      <c r="F94" s="664" t="s">
        <v>1935</v>
      </c>
      <c r="G94" s="663" t="s">
        <v>1734</v>
      </c>
      <c r="H94" s="663" t="s">
        <v>1735</v>
      </c>
      <c r="I94" s="665">
        <v>82.16</v>
      </c>
      <c r="J94" s="665">
        <v>36</v>
      </c>
      <c r="K94" s="666">
        <v>2957.72</v>
      </c>
    </row>
    <row r="95" spans="1:11" ht="14.4" customHeight="1" x14ac:dyDescent="0.3">
      <c r="A95" s="661" t="s">
        <v>512</v>
      </c>
      <c r="B95" s="662" t="s">
        <v>1387</v>
      </c>
      <c r="C95" s="663" t="s">
        <v>517</v>
      </c>
      <c r="D95" s="664" t="s">
        <v>1388</v>
      </c>
      <c r="E95" s="663" t="s">
        <v>1934</v>
      </c>
      <c r="F95" s="664" t="s">
        <v>1935</v>
      </c>
      <c r="G95" s="663" t="s">
        <v>1736</v>
      </c>
      <c r="H95" s="663" t="s">
        <v>1737</v>
      </c>
      <c r="I95" s="665">
        <v>314.60000000000002</v>
      </c>
      <c r="J95" s="665">
        <v>10</v>
      </c>
      <c r="K95" s="666">
        <v>3146</v>
      </c>
    </row>
    <row r="96" spans="1:11" ht="14.4" customHeight="1" x14ac:dyDescent="0.3">
      <c r="A96" s="661" t="s">
        <v>512</v>
      </c>
      <c r="B96" s="662" t="s">
        <v>1387</v>
      </c>
      <c r="C96" s="663" t="s">
        <v>517</v>
      </c>
      <c r="D96" s="664" t="s">
        <v>1388</v>
      </c>
      <c r="E96" s="663" t="s">
        <v>1934</v>
      </c>
      <c r="F96" s="664" t="s">
        <v>1935</v>
      </c>
      <c r="G96" s="663" t="s">
        <v>1738</v>
      </c>
      <c r="H96" s="663" t="s">
        <v>1739</v>
      </c>
      <c r="I96" s="665">
        <v>47.19</v>
      </c>
      <c r="J96" s="665">
        <v>60</v>
      </c>
      <c r="K96" s="666">
        <v>2831.3999999999996</v>
      </c>
    </row>
    <row r="97" spans="1:11" ht="14.4" customHeight="1" x14ac:dyDescent="0.3">
      <c r="A97" s="661" t="s">
        <v>512</v>
      </c>
      <c r="B97" s="662" t="s">
        <v>1387</v>
      </c>
      <c r="C97" s="663" t="s">
        <v>517</v>
      </c>
      <c r="D97" s="664" t="s">
        <v>1388</v>
      </c>
      <c r="E97" s="663" t="s">
        <v>1934</v>
      </c>
      <c r="F97" s="664" t="s">
        <v>1935</v>
      </c>
      <c r="G97" s="663" t="s">
        <v>1740</v>
      </c>
      <c r="H97" s="663" t="s">
        <v>1741</v>
      </c>
      <c r="I97" s="665">
        <v>17.98</v>
      </c>
      <c r="J97" s="665">
        <v>100</v>
      </c>
      <c r="K97" s="666">
        <v>1798</v>
      </c>
    </row>
    <row r="98" spans="1:11" ht="14.4" customHeight="1" x14ac:dyDescent="0.3">
      <c r="A98" s="661" t="s">
        <v>512</v>
      </c>
      <c r="B98" s="662" t="s">
        <v>1387</v>
      </c>
      <c r="C98" s="663" t="s">
        <v>517</v>
      </c>
      <c r="D98" s="664" t="s">
        <v>1388</v>
      </c>
      <c r="E98" s="663" t="s">
        <v>1934</v>
      </c>
      <c r="F98" s="664" t="s">
        <v>1935</v>
      </c>
      <c r="G98" s="663" t="s">
        <v>1742</v>
      </c>
      <c r="H98" s="663" t="s">
        <v>1743</v>
      </c>
      <c r="I98" s="665">
        <v>1406.63</v>
      </c>
      <c r="J98" s="665">
        <v>5</v>
      </c>
      <c r="K98" s="666">
        <v>7033.13</v>
      </c>
    </row>
    <row r="99" spans="1:11" ht="14.4" customHeight="1" x14ac:dyDescent="0.3">
      <c r="A99" s="661" t="s">
        <v>512</v>
      </c>
      <c r="B99" s="662" t="s">
        <v>1387</v>
      </c>
      <c r="C99" s="663" t="s">
        <v>517</v>
      </c>
      <c r="D99" s="664" t="s">
        <v>1388</v>
      </c>
      <c r="E99" s="663" t="s">
        <v>1934</v>
      </c>
      <c r="F99" s="664" t="s">
        <v>1935</v>
      </c>
      <c r="G99" s="663" t="s">
        <v>1744</v>
      </c>
      <c r="H99" s="663" t="s">
        <v>1745</v>
      </c>
      <c r="I99" s="665">
        <v>123.18</v>
      </c>
      <c r="J99" s="665">
        <v>150</v>
      </c>
      <c r="K99" s="666">
        <v>18476.699999999997</v>
      </c>
    </row>
    <row r="100" spans="1:11" ht="14.4" customHeight="1" x14ac:dyDescent="0.3">
      <c r="A100" s="661" t="s">
        <v>512</v>
      </c>
      <c r="B100" s="662" t="s">
        <v>1387</v>
      </c>
      <c r="C100" s="663" t="s">
        <v>517</v>
      </c>
      <c r="D100" s="664" t="s">
        <v>1388</v>
      </c>
      <c r="E100" s="663" t="s">
        <v>1934</v>
      </c>
      <c r="F100" s="664" t="s">
        <v>1935</v>
      </c>
      <c r="G100" s="663" t="s">
        <v>1746</v>
      </c>
      <c r="H100" s="663" t="s">
        <v>1747</v>
      </c>
      <c r="I100" s="665">
        <v>13.31</v>
      </c>
      <c r="J100" s="665">
        <v>200</v>
      </c>
      <c r="K100" s="666">
        <v>2662</v>
      </c>
    </row>
    <row r="101" spans="1:11" ht="14.4" customHeight="1" x14ac:dyDescent="0.3">
      <c r="A101" s="661" t="s">
        <v>512</v>
      </c>
      <c r="B101" s="662" t="s">
        <v>1387</v>
      </c>
      <c r="C101" s="663" t="s">
        <v>517</v>
      </c>
      <c r="D101" s="664" t="s">
        <v>1388</v>
      </c>
      <c r="E101" s="663" t="s">
        <v>1934</v>
      </c>
      <c r="F101" s="664" t="s">
        <v>1935</v>
      </c>
      <c r="G101" s="663" t="s">
        <v>1748</v>
      </c>
      <c r="H101" s="663" t="s">
        <v>1749</v>
      </c>
      <c r="I101" s="665">
        <v>17.98</v>
      </c>
      <c r="J101" s="665">
        <v>50</v>
      </c>
      <c r="K101" s="666">
        <v>899.03</v>
      </c>
    </row>
    <row r="102" spans="1:11" ht="14.4" customHeight="1" x14ac:dyDescent="0.3">
      <c r="A102" s="661" t="s">
        <v>512</v>
      </c>
      <c r="B102" s="662" t="s">
        <v>1387</v>
      </c>
      <c r="C102" s="663" t="s">
        <v>517</v>
      </c>
      <c r="D102" s="664" t="s">
        <v>1388</v>
      </c>
      <c r="E102" s="663" t="s">
        <v>1934</v>
      </c>
      <c r="F102" s="664" t="s">
        <v>1935</v>
      </c>
      <c r="G102" s="663" t="s">
        <v>1750</v>
      </c>
      <c r="H102" s="663" t="s">
        <v>1751</v>
      </c>
      <c r="I102" s="665">
        <v>2.5099999999999998</v>
      </c>
      <c r="J102" s="665">
        <v>100</v>
      </c>
      <c r="K102" s="666">
        <v>251</v>
      </c>
    </row>
    <row r="103" spans="1:11" ht="14.4" customHeight="1" x14ac:dyDescent="0.3">
      <c r="A103" s="661" t="s">
        <v>512</v>
      </c>
      <c r="B103" s="662" t="s">
        <v>1387</v>
      </c>
      <c r="C103" s="663" t="s">
        <v>517</v>
      </c>
      <c r="D103" s="664" t="s">
        <v>1388</v>
      </c>
      <c r="E103" s="663" t="s">
        <v>1934</v>
      </c>
      <c r="F103" s="664" t="s">
        <v>1935</v>
      </c>
      <c r="G103" s="663" t="s">
        <v>1752</v>
      </c>
      <c r="H103" s="663" t="s">
        <v>1753</v>
      </c>
      <c r="I103" s="665">
        <v>1.94</v>
      </c>
      <c r="J103" s="665">
        <v>600</v>
      </c>
      <c r="K103" s="666">
        <v>1164</v>
      </c>
    </row>
    <row r="104" spans="1:11" ht="14.4" customHeight="1" x14ac:dyDescent="0.3">
      <c r="A104" s="661" t="s">
        <v>512</v>
      </c>
      <c r="B104" s="662" t="s">
        <v>1387</v>
      </c>
      <c r="C104" s="663" t="s">
        <v>517</v>
      </c>
      <c r="D104" s="664" t="s">
        <v>1388</v>
      </c>
      <c r="E104" s="663" t="s">
        <v>1934</v>
      </c>
      <c r="F104" s="664" t="s">
        <v>1935</v>
      </c>
      <c r="G104" s="663" t="s">
        <v>1754</v>
      </c>
      <c r="H104" s="663" t="s">
        <v>1755</v>
      </c>
      <c r="I104" s="665">
        <v>5.2060000000000004</v>
      </c>
      <c r="J104" s="665">
        <v>2049</v>
      </c>
      <c r="K104" s="666">
        <v>10664.59</v>
      </c>
    </row>
    <row r="105" spans="1:11" ht="14.4" customHeight="1" x14ac:dyDescent="0.3">
      <c r="A105" s="661" t="s">
        <v>512</v>
      </c>
      <c r="B105" s="662" t="s">
        <v>1387</v>
      </c>
      <c r="C105" s="663" t="s">
        <v>517</v>
      </c>
      <c r="D105" s="664" t="s">
        <v>1388</v>
      </c>
      <c r="E105" s="663" t="s">
        <v>1934</v>
      </c>
      <c r="F105" s="664" t="s">
        <v>1935</v>
      </c>
      <c r="G105" s="663" t="s">
        <v>1756</v>
      </c>
      <c r="H105" s="663" t="s">
        <v>1757</v>
      </c>
      <c r="I105" s="665">
        <v>1.2749999999999999</v>
      </c>
      <c r="J105" s="665">
        <v>300</v>
      </c>
      <c r="K105" s="666">
        <v>381.75</v>
      </c>
    </row>
    <row r="106" spans="1:11" ht="14.4" customHeight="1" x14ac:dyDescent="0.3">
      <c r="A106" s="661" t="s">
        <v>512</v>
      </c>
      <c r="B106" s="662" t="s">
        <v>1387</v>
      </c>
      <c r="C106" s="663" t="s">
        <v>517</v>
      </c>
      <c r="D106" s="664" t="s">
        <v>1388</v>
      </c>
      <c r="E106" s="663" t="s">
        <v>1934</v>
      </c>
      <c r="F106" s="664" t="s">
        <v>1935</v>
      </c>
      <c r="G106" s="663" t="s">
        <v>1758</v>
      </c>
      <c r="H106" s="663" t="s">
        <v>1759</v>
      </c>
      <c r="I106" s="665">
        <v>21.24</v>
      </c>
      <c r="J106" s="665">
        <v>50</v>
      </c>
      <c r="K106" s="666">
        <v>1062</v>
      </c>
    </row>
    <row r="107" spans="1:11" ht="14.4" customHeight="1" x14ac:dyDescent="0.3">
      <c r="A107" s="661" t="s">
        <v>512</v>
      </c>
      <c r="B107" s="662" t="s">
        <v>1387</v>
      </c>
      <c r="C107" s="663" t="s">
        <v>517</v>
      </c>
      <c r="D107" s="664" t="s">
        <v>1388</v>
      </c>
      <c r="E107" s="663" t="s">
        <v>1934</v>
      </c>
      <c r="F107" s="664" t="s">
        <v>1935</v>
      </c>
      <c r="G107" s="663" t="s">
        <v>1760</v>
      </c>
      <c r="H107" s="663" t="s">
        <v>1761</v>
      </c>
      <c r="I107" s="665">
        <v>21.23</v>
      </c>
      <c r="J107" s="665">
        <v>100</v>
      </c>
      <c r="K107" s="666">
        <v>2123</v>
      </c>
    </row>
    <row r="108" spans="1:11" ht="14.4" customHeight="1" x14ac:dyDescent="0.3">
      <c r="A108" s="661" t="s">
        <v>512</v>
      </c>
      <c r="B108" s="662" t="s">
        <v>1387</v>
      </c>
      <c r="C108" s="663" t="s">
        <v>517</v>
      </c>
      <c r="D108" s="664" t="s">
        <v>1388</v>
      </c>
      <c r="E108" s="663" t="s">
        <v>1934</v>
      </c>
      <c r="F108" s="664" t="s">
        <v>1935</v>
      </c>
      <c r="G108" s="663" t="s">
        <v>1762</v>
      </c>
      <c r="H108" s="663" t="s">
        <v>1763</v>
      </c>
      <c r="I108" s="665">
        <v>13.2</v>
      </c>
      <c r="J108" s="665">
        <v>10</v>
      </c>
      <c r="K108" s="666">
        <v>132</v>
      </c>
    </row>
    <row r="109" spans="1:11" ht="14.4" customHeight="1" x14ac:dyDescent="0.3">
      <c r="A109" s="661" t="s">
        <v>512</v>
      </c>
      <c r="B109" s="662" t="s">
        <v>1387</v>
      </c>
      <c r="C109" s="663" t="s">
        <v>517</v>
      </c>
      <c r="D109" s="664" t="s">
        <v>1388</v>
      </c>
      <c r="E109" s="663" t="s">
        <v>1934</v>
      </c>
      <c r="F109" s="664" t="s">
        <v>1935</v>
      </c>
      <c r="G109" s="663" t="s">
        <v>1764</v>
      </c>
      <c r="H109" s="663" t="s">
        <v>1765</v>
      </c>
      <c r="I109" s="665">
        <v>18.149999999999999</v>
      </c>
      <c r="J109" s="665">
        <v>100</v>
      </c>
      <c r="K109" s="666">
        <v>1815</v>
      </c>
    </row>
    <row r="110" spans="1:11" ht="14.4" customHeight="1" x14ac:dyDescent="0.3">
      <c r="A110" s="661" t="s">
        <v>512</v>
      </c>
      <c r="B110" s="662" t="s">
        <v>1387</v>
      </c>
      <c r="C110" s="663" t="s">
        <v>517</v>
      </c>
      <c r="D110" s="664" t="s">
        <v>1388</v>
      </c>
      <c r="E110" s="663" t="s">
        <v>1934</v>
      </c>
      <c r="F110" s="664" t="s">
        <v>1935</v>
      </c>
      <c r="G110" s="663" t="s">
        <v>1766</v>
      </c>
      <c r="H110" s="663" t="s">
        <v>1767</v>
      </c>
      <c r="I110" s="665">
        <v>107.69</v>
      </c>
      <c r="J110" s="665">
        <v>80</v>
      </c>
      <c r="K110" s="666">
        <v>8615.2000000000007</v>
      </c>
    </row>
    <row r="111" spans="1:11" ht="14.4" customHeight="1" x14ac:dyDescent="0.3">
      <c r="A111" s="661" t="s">
        <v>512</v>
      </c>
      <c r="B111" s="662" t="s">
        <v>1387</v>
      </c>
      <c r="C111" s="663" t="s">
        <v>517</v>
      </c>
      <c r="D111" s="664" t="s">
        <v>1388</v>
      </c>
      <c r="E111" s="663" t="s">
        <v>1934</v>
      </c>
      <c r="F111" s="664" t="s">
        <v>1935</v>
      </c>
      <c r="G111" s="663" t="s">
        <v>1768</v>
      </c>
      <c r="H111" s="663" t="s">
        <v>1769</v>
      </c>
      <c r="I111" s="665">
        <v>0.47</v>
      </c>
      <c r="J111" s="665">
        <v>300</v>
      </c>
      <c r="K111" s="666">
        <v>141</v>
      </c>
    </row>
    <row r="112" spans="1:11" ht="14.4" customHeight="1" x14ac:dyDescent="0.3">
      <c r="A112" s="661" t="s">
        <v>512</v>
      </c>
      <c r="B112" s="662" t="s">
        <v>1387</v>
      </c>
      <c r="C112" s="663" t="s">
        <v>517</v>
      </c>
      <c r="D112" s="664" t="s">
        <v>1388</v>
      </c>
      <c r="E112" s="663" t="s">
        <v>1934</v>
      </c>
      <c r="F112" s="664" t="s">
        <v>1935</v>
      </c>
      <c r="G112" s="663" t="s">
        <v>1770</v>
      </c>
      <c r="H112" s="663" t="s">
        <v>1771</v>
      </c>
      <c r="I112" s="665">
        <v>0.47</v>
      </c>
      <c r="J112" s="665">
        <v>1700</v>
      </c>
      <c r="K112" s="666">
        <v>799</v>
      </c>
    </row>
    <row r="113" spans="1:11" ht="14.4" customHeight="1" x14ac:dyDescent="0.3">
      <c r="A113" s="661" t="s">
        <v>512</v>
      </c>
      <c r="B113" s="662" t="s">
        <v>1387</v>
      </c>
      <c r="C113" s="663" t="s">
        <v>517</v>
      </c>
      <c r="D113" s="664" t="s">
        <v>1388</v>
      </c>
      <c r="E113" s="663" t="s">
        <v>1934</v>
      </c>
      <c r="F113" s="664" t="s">
        <v>1935</v>
      </c>
      <c r="G113" s="663" t="s">
        <v>1772</v>
      </c>
      <c r="H113" s="663" t="s">
        <v>1773</v>
      </c>
      <c r="I113" s="665">
        <v>4.03</v>
      </c>
      <c r="J113" s="665">
        <v>200</v>
      </c>
      <c r="K113" s="666">
        <v>806</v>
      </c>
    </row>
    <row r="114" spans="1:11" ht="14.4" customHeight="1" x14ac:dyDescent="0.3">
      <c r="A114" s="661" t="s">
        <v>512</v>
      </c>
      <c r="B114" s="662" t="s">
        <v>1387</v>
      </c>
      <c r="C114" s="663" t="s">
        <v>517</v>
      </c>
      <c r="D114" s="664" t="s">
        <v>1388</v>
      </c>
      <c r="E114" s="663" t="s">
        <v>1934</v>
      </c>
      <c r="F114" s="664" t="s">
        <v>1935</v>
      </c>
      <c r="G114" s="663" t="s">
        <v>1774</v>
      </c>
      <c r="H114" s="663" t="s">
        <v>1775</v>
      </c>
      <c r="I114" s="665">
        <v>2.9025000000000003</v>
      </c>
      <c r="J114" s="665">
        <v>1198</v>
      </c>
      <c r="K114" s="666">
        <v>3476.6800000000003</v>
      </c>
    </row>
    <row r="115" spans="1:11" ht="14.4" customHeight="1" x14ac:dyDescent="0.3">
      <c r="A115" s="661" t="s">
        <v>512</v>
      </c>
      <c r="B115" s="662" t="s">
        <v>1387</v>
      </c>
      <c r="C115" s="663" t="s">
        <v>517</v>
      </c>
      <c r="D115" s="664" t="s">
        <v>1388</v>
      </c>
      <c r="E115" s="663" t="s">
        <v>1934</v>
      </c>
      <c r="F115" s="664" t="s">
        <v>1935</v>
      </c>
      <c r="G115" s="663" t="s">
        <v>1776</v>
      </c>
      <c r="H115" s="663" t="s">
        <v>1777</v>
      </c>
      <c r="I115" s="665">
        <v>2.9050000000000002</v>
      </c>
      <c r="J115" s="665">
        <v>1000</v>
      </c>
      <c r="K115" s="666">
        <v>2904</v>
      </c>
    </row>
    <row r="116" spans="1:11" ht="14.4" customHeight="1" x14ac:dyDescent="0.3">
      <c r="A116" s="661" t="s">
        <v>512</v>
      </c>
      <c r="B116" s="662" t="s">
        <v>1387</v>
      </c>
      <c r="C116" s="663" t="s">
        <v>517</v>
      </c>
      <c r="D116" s="664" t="s">
        <v>1388</v>
      </c>
      <c r="E116" s="663" t="s">
        <v>1934</v>
      </c>
      <c r="F116" s="664" t="s">
        <v>1935</v>
      </c>
      <c r="G116" s="663" t="s">
        <v>1778</v>
      </c>
      <c r="H116" s="663" t="s">
        <v>1779</v>
      </c>
      <c r="I116" s="665">
        <v>2.91</v>
      </c>
      <c r="J116" s="665">
        <v>300</v>
      </c>
      <c r="K116" s="666">
        <v>873</v>
      </c>
    </row>
    <row r="117" spans="1:11" ht="14.4" customHeight="1" x14ac:dyDescent="0.3">
      <c r="A117" s="661" t="s">
        <v>512</v>
      </c>
      <c r="B117" s="662" t="s">
        <v>1387</v>
      </c>
      <c r="C117" s="663" t="s">
        <v>517</v>
      </c>
      <c r="D117" s="664" t="s">
        <v>1388</v>
      </c>
      <c r="E117" s="663" t="s">
        <v>1934</v>
      </c>
      <c r="F117" s="664" t="s">
        <v>1935</v>
      </c>
      <c r="G117" s="663" t="s">
        <v>1780</v>
      </c>
      <c r="H117" s="663" t="s">
        <v>1781</v>
      </c>
      <c r="I117" s="665">
        <v>2.9033333333333338</v>
      </c>
      <c r="J117" s="665">
        <v>736</v>
      </c>
      <c r="K117" s="666">
        <v>2135.37</v>
      </c>
    </row>
    <row r="118" spans="1:11" ht="14.4" customHeight="1" x14ac:dyDescent="0.3">
      <c r="A118" s="661" t="s">
        <v>512</v>
      </c>
      <c r="B118" s="662" t="s">
        <v>1387</v>
      </c>
      <c r="C118" s="663" t="s">
        <v>517</v>
      </c>
      <c r="D118" s="664" t="s">
        <v>1388</v>
      </c>
      <c r="E118" s="663" t="s">
        <v>1934</v>
      </c>
      <c r="F118" s="664" t="s">
        <v>1935</v>
      </c>
      <c r="G118" s="663" t="s">
        <v>1782</v>
      </c>
      <c r="H118" s="663" t="s">
        <v>1783</v>
      </c>
      <c r="I118" s="665">
        <v>527.96</v>
      </c>
      <c r="J118" s="665">
        <v>10</v>
      </c>
      <c r="K118" s="666">
        <v>5279.65</v>
      </c>
    </row>
    <row r="119" spans="1:11" ht="14.4" customHeight="1" x14ac:dyDescent="0.3">
      <c r="A119" s="661" t="s">
        <v>512</v>
      </c>
      <c r="B119" s="662" t="s">
        <v>1387</v>
      </c>
      <c r="C119" s="663" t="s">
        <v>517</v>
      </c>
      <c r="D119" s="664" t="s">
        <v>1388</v>
      </c>
      <c r="E119" s="663" t="s">
        <v>1934</v>
      </c>
      <c r="F119" s="664" t="s">
        <v>1935</v>
      </c>
      <c r="G119" s="663" t="s">
        <v>1784</v>
      </c>
      <c r="H119" s="663" t="s">
        <v>1785</v>
      </c>
      <c r="I119" s="665">
        <v>24.4</v>
      </c>
      <c r="J119" s="665">
        <v>100</v>
      </c>
      <c r="K119" s="666">
        <v>2440.4</v>
      </c>
    </row>
    <row r="120" spans="1:11" ht="14.4" customHeight="1" x14ac:dyDescent="0.3">
      <c r="A120" s="661" t="s">
        <v>512</v>
      </c>
      <c r="B120" s="662" t="s">
        <v>1387</v>
      </c>
      <c r="C120" s="663" t="s">
        <v>517</v>
      </c>
      <c r="D120" s="664" t="s">
        <v>1388</v>
      </c>
      <c r="E120" s="663" t="s">
        <v>1934</v>
      </c>
      <c r="F120" s="664" t="s">
        <v>1935</v>
      </c>
      <c r="G120" s="663" t="s">
        <v>1786</v>
      </c>
      <c r="H120" s="663" t="s">
        <v>1787</v>
      </c>
      <c r="I120" s="665">
        <v>484.04</v>
      </c>
      <c r="J120" s="665">
        <v>20</v>
      </c>
      <c r="K120" s="666">
        <v>9680.7000000000007</v>
      </c>
    </row>
    <row r="121" spans="1:11" ht="14.4" customHeight="1" x14ac:dyDescent="0.3">
      <c r="A121" s="661" t="s">
        <v>512</v>
      </c>
      <c r="B121" s="662" t="s">
        <v>1387</v>
      </c>
      <c r="C121" s="663" t="s">
        <v>517</v>
      </c>
      <c r="D121" s="664" t="s">
        <v>1388</v>
      </c>
      <c r="E121" s="663" t="s">
        <v>1934</v>
      </c>
      <c r="F121" s="664" t="s">
        <v>1935</v>
      </c>
      <c r="G121" s="663" t="s">
        <v>1788</v>
      </c>
      <c r="H121" s="663" t="s">
        <v>1789</v>
      </c>
      <c r="I121" s="665">
        <v>12.1</v>
      </c>
      <c r="J121" s="665">
        <v>50</v>
      </c>
      <c r="K121" s="666">
        <v>605</v>
      </c>
    </row>
    <row r="122" spans="1:11" ht="14.4" customHeight="1" x14ac:dyDescent="0.3">
      <c r="A122" s="661" t="s">
        <v>512</v>
      </c>
      <c r="B122" s="662" t="s">
        <v>1387</v>
      </c>
      <c r="C122" s="663" t="s">
        <v>517</v>
      </c>
      <c r="D122" s="664" t="s">
        <v>1388</v>
      </c>
      <c r="E122" s="663" t="s">
        <v>1934</v>
      </c>
      <c r="F122" s="664" t="s">
        <v>1935</v>
      </c>
      <c r="G122" s="663" t="s">
        <v>1790</v>
      </c>
      <c r="H122" s="663" t="s">
        <v>1791</v>
      </c>
      <c r="I122" s="665">
        <v>96.32</v>
      </c>
      <c r="J122" s="665">
        <v>12</v>
      </c>
      <c r="K122" s="666">
        <v>1155.79</v>
      </c>
    </row>
    <row r="123" spans="1:11" ht="14.4" customHeight="1" x14ac:dyDescent="0.3">
      <c r="A123" s="661" t="s">
        <v>512</v>
      </c>
      <c r="B123" s="662" t="s">
        <v>1387</v>
      </c>
      <c r="C123" s="663" t="s">
        <v>517</v>
      </c>
      <c r="D123" s="664" t="s">
        <v>1388</v>
      </c>
      <c r="E123" s="663" t="s">
        <v>1934</v>
      </c>
      <c r="F123" s="664" t="s">
        <v>1935</v>
      </c>
      <c r="G123" s="663" t="s">
        <v>1792</v>
      </c>
      <c r="H123" s="663" t="s">
        <v>1793</v>
      </c>
      <c r="I123" s="665">
        <v>153.11000000000001</v>
      </c>
      <c r="J123" s="665">
        <v>10</v>
      </c>
      <c r="K123" s="666">
        <v>1531.13</v>
      </c>
    </row>
    <row r="124" spans="1:11" ht="14.4" customHeight="1" x14ac:dyDescent="0.3">
      <c r="A124" s="661" t="s">
        <v>512</v>
      </c>
      <c r="B124" s="662" t="s">
        <v>1387</v>
      </c>
      <c r="C124" s="663" t="s">
        <v>517</v>
      </c>
      <c r="D124" s="664" t="s">
        <v>1388</v>
      </c>
      <c r="E124" s="663" t="s">
        <v>1934</v>
      </c>
      <c r="F124" s="664" t="s">
        <v>1935</v>
      </c>
      <c r="G124" s="663" t="s">
        <v>1794</v>
      </c>
      <c r="H124" s="663" t="s">
        <v>1795</v>
      </c>
      <c r="I124" s="665">
        <v>9.1999999999999993</v>
      </c>
      <c r="J124" s="665">
        <v>1000</v>
      </c>
      <c r="K124" s="666">
        <v>9200</v>
      </c>
    </row>
    <row r="125" spans="1:11" ht="14.4" customHeight="1" x14ac:dyDescent="0.3">
      <c r="A125" s="661" t="s">
        <v>512</v>
      </c>
      <c r="B125" s="662" t="s">
        <v>1387</v>
      </c>
      <c r="C125" s="663" t="s">
        <v>517</v>
      </c>
      <c r="D125" s="664" t="s">
        <v>1388</v>
      </c>
      <c r="E125" s="663" t="s">
        <v>1934</v>
      </c>
      <c r="F125" s="664" t="s">
        <v>1935</v>
      </c>
      <c r="G125" s="663" t="s">
        <v>1796</v>
      </c>
      <c r="H125" s="663" t="s">
        <v>1797</v>
      </c>
      <c r="I125" s="665">
        <v>172.5</v>
      </c>
      <c r="J125" s="665">
        <v>1</v>
      </c>
      <c r="K125" s="666">
        <v>172.5</v>
      </c>
    </row>
    <row r="126" spans="1:11" ht="14.4" customHeight="1" x14ac:dyDescent="0.3">
      <c r="A126" s="661" t="s">
        <v>512</v>
      </c>
      <c r="B126" s="662" t="s">
        <v>1387</v>
      </c>
      <c r="C126" s="663" t="s">
        <v>517</v>
      </c>
      <c r="D126" s="664" t="s">
        <v>1388</v>
      </c>
      <c r="E126" s="663" t="s">
        <v>1934</v>
      </c>
      <c r="F126" s="664" t="s">
        <v>1935</v>
      </c>
      <c r="G126" s="663" t="s">
        <v>1798</v>
      </c>
      <c r="H126" s="663" t="s">
        <v>1799</v>
      </c>
      <c r="I126" s="665">
        <v>15.729999999999999</v>
      </c>
      <c r="J126" s="665">
        <v>180</v>
      </c>
      <c r="K126" s="666">
        <v>2831.3999999999996</v>
      </c>
    </row>
    <row r="127" spans="1:11" ht="14.4" customHeight="1" x14ac:dyDescent="0.3">
      <c r="A127" s="661" t="s">
        <v>512</v>
      </c>
      <c r="B127" s="662" t="s">
        <v>1387</v>
      </c>
      <c r="C127" s="663" t="s">
        <v>517</v>
      </c>
      <c r="D127" s="664" t="s">
        <v>1388</v>
      </c>
      <c r="E127" s="663" t="s">
        <v>1934</v>
      </c>
      <c r="F127" s="664" t="s">
        <v>1935</v>
      </c>
      <c r="G127" s="663" t="s">
        <v>1800</v>
      </c>
      <c r="H127" s="663" t="s">
        <v>1801</v>
      </c>
      <c r="I127" s="665">
        <v>14.52</v>
      </c>
      <c r="J127" s="665">
        <v>40</v>
      </c>
      <c r="K127" s="666">
        <v>580.79999999999995</v>
      </c>
    </row>
    <row r="128" spans="1:11" ht="14.4" customHeight="1" x14ac:dyDescent="0.3">
      <c r="A128" s="661" t="s">
        <v>512</v>
      </c>
      <c r="B128" s="662" t="s">
        <v>1387</v>
      </c>
      <c r="C128" s="663" t="s">
        <v>517</v>
      </c>
      <c r="D128" s="664" t="s">
        <v>1388</v>
      </c>
      <c r="E128" s="663" t="s">
        <v>1934</v>
      </c>
      <c r="F128" s="664" t="s">
        <v>1935</v>
      </c>
      <c r="G128" s="663" t="s">
        <v>1802</v>
      </c>
      <c r="H128" s="663" t="s">
        <v>1803</v>
      </c>
      <c r="I128" s="665">
        <v>124.63</v>
      </c>
      <c r="J128" s="665">
        <v>60</v>
      </c>
      <c r="K128" s="666">
        <v>7477.8</v>
      </c>
    </row>
    <row r="129" spans="1:11" ht="14.4" customHeight="1" x14ac:dyDescent="0.3">
      <c r="A129" s="661" t="s">
        <v>512</v>
      </c>
      <c r="B129" s="662" t="s">
        <v>1387</v>
      </c>
      <c r="C129" s="663" t="s">
        <v>517</v>
      </c>
      <c r="D129" s="664" t="s">
        <v>1388</v>
      </c>
      <c r="E129" s="663" t="s">
        <v>1934</v>
      </c>
      <c r="F129" s="664" t="s">
        <v>1935</v>
      </c>
      <c r="G129" s="663" t="s">
        <v>1804</v>
      </c>
      <c r="H129" s="663" t="s">
        <v>1805</v>
      </c>
      <c r="I129" s="665">
        <v>82.164999999999992</v>
      </c>
      <c r="J129" s="665">
        <v>48</v>
      </c>
      <c r="K129" s="666">
        <v>3943.83</v>
      </c>
    </row>
    <row r="130" spans="1:11" ht="14.4" customHeight="1" x14ac:dyDescent="0.3">
      <c r="A130" s="661" t="s">
        <v>512</v>
      </c>
      <c r="B130" s="662" t="s">
        <v>1387</v>
      </c>
      <c r="C130" s="663" t="s">
        <v>517</v>
      </c>
      <c r="D130" s="664" t="s">
        <v>1388</v>
      </c>
      <c r="E130" s="663" t="s">
        <v>1934</v>
      </c>
      <c r="F130" s="664" t="s">
        <v>1935</v>
      </c>
      <c r="G130" s="663" t="s">
        <v>1806</v>
      </c>
      <c r="H130" s="663" t="s">
        <v>1807</v>
      </c>
      <c r="I130" s="665">
        <v>3533.32</v>
      </c>
      <c r="J130" s="665">
        <v>2</v>
      </c>
      <c r="K130" s="666">
        <v>7066.64</v>
      </c>
    </row>
    <row r="131" spans="1:11" ht="14.4" customHeight="1" x14ac:dyDescent="0.3">
      <c r="A131" s="661" t="s">
        <v>512</v>
      </c>
      <c r="B131" s="662" t="s">
        <v>1387</v>
      </c>
      <c r="C131" s="663" t="s">
        <v>517</v>
      </c>
      <c r="D131" s="664" t="s">
        <v>1388</v>
      </c>
      <c r="E131" s="663" t="s">
        <v>1934</v>
      </c>
      <c r="F131" s="664" t="s">
        <v>1935</v>
      </c>
      <c r="G131" s="663" t="s">
        <v>1808</v>
      </c>
      <c r="H131" s="663" t="s">
        <v>1809</v>
      </c>
      <c r="I131" s="665">
        <v>3.87</v>
      </c>
      <c r="J131" s="665">
        <v>700</v>
      </c>
      <c r="K131" s="666">
        <v>2710.4</v>
      </c>
    </row>
    <row r="132" spans="1:11" ht="14.4" customHeight="1" x14ac:dyDescent="0.3">
      <c r="A132" s="661" t="s">
        <v>512</v>
      </c>
      <c r="B132" s="662" t="s">
        <v>1387</v>
      </c>
      <c r="C132" s="663" t="s">
        <v>517</v>
      </c>
      <c r="D132" s="664" t="s">
        <v>1388</v>
      </c>
      <c r="E132" s="663" t="s">
        <v>1934</v>
      </c>
      <c r="F132" s="664" t="s">
        <v>1935</v>
      </c>
      <c r="G132" s="663" t="s">
        <v>1810</v>
      </c>
      <c r="H132" s="663" t="s">
        <v>1811</v>
      </c>
      <c r="I132" s="665">
        <v>82.2</v>
      </c>
      <c r="J132" s="665">
        <v>10</v>
      </c>
      <c r="K132" s="666">
        <v>821.98</v>
      </c>
    </row>
    <row r="133" spans="1:11" ht="14.4" customHeight="1" x14ac:dyDescent="0.3">
      <c r="A133" s="661" t="s">
        <v>512</v>
      </c>
      <c r="B133" s="662" t="s">
        <v>1387</v>
      </c>
      <c r="C133" s="663" t="s">
        <v>517</v>
      </c>
      <c r="D133" s="664" t="s">
        <v>1388</v>
      </c>
      <c r="E133" s="663" t="s">
        <v>1934</v>
      </c>
      <c r="F133" s="664" t="s">
        <v>1935</v>
      </c>
      <c r="G133" s="663" t="s">
        <v>1812</v>
      </c>
      <c r="H133" s="663" t="s">
        <v>1813</v>
      </c>
      <c r="I133" s="665">
        <v>96.8</v>
      </c>
      <c r="J133" s="665">
        <v>60</v>
      </c>
      <c r="K133" s="666">
        <v>5808</v>
      </c>
    </row>
    <row r="134" spans="1:11" ht="14.4" customHeight="1" x14ac:dyDescent="0.3">
      <c r="A134" s="661" t="s">
        <v>512</v>
      </c>
      <c r="B134" s="662" t="s">
        <v>1387</v>
      </c>
      <c r="C134" s="663" t="s">
        <v>517</v>
      </c>
      <c r="D134" s="664" t="s">
        <v>1388</v>
      </c>
      <c r="E134" s="663" t="s">
        <v>1934</v>
      </c>
      <c r="F134" s="664" t="s">
        <v>1935</v>
      </c>
      <c r="G134" s="663" t="s">
        <v>1814</v>
      </c>
      <c r="H134" s="663" t="s">
        <v>1815</v>
      </c>
      <c r="I134" s="665">
        <v>15.13</v>
      </c>
      <c r="J134" s="665">
        <v>400</v>
      </c>
      <c r="K134" s="666">
        <v>6050</v>
      </c>
    </row>
    <row r="135" spans="1:11" ht="14.4" customHeight="1" x14ac:dyDescent="0.3">
      <c r="A135" s="661" t="s">
        <v>512</v>
      </c>
      <c r="B135" s="662" t="s">
        <v>1387</v>
      </c>
      <c r="C135" s="663" t="s">
        <v>517</v>
      </c>
      <c r="D135" s="664" t="s">
        <v>1388</v>
      </c>
      <c r="E135" s="663" t="s">
        <v>1934</v>
      </c>
      <c r="F135" s="664" t="s">
        <v>1935</v>
      </c>
      <c r="G135" s="663" t="s">
        <v>1816</v>
      </c>
      <c r="H135" s="663" t="s">
        <v>1817</v>
      </c>
      <c r="I135" s="665">
        <v>3.4316666666666666</v>
      </c>
      <c r="J135" s="665">
        <v>2210</v>
      </c>
      <c r="K135" s="666">
        <v>7571.92</v>
      </c>
    </row>
    <row r="136" spans="1:11" ht="14.4" customHeight="1" x14ac:dyDescent="0.3">
      <c r="A136" s="661" t="s">
        <v>512</v>
      </c>
      <c r="B136" s="662" t="s">
        <v>1387</v>
      </c>
      <c r="C136" s="663" t="s">
        <v>517</v>
      </c>
      <c r="D136" s="664" t="s">
        <v>1388</v>
      </c>
      <c r="E136" s="663" t="s">
        <v>1934</v>
      </c>
      <c r="F136" s="664" t="s">
        <v>1935</v>
      </c>
      <c r="G136" s="663" t="s">
        <v>1818</v>
      </c>
      <c r="H136" s="663" t="s">
        <v>1819</v>
      </c>
      <c r="I136" s="665">
        <v>3.42</v>
      </c>
      <c r="J136" s="665">
        <v>120</v>
      </c>
      <c r="K136" s="666">
        <v>410.4</v>
      </c>
    </row>
    <row r="137" spans="1:11" ht="14.4" customHeight="1" x14ac:dyDescent="0.3">
      <c r="A137" s="661" t="s">
        <v>512</v>
      </c>
      <c r="B137" s="662" t="s">
        <v>1387</v>
      </c>
      <c r="C137" s="663" t="s">
        <v>517</v>
      </c>
      <c r="D137" s="664" t="s">
        <v>1388</v>
      </c>
      <c r="E137" s="663" t="s">
        <v>1934</v>
      </c>
      <c r="F137" s="664" t="s">
        <v>1935</v>
      </c>
      <c r="G137" s="663" t="s">
        <v>1820</v>
      </c>
      <c r="H137" s="663" t="s">
        <v>1821</v>
      </c>
      <c r="I137" s="665">
        <v>6.0999999999999988</v>
      </c>
      <c r="J137" s="665">
        <v>1000</v>
      </c>
      <c r="K137" s="666">
        <v>6100</v>
      </c>
    </row>
    <row r="138" spans="1:11" ht="14.4" customHeight="1" x14ac:dyDescent="0.3">
      <c r="A138" s="661" t="s">
        <v>512</v>
      </c>
      <c r="B138" s="662" t="s">
        <v>1387</v>
      </c>
      <c r="C138" s="663" t="s">
        <v>517</v>
      </c>
      <c r="D138" s="664" t="s">
        <v>1388</v>
      </c>
      <c r="E138" s="663" t="s">
        <v>1934</v>
      </c>
      <c r="F138" s="664" t="s">
        <v>1935</v>
      </c>
      <c r="G138" s="663" t="s">
        <v>1822</v>
      </c>
      <c r="H138" s="663" t="s">
        <v>1823</v>
      </c>
      <c r="I138" s="665">
        <v>22.99</v>
      </c>
      <c r="J138" s="665">
        <v>10</v>
      </c>
      <c r="K138" s="666">
        <v>229.9</v>
      </c>
    </row>
    <row r="139" spans="1:11" ht="14.4" customHeight="1" x14ac:dyDescent="0.3">
      <c r="A139" s="661" t="s">
        <v>512</v>
      </c>
      <c r="B139" s="662" t="s">
        <v>1387</v>
      </c>
      <c r="C139" s="663" t="s">
        <v>517</v>
      </c>
      <c r="D139" s="664" t="s">
        <v>1388</v>
      </c>
      <c r="E139" s="663" t="s">
        <v>1934</v>
      </c>
      <c r="F139" s="664" t="s">
        <v>1935</v>
      </c>
      <c r="G139" s="663" t="s">
        <v>1824</v>
      </c>
      <c r="H139" s="663" t="s">
        <v>1825</v>
      </c>
      <c r="I139" s="665">
        <v>82.2</v>
      </c>
      <c r="J139" s="665">
        <v>10</v>
      </c>
      <c r="K139" s="666">
        <v>821.99</v>
      </c>
    </row>
    <row r="140" spans="1:11" ht="14.4" customHeight="1" x14ac:dyDescent="0.3">
      <c r="A140" s="661" t="s">
        <v>512</v>
      </c>
      <c r="B140" s="662" t="s">
        <v>1387</v>
      </c>
      <c r="C140" s="663" t="s">
        <v>517</v>
      </c>
      <c r="D140" s="664" t="s">
        <v>1388</v>
      </c>
      <c r="E140" s="663" t="s">
        <v>1934</v>
      </c>
      <c r="F140" s="664" t="s">
        <v>1935</v>
      </c>
      <c r="G140" s="663" t="s">
        <v>1826</v>
      </c>
      <c r="H140" s="663" t="s">
        <v>1827</v>
      </c>
      <c r="I140" s="665">
        <v>67.158333333333317</v>
      </c>
      <c r="J140" s="665">
        <v>300</v>
      </c>
      <c r="K140" s="666">
        <v>20146.52</v>
      </c>
    </row>
    <row r="141" spans="1:11" ht="14.4" customHeight="1" x14ac:dyDescent="0.3">
      <c r="A141" s="661" t="s">
        <v>512</v>
      </c>
      <c r="B141" s="662" t="s">
        <v>1387</v>
      </c>
      <c r="C141" s="663" t="s">
        <v>517</v>
      </c>
      <c r="D141" s="664" t="s">
        <v>1388</v>
      </c>
      <c r="E141" s="663" t="s">
        <v>1934</v>
      </c>
      <c r="F141" s="664" t="s">
        <v>1935</v>
      </c>
      <c r="G141" s="663" t="s">
        <v>1828</v>
      </c>
      <c r="H141" s="663" t="s">
        <v>1829</v>
      </c>
      <c r="I141" s="665">
        <v>110.12</v>
      </c>
      <c r="J141" s="665">
        <v>1</v>
      </c>
      <c r="K141" s="666">
        <v>110.12</v>
      </c>
    </row>
    <row r="142" spans="1:11" ht="14.4" customHeight="1" x14ac:dyDescent="0.3">
      <c r="A142" s="661" t="s">
        <v>512</v>
      </c>
      <c r="B142" s="662" t="s">
        <v>1387</v>
      </c>
      <c r="C142" s="663" t="s">
        <v>517</v>
      </c>
      <c r="D142" s="664" t="s">
        <v>1388</v>
      </c>
      <c r="E142" s="663" t="s">
        <v>1934</v>
      </c>
      <c r="F142" s="664" t="s">
        <v>1935</v>
      </c>
      <c r="G142" s="663" t="s">
        <v>1830</v>
      </c>
      <c r="H142" s="663" t="s">
        <v>1831</v>
      </c>
      <c r="I142" s="665">
        <v>8.8350000000000009</v>
      </c>
      <c r="J142" s="665">
        <v>859</v>
      </c>
      <c r="K142" s="666">
        <v>7589.76</v>
      </c>
    </row>
    <row r="143" spans="1:11" ht="14.4" customHeight="1" x14ac:dyDescent="0.3">
      <c r="A143" s="661" t="s">
        <v>512</v>
      </c>
      <c r="B143" s="662" t="s">
        <v>1387</v>
      </c>
      <c r="C143" s="663" t="s">
        <v>517</v>
      </c>
      <c r="D143" s="664" t="s">
        <v>1388</v>
      </c>
      <c r="E143" s="663" t="s">
        <v>1934</v>
      </c>
      <c r="F143" s="664" t="s">
        <v>1935</v>
      </c>
      <c r="G143" s="663" t="s">
        <v>1832</v>
      </c>
      <c r="H143" s="663" t="s">
        <v>1833</v>
      </c>
      <c r="I143" s="665">
        <v>73.27</v>
      </c>
      <c r="J143" s="665">
        <v>30</v>
      </c>
      <c r="K143" s="666">
        <v>2198</v>
      </c>
    </row>
    <row r="144" spans="1:11" ht="14.4" customHeight="1" x14ac:dyDescent="0.3">
      <c r="A144" s="661" t="s">
        <v>512</v>
      </c>
      <c r="B144" s="662" t="s">
        <v>1387</v>
      </c>
      <c r="C144" s="663" t="s">
        <v>517</v>
      </c>
      <c r="D144" s="664" t="s">
        <v>1388</v>
      </c>
      <c r="E144" s="663" t="s">
        <v>1934</v>
      </c>
      <c r="F144" s="664" t="s">
        <v>1935</v>
      </c>
      <c r="G144" s="663" t="s">
        <v>1834</v>
      </c>
      <c r="H144" s="663" t="s">
        <v>1835</v>
      </c>
      <c r="I144" s="665">
        <v>484.04</v>
      </c>
      <c r="J144" s="665">
        <v>10</v>
      </c>
      <c r="K144" s="666">
        <v>4840.3500000000004</v>
      </c>
    </row>
    <row r="145" spans="1:11" ht="14.4" customHeight="1" x14ac:dyDescent="0.3">
      <c r="A145" s="661" t="s">
        <v>512</v>
      </c>
      <c r="B145" s="662" t="s">
        <v>1387</v>
      </c>
      <c r="C145" s="663" t="s">
        <v>517</v>
      </c>
      <c r="D145" s="664" t="s">
        <v>1388</v>
      </c>
      <c r="E145" s="663" t="s">
        <v>1934</v>
      </c>
      <c r="F145" s="664" t="s">
        <v>1935</v>
      </c>
      <c r="G145" s="663" t="s">
        <v>1836</v>
      </c>
      <c r="H145" s="663" t="s">
        <v>1837</v>
      </c>
      <c r="I145" s="665">
        <v>4022.04</v>
      </c>
      <c r="J145" s="665">
        <v>7</v>
      </c>
      <c r="K145" s="666">
        <v>28154.28</v>
      </c>
    </row>
    <row r="146" spans="1:11" ht="14.4" customHeight="1" x14ac:dyDescent="0.3">
      <c r="A146" s="661" t="s">
        <v>512</v>
      </c>
      <c r="B146" s="662" t="s">
        <v>1387</v>
      </c>
      <c r="C146" s="663" t="s">
        <v>517</v>
      </c>
      <c r="D146" s="664" t="s">
        <v>1388</v>
      </c>
      <c r="E146" s="663" t="s">
        <v>1934</v>
      </c>
      <c r="F146" s="664" t="s">
        <v>1935</v>
      </c>
      <c r="G146" s="663" t="s">
        <v>1838</v>
      </c>
      <c r="H146" s="663" t="s">
        <v>1839</v>
      </c>
      <c r="I146" s="665">
        <v>9.68</v>
      </c>
      <c r="J146" s="665">
        <v>1600</v>
      </c>
      <c r="K146" s="666">
        <v>15488</v>
      </c>
    </row>
    <row r="147" spans="1:11" ht="14.4" customHeight="1" x14ac:dyDescent="0.3">
      <c r="A147" s="661" t="s">
        <v>512</v>
      </c>
      <c r="B147" s="662" t="s">
        <v>1387</v>
      </c>
      <c r="C147" s="663" t="s">
        <v>517</v>
      </c>
      <c r="D147" s="664" t="s">
        <v>1388</v>
      </c>
      <c r="E147" s="663" t="s">
        <v>1934</v>
      </c>
      <c r="F147" s="664" t="s">
        <v>1935</v>
      </c>
      <c r="G147" s="663" t="s">
        <v>1840</v>
      </c>
      <c r="H147" s="663" t="s">
        <v>1841</v>
      </c>
      <c r="I147" s="665">
        <v>1.905</v>
      </c>
      <c r="J147" s="665">
        <v>150</v>
      </c>
      <c r="K147" s="666">
        <v>294.5</v>
      </c>
    </row>
    <row r="148" spans="1:11" ht="14.4" customHeight="1" x14ac:dyDescent="0.3">
      <c r="A148" s="661" t="s">
        <v>512</v>
      </c>
      <c r="B148" s="662" t="s">
        <v>1387</v>
      </c>
      <c r="C148" s="663" t="s">
        <v>517</v>
      </c>
      <c r="D148" s="664" t="s">
        <v>1388</v>
      </c>
      <c r="E148" s="663" t="s">
        <v>1934</v>
      </c>
      <c r="F148" s="664" t="s">
        <v>1935</v>
      </c>
      <c r="G148" s="663" t="s">
        <v>1842</v>
      </c>
      <c r="H148" s="663" t="s">
        <v>1843</v>
      </c>
      <c r="I148" s="665">
        <v>4.62</v>
      </c>
      <c r="J148" s="665">
        <v>50</v>
      </c>
      <c r="K148" s="666">
        <v>231</v>
      </c>
    </row>
    <row r="149" spans="1:11" ht="14.4" customHeight="1" x14ac:dyDescent="0.3">
      <c r="A149" s="661" t="s">
        <v>512</v>
      </c>
      <c r="B149" s="662" t="s">
        <v>1387</v>
      </c>
      <c r="C149" s="663" t="s">
        <v>517</v>
      </c>
      <c r="D149" s="664" t="s">
        <v>1388</v>
      </c>
      <c r="E149" s="663" t="s">
        <v>1934</v>
      </c>
      <c r="F149" s="664" t="s">
        <v>1935</v>
      </c>
      <c r="G149" s="663" t="s">
        <v>1844</v>
      </c>
      <c r="H149" s="663" t="s">
        <v>1845</v>
      </c>
      <c r="I149" s="665">
        <v>1.88</v>
      </c>
      <c r="J149" s="665">
        <v>300</v>
      </c>
      <c r="K149" s="666">
        <v>564</v>
      </c>
    </row>
    <row r="150" spans="1:11" ht="14.4" customHeight="1" x14ac:dyDescent="0.3">
      <c r="A150" s="661" t="s">
        <v>512</v>
      </c>
      <c r="B150" s="662" t="s">
        <v>1387</v>
      </c>
      <c r="C150" s="663" t="s">
        <v>517</v>
      </c>
      <c r="D150" s="664" t="s">
        <v>1388</v>
      </c>
      <c r="E150" s="663" t="s">
        <v>1934</v>
      </c>
      <c r="F150" s="664" t="s">
        <v>1935</v>
      </c>
      <c r="G150" s="663" t="s">
        <v>1846</v>
      </c>
      <c r="H150" s="663" t="s">
        <v>1847</v>
      </c>
      <c r="I150" s="665">
        <v>413.57</v>
      </c>
      <c r="J150" s="665">
        <v>2</v>
      </c>
      <c r="K150" s="666">
        <v>827.15</v>
      </c>
    </row>
    <row r="151" spans="1:11" ht="14.4" customHeight="1" x14ac:dyDescent="0.3">
      <c r="A151" s="661" t="s">
        <v>512</v>
      </c>
      <c r="B151" s="662" t="s">
        <v>1387</v>
      </c>
      <c r="C151" s="663" t="s">
        <v>517</v>
      </c>
      <c r="D151" s="664" t="s">
        <v>1388</v>
      </c>
      <c r="E151" s="663" t="s">
        <v>1934</v>
      </c>
      <c r="F151" s="664" t="s">
        <v>1935</v>
      </c>
      <c r="G151" s="663" t="s">
        <v>1848</v>
      </c>
      <c r="H151" s="663" t="s">
        <v>1849</v>
      </c>
      <c r="I151" s="665">
        <v>1647.29</v>
      </c>
      <c r="J151" s="665">
        <v>5</v>
      </c>
      <c r="K151" s="666">
        <v>8236.4699999999993</v>
      </c>
    </row>
    <row r="152" spans="1:11" ht="14.4" customHeight="1" x14ac:dyDescent="0.3">
      <c r="A152" s="661" t="s">
        <v>512</v>
      </c>
      <c r="B152" s="662" t="s">
        <v>1387</v>
      </c>
      <c r="C152" s="663" t="s">
        <v>517</v>
      </c>
      <c r="D152" s="664" t="s">
        <v>1388</v>
      </c>
      <c r="E152" s="663" t="s">
        <v>1936</v>
      </c>
      <c r="F152" s="664" t="s">
        <v>1937</v>
      </c>
      <c r="G152" s="663" t="s">
        <v>1850</v>
      </c>
      <c r="H152" s="663" t="s">
        <v>1851</v>
      </c>
      <c r="I152" s="665">
        <v>52.87</v>
      </c>
      <c r="J152" s="665">
        <v>1</v>
      </c>
      <c r="K152" s="666">
        <v>52.87</v>
      </c>
    </row>
    <row r="153" spans="1:11" ht="14.4" customHeight="1" x14ac:dyDescent="0.3">
      <c r="A153" s="661" t="s">
        <v>512</v>
      </c>
      <c r="B153" s="662" t="s">
        <v>1387</v>
      </c>
      <c r="C153" s="663" t="s">
        <v>517</v>
      </c>
      <c r="D153" s="664" t="s">
        <v>1388</v>
      </c>
      <c r="E153" s="663" t="s">
        <v>1936</v>
      </c>
      <c r="F153" s="664" t="s">
        <v>1937</v>
      </c>
      <c r="G153" s="663" t="s">
        <v>1852</v>
      </c>
      <c r="H153" s="663" t="s">
        <v>1853</v>
      </c>
      <c r="I153" s="665">
        <v>90.63</v>
      </c>
      <c r="J153" s="665">
        <v>1</v>
      </c>
      <c r="K153" s="666">
        <v>90.63</v>
      </c>
    </row>
    <row r="154" spans="1:11" ht="14.4" customHeight="1" x14ac:dyDescent="0.3">
      <c r="A154" s="661" t="s">
        <v>512</v>
      </c>
      <c r="B154" s="662" t="s">
        <v>1387</v>
      </c>
      <c r="C154" s="663" t="s">
        <v>517</v>
      </c>
      <c r="D154" s="664" t="s">
        <v>1388</v>
      </c>
      <c r="E154" s="663" t="s">
        <v>1938</v>
      </c>
      <c r="F154" s="664" t="s">
        <v>1939</v>
      </c>
      <c r="G154" s="663" t="s">
        <v>1854</v>
      </c>
      <c r="H154" s="663" t="s">
        <v>1855</v>
      </c>
      <c r="I154" s="665">
        <v>319.91000000000003</v>
      </c>
      <c r="J154" s="665">
        <v>100</v>
      </c>
      <c r="K154" s="666">
        <v>31991.27</v>
      </c>
    </row>
    <row r="155" spans="1:11" ht="14.4" customHeight="1" x14ac:dyDescent="0.3">
      <c r="A155" s="661" t="s">
        <v>512</v>
      </c>
      <c r="B155" s="662" t="s">
        <v>1387</v>
      </c>
      <c r="C155" s="663" t="s">
        <v>517</v>
      </c>
      <c r="D155" s="664" t="s">
        <v>1388</v>
      </c>
      <c r="E155" s="663" t="s">
        <v>1938</v>
      </c>
      <c r="F155" s="664" t="s">
        <v>1939</v>
      </c>
      <c r="G155" s="663" t="s">
        <v>1856</v>
      </c>
      <c r="H155" s="663" t="s">
        <v>1857</v>
      </c>
      <c r="I155" s="665">
        <v>568.79</v>
      </c>
      <c r="J155" s="665">
        <v>10</v>
      </c>
      <c r="K155" s="666">
        <v>5687.85</v>
      </c>
    </row>
    <row r="156" spans="1:11" ht="14.4" customHeight="1" x14ac:dyDescent="0.3">
      <c r="A156" s="661" t="s">
        <v>512</v>
      </c>
      <c r="B156" s="662" t="s">
        <v>1387</v>
      </c>
      <c r="C156" s="663" t="s">
        <v>517</v>
      </c>
      <c r="D156" s="664" t="s">
        <v>1388</v>
      </c>
      <c r="E156" s="663" t="s">
        <v>1938</v>
      </c>
      <c r="F156" s="664" t="s">
        <v>1939</v>
      </c>
      <c r="G156" s="663" t="s">
        <v>1858</v>
      </c>
      <c r="H156" s="663" t="s">
        <v>1859</v>
      </c>
      <c r="I156" s="665">
        <v>442.39</v>
      </c>
      <c r="J156" s="665">
        <v>10</v>
      </c>
      <c r="K156" s="666">
        <v>4423.88</v>
      </c>
    </row>
    <row r="157" spans="1:11" ht="14.4" customHeight="1" x14ac:dyDescent="0.3">
      <c r="A157" s="661" t="s">
        <v>512</v>
      </c>
      <c r="B157" s="662" t="s">
        <v>1387</v>
      </c>
      <c r="C157" s="663" t="s">
        <v>517</v>
      </c>
      <c r="D157" s="664" t="s">
        <v>1388</v>
      </c>
      <c r="E157" s="663" t="s">
        <v>1940</v>
      </c>
      <c r="F157" s="664" t="s">
        <v>1941</v>
      </c>
      <c r="G157" s="663" t="s">
        <v>1860</v>
      </c>
      <c r="H157" s="663" t="s">
        <v>1861</v>
      </c>
      <c r="I157" s="665">
        <v>8.17</v>
      </c>
      <c r="J157" s="665">
        <v>3000</v>
      </c>
      <c r="K157" s="666">
        <v>24510</v>
      </c>
    </row>
    <row r="158" spans="1:11" ht="14.4" customHeight="1" x14ac:dyDescent="0.3">
      <c r="A158" s="661" t="s">
        <v>512</v>
      </c>
      <c r="B158" s="662" t="s">
        <v>1387</v>
      </c>
      <c r="C158" s="663" t="s">
        <v>517</v>
      </c>
      <c r="D158" s="664" t="s">
        <v>1388</v>
      </c>
      <c r="E158" s="663" t="s">
        <v>1940</v>
      </c>
      <c r="F158" s="664" t="s">
        <v>1941</v>
      </c>
      <c r="G158" s="663" t="s">
        <v>1862</v>
      </c>
      <c r="H158" s="663" t="s">
        <v>1863</v>
      </c>
      <c r="I158" s="665">
        <v>162.63</v>
      </c>
      <c r="J158" s="665">
        <v>90</v>
      </c>
      <c r="K158" s="666">
        <v>14636.4</v>
      </c>
    </row>
    <row r="159" spans="1:11" ht="14.4" customHeight="1" x14ac:dyDescent="0.3">
      <c r="A159" s="661" t="s">
        <v>512</v>
      </c>
      <c r="B159" s="662" t="s">
        <v>1387</v>
      </c>
      <c r="C159" s="663" t="s">
        <v>517</v>
      </c>
      <c r="D159" s="664" t="s">
        <v>1388</v>
      </c>
      <c r="E159" s="663" t="s">
        <v>1940</v>
      </c>
      <c r="F159" s="664" t="s">
        <v>1941</v>
      </c>
      <c r="G159" s="663" t="s">
        <v>1864</v>
      </c>
      <c r="H159" s="663" t="s">
        <v>1865</v>
      </c>
      <c r="I159" s="665">
        <v>7</v>
      </c>
      <c r="J159" s="665">
        <v>400</v>
      </c>
      <c r="K159" s="666">
        <v>2800</v>
      </c>
    </row>
    <row r="160" spans="1:11" ht="14.4" customHeight="1" x14ac:dyDescent="0.3">
      <c r="A160" s="661" t="s">
        <v>512</v>
      </c>
      <c r="B160" s="662" t="s">
        <v>1387</v>
      </c>
      <c r="C160" s="663" t="s">
        <v>517</v>
      </c>
      <c r="D160" s="664" t="s">
        <v>1388</v>
      </c>
      <c r="E160" s="663" t="s">
        <v>1940</v>
      </c>
      <c r="F160" s="664" t="s">
        <v>1941</v>
      </c>
      <c r="G160" s="663" t="s">
        <v>1866</v>
      </c>
      <c r="H160" s="663" t="s">
        <v>1867</v>
      </c>
      <c r="I160" s="665">
        <v>1374.2</v>
      </c>
      <c r="J160" s="665">
        <v>2</v>
      </c>
      <c r="K160" s="666">
        <v>2748.4</v>
      </c>
    </row>
    <row r="161" spans="1:11" ht="14.4" customHeight="1" x14ac:dyDescent="0.3">
      <c r="A161" s="661" t="s">
        <v>512</v>
      </c>
      <c r="B161" s="662" t="s">
        <v>1387</v>
      </c>
      <c r="C161" s="663" t="s">
        <v>517</v>
      </c>
      <c r="D161" s="664" t="s">
        <v>1388</v>
      </c>
      <c r="E161" s="663" t="s">
        <v>1942</v>
      </c>
      <c r="F161" s="664" t="s">
        <v>1943</v>
      </c>
      <c r="G161" s="663" t="s">
        <v>1868</v>
      </c>
      <c r="H161" s="663" t="s">
        <v>1869</v>
      </c>
      <c r="I161" s="665">
        <v>24.22</v>
      </c>
      <c r="J161" s="665">
        <v>36</v>
      </c>
      <c r="K161" s="666">
        <v>871.93</v>
      </c>
    </row>
    <row r="162" spans="1:11" ht="14.4" customHeight="1" x14ac:dyDescent="0.3">
      <c r="A162" s="661" t="s">
        <v>512</v>
      </c>
      <c r="B162" s="662" t="s">
        <v>1387</v>
      </c>
      <c r="C162" s="663" t="s">
        <v>517</v>
      </c>
      <c r="D162" s="664" t="s">
        <v>1388</v>
      </c>
      <c r="E162" s="663" t="s">
        <v>1942</v>
      </c>
      <c r="F162" s="664" t="s">
        <v>1943</v>
      </c>
      <c r="G162" s="663" t="s">
        <v>1870</v>
      </c>
      <c r="H162" s="663" t="s">
        <v>1871</v>
      </c>
      <c r="I162" s="665">
        <v>33.6</v>
      </c>
      <c r="J162" s="665">
        <v>36</v>
      </c>
      <c r="K162" s="666">
        <v>1209.69</v>
      </c>
    </row>
    <row r="163" spans="1:11" ht="14.4" customHeight="1" x14ac:dyDescent="0.3">
      <c r="A163" s="661" t="s">
        <v>512</v>
      </c>
      <c r="B163" s="662" t="s">
        <v>1387</v>
      </c>
      <c r="C163" s="663" t="s">
        <v>517</v>
      </c>
      <c r="D163" s="664" t="s">
        <v>1388</v>
      </c>
      <c r="E163" s="663" t="s">
        <v>1944</v>
      </c>
      <c r="F163" s="664" t="s">
        <v>1945</v>
      </c>
      <c r="G163" s="663" t="s">
        <v>1872</v>
      </c>
      <c r="H163" s="663" t="s">
        <v>1873</v>
      </c>
      <c r="I163" s="665">
        <v>0.3</v>
      </c>
      <c r="J163" s="665">
        <v>100</v>
      </c>
      <c r="K163" s="666">
        <v>30</v>
      </c>
    </row>
    <row r="164" spans="1:11" ht="14.4" customHeight="1" x14ac:dyDescent="0.3">
      <c r="A164" s="661" t="s">
        <v>512</v>
      </c>
      <c r="B164" s="662" t="s">
        <v>1387</v>
      </c>
      <c r="C164" s="663" t="s">
        <v>517</v>
      </c>
      <c r="D164" s="664" t="s">
        <v>1388</v>
      </c>
      <c r="E164" s="663" t="s">
        <v>1944</v>
      </c>
      <c r="F164" s="664" t="s">
        <v>1945</v>
      </c>
      <c r="G164" s="663" t="s">
        <v>1874</v>
      </c>
      <c r="H164" s="663" t="s">
        <v>1875</v>
      </c>
      <c r="I164" s="665">
        <v>0.3</v>
      </c>
      <c r="J164" s="665">
        <v>100</v>
      </c>
      <c r="K164" s="666">
        <v>30</v>
      </c>
    </row>
    <row r="165" spans="1:11" ht="14.4" customHeight="1" x14ac:dyDescent="0.3">
      <c r="A165" s="661" t="s">
        <v>512</v>
      </c>
      <c r="B165" s="662" t="s">
        <v>1387</v>
      </c>
      <c r="C165" s="663" t="s">
        <v>517</v>
      </c>
      <c r="D165" s="664" t="s">
        <v>1388</v>
      </c>
      <c r="E165" s="663" t="s">
        <v>1944</v>
      </c>
      <c r="F165" s="664" t="s">
        <v>1945</v>
      </c>
      <c r="G165" s="663" t="s">
        <v>1876</v>
      </c>
      <c r="H165" s="663" t="s">
        <v>1877</v>
      </c>
      <c r="I165" s="665">
        <v>0.31</v>
      </c>
      <c r="J165" s="665">
        <v>2000</v>
      </c>
      <c r="K165" s="666">
        <v>620</v>
      </c>
    </row>
    <row r="166" spans="1:11" ht="14.4" customHeight="1" x14ac:dyDescent="0.3">
      <c r="A166" s="661" t="s">
        <v>512</v>
      </c>
      <c r="B166" s="662" t="s">
        <v>1387</v>
      </c>
      <c r="C166" s="663" t="s">
        <v>517</v>
      </c>
      <c r="D166" s="664" t="s">
        <v>1388</v>
      </c>
      <c r="E166" s="663" t="s">
        <v>1944</v>
      </c>
      <c r="F166" s="664" t="s">
        <v>1945</v>
      </c>
      <c r="G166" s="663" t="s">
        <v>1878</v>
      </c>
      <c r="H166" s="663" t="s">
        <v>1879</v>
      </c>
      <c r="I166" s="665">
        <v>0.68</v>
      </c>
      <c r="J166" s="665">
        <v>100</v>
      </c>
      <c r="K166" s="666">
        <v>68</v>
      </c>
    </row>
    <row r="167" spans="1:11" ht="14.4" customHeight="1" x14ac:dyDescent="0.3">
      <c r="A167" s="661" t="s">
        <v>512</v>
      </c>
      <c r="B167" s="662" t="s">
        <v>1387</v>
      </c>
      <c r="C167" s="663" t="s">
        <v>517</v>
      </c>
      <c r="D167" s="664" t="s">
        <v>1388</v>
      </c>
      <c r="E167" s="663" t="s">
        <v>1944</v>
      </c>
      <c r="F167" s="664" t="s">
        <v>1945</v>
      </c>
      <c r="G167" s="663" t="s">
        <v>1880</v>
      </c>
      <c r="H167" s="663" t="s">
        <v>1881</v>
      </c>
      <c r="I167" s="665">
        <v>0.48399999999999999</v>
      </c>
      <c r="J167" s="665">
        <v>8000</v>
      </c>
      <c r="K167" s="666">
        <v>3880</v>
      </c>
    </row>
    <row r="168" spans="1:11" ht="14.4" customHeight="1" x14ac:dyDescent="0.3">
      <c r="A168" s="661" t="s">
        <v>512</v>
      </c>
      <c r="B168" s="662" t="s">
        <v>1387</v>
      </c>
      <c r="C168" s="663" t="s">
        <v>517</v>
      </c>
      <c r="D168" s="664" t="s">
        <v>1388</v>
      </c>
      <c r="E168" s="663" t="s">
        <v>1946</v>
      </c>
      <c r="F168" s="664" t="s">
        <v>1947</v>
      </c>
      <c r="G168" s="663" t="s">
        <v>1882</v>
      </c>
      <c r="H168" s="663" t="s">
        <v>1883</v>
      </c>
      <c r="I168" s="665">
        <v>0.69</v>
      </c>
      <c r="J168" s="665">
        <v>42000</v>
      </c>
      <c r="K168" s="666">
        <v>28980</v>
      </c>
    </row>
    <row r="169" spans="1:11" ht="14.4" customHeight="1" x14ac:dyDescent="0.3">
      <c r="A169" s="661" t="s">
        <v>512</v>
      </c>
      <c r="B169" s="662" t="s">
        <v>1387</v>
      </c>
      <c r="C169" s="663" t="s">
        <v>517</v>
      </c>
      <c r="D169" s="664" t="s">
        <v>1388</v>
      </c>
      <c r="E169" s="663" t="s">
        <v>1946</v>
      </c>
      <c r="F169" s="664" t="s">
        <v>1947</v>
      </c>
      <c r="G169" s="663" t="s">
        <v>1884</v>
      </c>
      <c r="H169" s="663" t="s">
        <v>1885</v>
      </c>
      <c r="I169" s="665">
        <v>0.69</v>
      </c>
      <c r="J169" s="665">
        <v>360</v>
      </c>
      <c r="K169" s="666">
        <v>248.4</v>
      </c>
    </row>
    <row r="170" spans="1:11" ht="14.4" customHeight="1" x14ac:dyDescent="0.3">
      <c r="A170" s="661" t="s">
        <v>512</v>
      </c>
      <c r="B170" s="662" t="s">
        <v>1387</v>
      </c>
      <c r="C170" s="663" t="s">
        <v>517</v>
      </c>
      <c r="D170" s="664" t="s">
        <v>1388</v>
      </c>
      <c r="E170" s="663" t="s">
        <v>1946</v>
      </c>
      <c r="F170" s="664" t="s">
        <v>1947</v>
      </c>
      <c r="G170" s="663" t="s">
        <v>1886</v>
      </c>
      <c r="H170" s="663" t="s">
        <v>1887</v>
      </c>
      <c r="I170" s="665">
        <v>0.69</v>
      </c>
      <c r="J170" s="665">
        <v>2600</v>
      </c>
      <c r="K170" s="666">
        <v>1794</v>
      </c>
    </row>
    <row r="171" spans="1:11" ht="14.4" customHeight="1" x14ac:dyDescent="0.3">
      <c r="A171" s="661" t="s">
        <v>512</v>
      </c>
      <c r="B171" s="662" t="s">
        <v>1387</v>
      </c>
      <c r="C171" s="663" t="s">
        <v>517</v>
      </c>
      <c r="D171" s="664" t="s">
        <v>1388</v>
      </c>
      <c r="E171" s="663" t="s">
        <v>1946</v>
      </c>
      <c r="F171" s="664" t="s">
        <v>1947</v>
      </c>
      <c r="G171" s="663" t="s">
        <v>1888</v>
      </c>
      <c r="H171" s="663" t="s">
        <v>1889</v>
      </c>
      <c r="I171" s="665">
        <v>11.675000000000001</v>
      </c>
      <c r="J171" s="665">
        <v>100</v>
      </c>
      <c r="K171" s="666">
        <v>1167.5</v>
      </c>
    </row>
    <row r="172" spans="1:11" ht="14.4" customHeight="1" x14ac:dyDescent="0.3">
      <c r="A172" s="661" t="s">
        <v>512</v>
      </c>
      <c r="B172" s="662" t="s">
        <v>1387</v>
      </c>
      <c r="C172" s="663" t="s">
        <v>517</v>
      </c>
      <c r="D172" s="664" t="s">
        <v>1388</v>
      </c>
      <c r="E172" s="663" t="s">
        <v>1946</v>
      </c>
      <c r="F172" s="664" t="s">
        <v>1947</v>
      </c>
      <c r="G172" s="663" t="s">
        <v>1890</v>
      </c>
      <c r="H172" s="663" t="s">
        <v>1891</v>
      </c>
      <c r="I172" s="665">
        <v>9.44</v>
      </c>
      <c r="J172" s="665">
        <v>50</v>
      </c>
      <c r="K172" s="666">
        <v>472</v>
      </c>
    </row>
    <row r="173" spans="1:11" ht="14.4" customHeight="1" x14ac:dyDescent="0.3">
      <c r="A173" s="661" t="s">
        <v>512</v>
      </c>
      <c r="B173" s="662" t="s">
        <v>1387</v>
      </c>
      <c r="C173" s="663" t="s">
        <v>517</v>
      </c>
      <c r="D173" s="664" t="s">
        <v>1388</v>
      </c>
      <c r="E173" s="663" t="s">
        <v>1946</v>
      </c>
      <c r="F173" s="664" t="s">
        <v>1947</v>
      </c>
      <c r="G173" s="663" t="s">
        <v>1892</v>
      </c>
      <c r="H173" s="663" t="s">
        <v>1893</v>
      </c>
      <c r="I173" s="665">
        <v>9.44</v>
      </c>
      <c r="J173" s="665">
        <v>50</v>
      </c>
      <c r="K173" s="666">
        <v>472</v>
      </c>
    </row>
    <row r="174" spans="1:11" ht="14.4" customHeight="1" x14ac:dyDescent="0.3">
      <c r="A174" s="661" t="s">
        <v>512</v>
      </c>
      <c r="B174" s="662" t="s">
        <v>1387</v>
      </c>
      <c r="C174" s="663" t="s">
        <v>517</v>
      </c>
      <c r="D174" s="664" t="s">
        <v>1388</v>
      </c>
      <c r="E174" s="663" t="s">
        <v>1946</v>
      </c>
      <c r="F174" s="664" t="s">
        <v>1947</v>
      </c>
      <c r="G174" s="663" t="s">
        <v>1894</v>
      </c>
      <c r="H174" s="663" t="s">
        <v>1895</v>
      </c>
      <c r="I174" s="665">
        <v>20.16</v>
      </c>
      <c r="J174" s="665">
        <v>50</v>
      </c>
      <c r="K174" s="666">
        <v>1007.93</v>
      </c>
    </row>
    <row r="175" spans="1:11" ht="14.4" customHeight="1" x14ac:dyDescent="0.3">
      <c r="A175" s="661" t="s">
        <v>512</v>
      </c>
      <c r="B175" s="662" t="s">
        <v>1387</v>
      </c>
      <c r="C175" s="663" t="s">
        <v>517</v>
      </c>
      <c r="D175" s="664" t="s">
        <v>1388</v>
      </c>
      <c r="E175" s="663" t="s">
        <v>1948</v>
      </c>
      <c r="F175" s="664" t="s">
        <v>1949</v>
      </c>
      <c r="G175" s="663" t="s">
        <v>1896</v>
      </c>
      <c r="H175" s="663" t="s">
        <v>1897</v>
      </c>
      <c r="I175" s="665">
        <v>139.44</v>
      </c>
      <c r="J175" s="665">
        <v>20</v>
      </c>
      <c r="K175" s="666">
        <v>2788.76</v>
      </c>
    </row>
    <row r="176" spans="1:11" ht="14.4" customHeight="1" x14ac:dyDescent="0.3">
      <c r="A176" s="661" t="s">
        <v>512</v>
      </c>
      <c r="B176" s="662" t="s">
        <v>1387</v>
      </c>
      <c r="C176" s="663" t="s">
        <v>517</v>
      </c>
      <c r="D176" s="664" t="s">
        <v>1388</v>
      </c>
      <c r="E176" s="663" t="s">
        <v>1948</v>
      </c>
      <c r="F176" s="664" t="s">
        <v>1949</v>
      </c>
      <c r="G176" s="663" t="s">
        <v>1898</v>
      </c>
      <c r="H176" s="663" t="s">
        <v>1899</v>
      </c>
      <c r="I176" s="665">
        <v>139.44</v>
      </c>
      <c r="J176" s="665">
        <v>20</v>
      </c>
      <c r="K176" s="666">
        <v>2788.76</v>
      </c>
    </row>
    <row r="177" spans="1:11" ht="14.4" customHeight="1" x14ac:dyDescent="0.3">
      <c r="A177" s="661" t="s">
        <v>512</v>
      </c>
      <c r="B177" s="662" t="s">
        <v>1387</v>
      </c>
      <c r="C177" s="663" t="s">
        <v>517</v>
      </c>
      <c r="D177" s="664" t="s">
        <v>1388</v>
      </c>
      <c r="E177" s="663" t="s">
        <v>1948</v>
      </c>
      <c r="F177" s="664" t="s">
        <v>1949</v>
      </c>
      <c r="G177" s="663" t="s">
        <v>1900</v>
      </c>
      <c r="H177" s="663" t="s">
        <v>1901</v>
      </c>
      <c r="I177" s="665">
        <v>152.46</v>
      </c>
      <c r="J177" s="665">
        <v>10</v>
      </c>
      <c r="K177" s="666">
        <v>1524.6</v>
      </c>
    </row>
    <row r="178" spans="1:11" ht="14.4" customHeight="1" x14ac:dyDescent="0.3">
      <c r="A178" s="661" t="s">
        <v>512</v>
      </c>
      <c r="B178" s="662" t="s">
        <v>1387</v>
      </c>
      <c r="C178" s="663" t="s">
        <v>517</v>
      </c>
      <c r="D178" s="664" t="s">
        <v>1388</v>
      </c>
      <c r="E178" s="663" t="s">
        <v>1948</v>
      </c>
      <c r="F178" s="664" t="s">
        <v>1949</v>
      </c>
      <c r="G178" s="663" t="s">
        <v>1902</v>
      </c>
      <c r="H178" s="663" t="s">
        <v>1903</v>
      </c>
      <c r="I178" s="665">
        <v>5445</v>
      </c>
      <c r="J178" s="665">
        <v>1</v>
      </c>
      <c r="K178" s="666">
        <v>5445</v>
      </c>
    </row>
    <row r="179" spans="1:11" ht="14.4" customHeight="1" x14ac:dyDescent="0.3">
      <c r="A179" s="661" t="s">
        <v>512</v>
      </c>
      <c r="B179" s="662" t="s">
        <v>1387</v>
      </c>
      <c r="C179" s="663" t="s">
        <v>517</v>
      </c>
      <c r="D179" s="664" t="s">
        <v>1388</v>
      </c>
      <c r="E179" s="663" t="s">
        <v>1948</v>
      </c>
      <c r="F179" s="664" t="s">
        <v>1949</v>
      </c>
      <c r="G179" s="663" t="s">
        <v>1904</v>
      </c>
      <c r="H179" s="663" t="s">
        <v>1905</v>
      </c>
      <c r="I179" s="665">
        <v>2722.5</v>
      </c>
      <c r="J179" s="665">
        <v>10</v>
      </c>
      <c r="K179" s="666">
        <v>27225</v>
      </c>
    </row>
    <row r="180" spans="1:11" ht="14.4" customHeight="1" x14ac:dyDescent="0.3">
      <c r="A180" s="661" t="s">
        <v>512</v>
      </c>
      <c r="B180" s="662" t="s">
        <v>1387</v>
      </c>
      <c r="C180" s="663" t="s">
        <v>517</v>
      </c>
      <c r="D180" s="664" t="s">
        <v>1388</v>
      </c>
      <c r="E180" s="663" t="s">
        <v>1948</v>
      </c>
      <c r="F180" s="664" t="s">
        <v>1949</v>
      </c>
      <c r="G180" s="663" t="s">
        <v>1906</v>
      </c>
      <c r="H180" s="663" t="s">
        <v>1907</v>
      </c>
      <c r="I180" s="665">
        <v>5445</v>
      </c>
      <c r="J180" s="665">
        <v>1</v>
      </c>
      <c r="K180" s="666">
        <v>5445</v>
      </c>
    </row>
    <row r="181" spans="1:11" ht="14.4" customHeight="1" x14ac:dyDescent="0.3">
      <c r="A181" s="661" t="s">
        <v>512</v>
      </c>
      <c r="B181" s="662" t="s">
        <v>1387</v>
      </c>
      <c r="C181" s="663" t="s">
        <v>517</v>
      </c>
      <c r="D181" s="664" t="s">
        <v>1388</v>
      </c>
      <c r="E181" s="663" t="s">
        <v>1948</v>
      </c>
      <c r="F181" s="664" t="s">
        <v>1949</v>
      </c>
      <c r="G181" s="663" t="s">
        <v>1908</v>
      </c>
      <c r="H181" s="663" t="s">
        <v>1909</v>
      </c>
      <c r="I181" s="665">
        <v>5445</v>
      </c>
      <c r="J181" s="665">
        <v>1</v>
      </c>
      <c r="K181" s="666">
        <v>5445</v>
      </c>
    </row>
    <row r="182" spans="1:11" ht="14.4" customHeight="1" x14ac:dyDescent="0.3">
      <c r="A182" s="661" t="s">
        <v>512</v>
      </c>
      <c r="B182" s="662" t="s">
        <v>1387</v>
      </c>
      <c r="C182" s="663" t="s">
        <v>517</v>
      </c>
      <c r="D182" s="664" t="s">
        <v>1388</v>
      </c>
      <c r="E182" s="663" t="s">
        <v>1948</v>
      </c>
      <c r="F182" s="664" t="s">
        <v>1949</v>
      </c>
      <c r="G182" s="663" t="s">
        <v>1910</v>
      </c>
      <c r="H182" s="663" t="s">
        <v>1911</v>
      </c>
      <c r="I182" s="665">
        <v>2277.85</v>
      </c>
      <c r="J182" s="665">
        <v>1</v>
      </c>
      <c r="K182" s="666">
        <v>2277.85</v>
      </c>
    </row>
    <row r="183" spans="1:11" ht="14.4" customHeight="1" x14ac:dyDescent="0.3">
      <c r="A183" s="661" t="s">
        <v>512</v>
      </c>
      <c r="B183" s="662" t="s">
        <v>1387</v>
      </c>
      <c r="C183" s="663" t="s">
        <v>517</v>
      </c>
      <c r="D183" s="664" t="s">
        <v>1388</v>
      </c>
      <c r="E183" s="663" t="s">
        <v>1948</v>
      </c>
      <c r="F183" s="664" t="s">
        <v>1949</v>
      </c>
      <c r="G183" s="663" t="s">
        <v>1912</v>
      </c>
      <c r="H183" s="663" t="s">
        <v>1913</v>
      </c>
      <c r="I183" s="665">
        <v>3130.75</v>
      </c>
      <c r="J183" s="665">
        <v>1</v>
      </c>
      <c r="K183" s="666">
        <v>3130.75</v>
      </c>
    </row>
    <row r="184" spans="1:11" ht="14.4" customHeight="1" x14ac:dyDescent="0.3">
      <c r="A184" s="661" t="s">
        <v>512</v>
      </c>
      <c r="B184" s="662" t="s">
        <v>1387</v>
      </c>
      <c r="C184" s="663" t="s">
        <v>517</v>
      </c>
      <c r="D184" s="664" t="s">
        <v>1388</v>
      </c>
      <c r="E184" s="663" t="s">
        <v>1948</v>
      </c>
      <c r="F184" s="664" t="s">
        <v>1949</v>
      </c>
      <c r="G184" s="663" t="s">
        <v>1914</v>
      </c>
      <c r="H184" s="663" t="s">
        <v>1915</v>
      </c>
      <c r="I184" s="665">
        <v>213.35</v>
      </c>
      <c r="J184" s="665">
        <v>5</v>
      </c>
      <c r="K184" s="666">
        <v>1066.74</v>
      </c>
    </row>
    <row r="185" spans="1:11" ht="14.4" customHeight="1" x14ac:dyDescent="0.3">
      <c r="A185" s="661" t="s">
        <v>512</v>
      </c>
      <c r="B185" s="662" t="s">
        <v>1387</v>
      </c>
      <c r="C185" s="663" t="s">
        <v>517</v>
      </c>
      <c r="D185" s="664" t="s">
        <v>1388</v>
      </c>
      <c r="E185" s="663" t="s">
        <v>1948</v>
      </c>
      <c r="F185" s="664" t="s">
        <v>1949</v>
      </c>
      <c r="G185" s="663" t="s">
        <v>1916</v>
      </c>
      <c r="H185" s="663" t="s">
        <v>1917</v>
      </c>
      <c r="I185" s="665">
        <v>34606</v>
      </c>
      <c r="J185" s="665">
        <v>1</v>
      </c>
      <c r="K185" s="666">
        <v>34606</v>
      </c>
    </row>
    <row r="186" spans="1:11" ht="14.4" customHeight="1" x14ac:dyDescent="0.3">
      <c r="A186" s="661" t="s">
        <v>512</v>
      </c>
      <c r="B186" s="662" t="s">
        <v>1387</v>
      </c>
      <c r="C186" s="663" t="s">
        <v>517</v>
      </c>
      <c r="D186" s="664" t="s">
        <v>1388</v>
      </c>
      <c r="E186" s="663" t="s">
        <v>1948</v>
      </c>
      <c r="F186" s="664" t="s">
        <v>1949</v>
      </c>
      <c r="G186" s="663" t="s">
        <v>1918</v>
      </c>
      <c r="H186" s="663" t="s">
        <v>1919</v>
      </c>
      <c r="I186" s="665">
        <v>147.18</v>
      </c>
      <c r="J186" s="665">
        <v>30</v>
      </c>
      <c r="K186" s="666">
        <v>4415.46</v>
      </c>
    </row>
    <row r="187" spans="1:11" ht="14.4" customHeight="1" x14ac:dyDescent="0.3">
      <c r="A187" s="661" t="s">
        <v>512</v>
      </c>
      <c r="B187" s="662" t="s">
        <v>1387</v>
      </c>
      <c r="C187" s="663" t="s">
        <v>517</v>
      </c>
      <c r="D187" s="664" t="s">
        <v>1388</v>
      </c>
      <c r="E187" s="663" t="s">
        <v>1948</v>
      </c>
      <c r="F187" s="664" t="s">
        <v>1949</v>
      </c>
      <c r="G187" s="663" t="s">
        <v>1920</v>
      </c>
      <c r="H187" s="663" t="s">
        <v>1921</v>
      </c>
      <c r="I187" s="665">
        <v>147.18</v>
      </c>
      <c r="J187" s="665">
        <v>30</v>
      </c>
      <c r="K187" s="666">
        <v>4415.46</v>
      </c>
    </row>
    <row r="188" spans="1:11" ht="14.4" customHeight="1" x14ac:dyDescent="0.3">
      <c r="A188" s="661" t="s">
        <v>512</v>
      </c>
      <c r="B188" s="662" t="s">
        <v>1387</v>
      </c>
      <c r="C188" s="663" t="s">
        <v>517</v>
      </c>
      <c r="D188" s="664" t="s">
        <v>1388</v>
      </c>
      <c r="E188" s="663" t="s">
        <v>1950</v>
      </c>
      <c r="F188" s="664" t="s">
        <v>1951</v>
      </c>
      <c r="G188" s="663" t="s">
        <v>1922</v>
      </c>
      <c r="H188" s="663" t="s">
        <v>1923</v>
      </c>
      <c r="I188" s="665">
        <v>23.475000000000001</v>
      </c>
      <c r="J188" s="665">
        <v>60</v>
      </c>
      <c r="K188" s="666">
        <v>1408.5</v>
      </c>
    </row>
    <row r="189" spans="1:11" ht="14.4" customHeight="1" x14ac:dyDescent="0.3">
      <c r="A189" s="661" t="s">
        <v>512</v>
      </c>
      <c r="B189" s="662" t="s">
        <v>1387</v>
      </c>
      <c r="C189" s="663" t="s">
        <v>517</v>
      </c>
      <c r="D189" s="664" t="s">
        <v>1388</v>
      </c>
      <c r="E189" s="663" t="s">
        <v>1950</v>
      </c>
      <c r="F189" s="664" t="s">
        <v>1951</v>
      </c>
      <c r="G189" s="663" t="s">
        <v>1924</v>
      </c>
      <c r="H189" s="663" t="s">
        <v>1925</v>
      </c>
      <c r="I189" s="665">
        <v>220.22</v>
      </c>
      <c r="J189" s="665">
        <v>60</v>
      </c>
      <c r="K189" s="666">
        <v>13213.199999999999</v>
      </c>
    </row>
    <row r="190" spans="1:11" ht="14.4" customHeight="1" x14ac:dyDescent="0.3">
      <c r="A190" s="661" t="s">
        <v>512</v>
      </c>
      <c r="B190" s="662" t="s">
        <v>1387</v>
      </c>
      <c r="C190" s="663" t="s">
        <v>517</v>
      </c>
      <c r="D190" s="664" t="s">
        <v>1388</v>
      </c>
      <c r="E190" s="663" t="s">
        <v>1950</v>
      </c>
      <c r="F190" s="664" t="s">
        <v>1951</v>
      </c>
      <c r="G190" s="663" t="s">
        <v>1926</v>
      </c>
      <c r="H190" s="663" t="s">
        <v>1927</v>
      </c>
      <c r="I190" s="665">
        <v>440.44</v>
      </c>
      <c r="J190" s="665">
        <v>30</v>
      </c>
      <c r="K190" s="666">
        <v>13213.199999999999</v>
      </c>
    </row>
    <row r="191" spans="1:11" ht="14.4" customHeight="1" x14ac:dyDescent="0.3">
      <c r="A191" s="661" t="s">
        <v>512</v>
      </c>
      <c r="B191" s="662" t="s">
        <v>1387</v>
      </c>
      <c r="C191" s="663" t="s">
        <v>517</v>
      </c>
      <c r="D191" s="664" t="s">
        <v>1388</v>
      </c>
      <c r="E191" s="663" t="s">
        <v>1950</v>
      </c>
      <c r="F191" s="664" t="s">
        <v>1951</v>
      </c>
      <c r="G191" s="663" t="s">
        <v>1928</v>
      </c>
      <c r="H191" s="663" t="s">
        <v>1929</v>
      </c>
      <c r="I191" s="665">
        <v>50.6</v>
      </c>
      <c r="J191" s="665">
        <v>50</v>
      </c>
      <c r="K191" s="666">
        <v>2530.11</v>
      </c>
    </row>
    <row r="192" spans="1:11" ht="14.4" customHeight="1" thickBot="1" x14ac:dyDescent="0.35">
      <c r="A192" s="667" t="s">
        <v>512</v>
      </c>
      <c r="B192" s="668" t="s">
        <v>1387</v>
      </c>
      <c r="C192" s="669" t="s">
        <v>517</v>
      </c>
      <c r="D192" s="670" t="s">
        <v>1388</v>
      </c>
      <c r="E192" s="669" t="s">
        <v>1950</v>
      </c>
      <c r="F192" s="670" t="s">
        <v>1951</v>
      </c>
      <c r="G192" s="669" t="s">
        <v>1930</v>
      </c>
      <c r="H192" s="669" t="s">
        <v>1931</v>
      </c>
      <c r="I192" s="671">
        <v>19.97</v>
      </c>
      <c r="J192" s="671">
        <v>50</v>
      </c>
      <c r="K192" s="672">
        <v>998.5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5" width="13.109375" customWidth="1"/>
    <col min="6" max="6" width="13.109375" hidden="1" customWidth="1"/>
    <col min="7" max="8" width="13.109375" customWidth="1"/>
    <col min="9" max="12" width="13.109375" hidden="1" customWidth="1"/>
    <col min="13" max="15" width="13.109375" customWidth="1"/>
    <col min="16" max="38" width="13.109375" hidden="1" customWidth="1"/>
    <col min="39" max="39" width="13.109375" customWidth="1"/>
    <col min="40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543" t="s">
        <v>117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0"/>
      <c r="AO1" s="520"/>
      <c r="AP1" s="520"/>
      <c r="AQ1" s="520"/>
      <c r="AR1" s="520"/>
      <c r="AS1" s="520"/>
    </row>
    <row r="2" spans="1:46" ht="15" thickBot="1" x14ac:dyDescent="0.35">
      <c r="A2" s="351" t="s">
        <v>322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</row>
    <row r="3" spans="1:46" x14ac:dyDescent="0.3">
      <c r="A3" s="370" t="s">
        <v>220</v>
      </c>
      <c r="B3" s="544" t="s">
        <v>199</v>
      </c>
      <c r="C3" s="353">
        <v>0</v>
      </c>
      <c r="D3" s="354">
        <v>25</v>
      </c>
      <c r="E3" s="354">
        <v>30</v>
      </c>
      <c r="F3" s="354">
        <v>99</v>
      </c>
      <c r="G3" s="373">
        <v>100</v>
      </c>
      <c r="H3" s="373">
        <v>101</v>
      </c>
      <c r="I3" s="373">
        <v>102</v>
      </c>
      <c r="J3" s="373">
        <v>103</v>
      </c>
      <c r="K3" s="373">
        <v>203</v>
      </c>
      <c r="L3" s="473">
        <v>302</v>
      </c>
      <c r="M3" s="373">
        <v>303</v>
      </c>
      <c r="N3" s="373">
        <v>304</v>
      </c>
      <c r="O3" s="373">
        <v>305</v>
      </c>
      <c r="P3" s="373">
        <v>306</v>
      </c>
      <c r="Q3" s="373">
        <v>407</v>
      </c>
      <c r="R3" s="373">
        <v>408</v>
      </c>
      <c r="S3" s="373">
        <v>409</v>
      </c>
      <c r="T3" s="373">
        <v>410</v>
      </c>
      <c r="U3" s="373">
        <v>415</v>
      </c>
      <c r="V3" s="373">
        <v>416</v>
      </c>
      <c r="W3" s="373">
        <v>418</v>
      </c>
      <c r="X3" s="373">
        <v>419</v>
      </c>
      <c r="Y3" s="373">
        <v>420</v>
      </c>
      <c r="Z3" s="373">
        <v>421</v>
      </c>
      <c r="AA3" s="373">
        <v>422</v>
      </c>
      <c r="AB3" s="373">
        <v>520</v>
      </c>
      <c r="AC3" s="373">
        <v>521</v>
      </c>
      <c r="AD3" s="373">
        <v>522</v>
      </c>
      <c r="AE3" s="373">
        <v>523</v>
      </c>
      <c r="AF3" s="373">
        <v>524</v>
      </c>
      <c r="AG3" s="373">
        <v>525</v>
      </c>
      <c r="AH3" s="373">
        <v>526</v>
      </c>
      <c r="AI3" s="354">
        <v>527</v>
      </c>
      <c r="AJ3" s="354">
        <v>528</v>
      </c>
      <c r="AK3" s="354">
        <v>629</v>
      </c>
      <c r="AL3" s="354">
        <v>630</v>
      </c>
      <c r="AM3" s="354">
        <v>636</v>
      </c>
      <c r="AN3" s="354">
        <v>637</v>
      </c>
      <c r="AO3" s="354">
        <v>640</v>
      </c>
      <c r="AP3" s="354">
        <v>642</v>
      </c>
      <c r="AQ3" s="354">
        <v>743</v>
      </c>
      <c r="AR3" s="354">
        <v>745</v>
      </c>
      <c r="AS3" s="725">
        <v>746</v>
      </c>
      <c r="AT3" s="740"/>
    </row>
    <row r="4" spans="1:46" ht="36.6" outlineLevel="1" thickBot="1" x14ac:dyDescent="0.35">
      <c r="A4" s="371">
        <v>2017</v>
      </c>
      <c r="B4" s="545"/>
      <c r="C4" s="355" t="s">
        <v>200</v>
      </c>
      <c r="D4" s="356" t="s">
        <v>204</v>
      </c>
      <c r="E4" s="356" t="s">
        <v>222</v>
      </c>
      <c r="F4" s="356" t="s">
        <v>201</v>
      </c>
      <c r="G4" s="374" t="s">
        <v>268</v>
      </c>
      <c r="H4" s="374" t="s">
        <v>269</v>
      </c>
      <c r="I4" s="374" t="s">
        <v>202</v>
      </c>
      <c r="J4" s="374" t="s">
        <v>270</v>
      </c>
      <c r="K4" s="374" t="s">
        <v>203</v>
      </c>
      <c r="L4" s="474" t="s">
        <v>271</v>
      </c>
      <c r="M4" s="374" t="s">
        <v>272</v>
      </c>
      <c r="N4" s="374" t="s">
        <v>273</v>
      </c>
      <c r="O4" s="374" t="s">
        <v>274</v>
      </c>
      <c r="P4" s="374" t="s">
        <v>228</v>
      </c>
      <c r="Q4" s="374" t="s">
        <v>267</v>
      </c>
      <c r="R4" s="374" t="s">
        <v>229</v>
      </c>
      <c r="S4" s="374" t="s">
        <v>230</v>
      </c>
      <c r="T4" s="374" t="s">
        <v>231</v>
      </c>
      <c r="U4" s="374" t="s">
        <v>232</v>
      </c>
      <c r="V4" s="374" t="s">
        <v>233</v>
      </c>
      <c r="W4" s="374" t="s">
        <v>234</v>
      </c>
      <c r="X4" s="374" t="s">
        <v>235</v>
      </c>
      <c r="Y4" s="374" t="s">
        <v>236</v>
      </c>
      <c r="Z4" s="374" t="s">
        <v>237</v>
      </c>
      <c r="AA4" s="374" t="s">
        <v>314</v>
      </c>
      <c r="AB4" s="374" t="s">
        <v>275</v>
      </c>
      <c r="AC4" s="374" t="s">
        <v>276</v>
      </c>
      <c r="AD4" s="374" t="s">
        <v>277</v>
      </c>
      <c r="AE4" s="374" t="s">
        <v>238</v>
      </c>
      <c r="AF4" s="374" t="s">
        <v>239</v>
      </c>
      <c r="AG4" s="374" t="s">
        <v>240</v>
      </c>
      <c r="AH4" s="374" t="s">
        <v>241</v>
      </c>
      <c r="AI4" s="356" t="s">
        <v>242</v>
      </c>
      <c r="AJ4" s="356" t="s">
        <v>251</v>
      </c>
      <c r="AK4" s="356" t="s">
        <v>243</v>
      </c>
      <c r="AL4" s="356" t="s">
        <v>252</v>
      </c>
      <c r="AM4" s="356" t="s">
        <v>244</v>
      </c>
      <c r="AN4" s="441" t="s">
        <v>245</v>
      </c>
      <c r="AO4" s="356" t="s">
        <v>246</v>
      </c>
      <c r="AP4" s="356" t="s">
        <v>247</v>
      </c>
      <c r="AQ4" s="356" t="s">
        <v>248</v>
      </c>
      <c r="AR4" s="356" t="s">
        <v>249</v>
      </c>
      <c r="AS4" s="726" t="s">
        <v>250</v>
      </c>
      <c r="AT4" s="740"/>
    </row>
    <row r="5" spans="1:46" x14ac:dyDescent="0.3">
      <c r="A5" s="357" t="s">
        <v>205</v>
      </c>
      <c r="B5" s="395"/>
      <c r="C5" s="396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442"/>
      <c r="AO5" s="397"/>
      <c r="AP5" s="397"/>
      <c r="AQ5" s="397"/>
      <c r="AR5" s="397"/>
      <c r="AS5" s="727"/>
      <c r="AT5" s="740"/>
    </row>
    <row r="6" spans="1:46" ht="15" collapsed="1" thickBot="1" x14ac:dyDescent="0.35">
      <c r="A6" s="358" t="s">
        <v>81</v>
      </c>
      <c r="B6" s="398">
        <f xml:space="preserve">
TRUNC(IF($A$4&lt;=12,SUMIFS('ON Data'!F:F,'ON Data'!$D:$D,$A$4,'ON Data'!$E:$E,1),SUMIFS('ON Data'!F:F,'ON Data'!$E:$E,1)/'ON Data'!$D$3),1)</f>
        <v>60.1</v>
      </c>
      <c r="C6" s="399">
        <f xml:space="preserve">
TRUNC(IF($A$4&lt;=12,SUMIFS('ON Data'!G:G,'ON Data'!$D:$D,$A$4,'ON Data'!$E:$E,1),SUMIFS('ON Data'!G:G,'ON Data'!$E:$E,1)/'ON Data'!$D$3),1)</f>
        <v>0</v>
      </c>
      <c r="D6" s="400">
        <f xml:space="preserve">
TRUNC(IF($A$4&lt;=12,SUMIFS('ON Data'!H:H,'ON Data'!$D:$D,$A$4,'ON Data'!$E:$E,1),SUMIFS('ON Data'!H:H,'ON Data'!$E:$E,1)/'ON Data'!$D$3),1)</f>
        <v>0</v>
      </c>
      <c r="E6" s="400">
        <f xml:space="preserve">
TRUNC(IF($A$4&lt;=12,SUMIFS('ON Data'!I:I,'ON Data'!$D:$D,$A$4,'ON Data'!$E:$E,1),SUMIFS('ON Data'!I:I,'ON Data'!$E:$E,1)/'ON Data'!$D$3),1)</f>
        <v>1</v>
      </c>
      <c r="F6" s="400">
        <f xml:space="preserve">
TRUNC(IF($A$4&lt;=12,SUMIFS('ON Data'!J:J,'ON Data'!$D:$D,$A$4,'ON Data'!$E:$E,1),SUMIFS('ON Data'!J:J,'ON Data'!$E:$E,1)/'ON Data'!$D$3),1)</f>
        <v>0</v>
      </c>
      <c r="G6" s="400">
        <f xml:space="preserve">
TRUNC(IF($A$4&lt;=12,SUMIFS('ON Data'!K:K,'ON Data'!$D:$D,$A$4,'ON Data'!$E:$E,1),SUMIFS('ON Data'!K:K,'ON Data'!$E:$E,1)/'ON Data'!$D$3),1)</f>
        <v>1</v>
      </c>
      <c r="H6" s="400">
        <f xml:space="preserve">
TRUNC(IF($A$4&lt;=12,SUMIFS('ON Data'!L:L,'ON Data'!$D:$D,$A$4,'ON Data'!$E:$E,1),SUMIFS('ON Data'!L:L,'ON Data'!$E:$E,1)/'ON Data'!$D$3),1)</f>
        <v>7.4</v>
      </c>
      <c r="I6" s="400">
        <f xml:space="preserve">
TRUNC(IF($A$4&lt;=12,SUMIFS('ON Data'!M:M,'ON Data'!$D:$D,$A$4,'ON Data'!$E:$E,1),SUMIFS('ON Data'!M:M,'ON Data'!$E:$E,1)/'ON Data'!$D$3),1)</f>
        <v>0</v>
      </c>
      <c r="J6" s="400">
        <f xml:space="preserve">
TRUNC(IF($A$4&lt;=12,SUMIFS('ON Data'!N:N,'ON Data'!$D:$D,$A$4,'ON Data'!$E:$E,1),SUMIFS('ON Data'!N:N,'ON Data'!$E:$E,1)/'ON Data'!$D$3),1)</f>
        <v>0</v>
      </c>
      <c r="K6" s="400">
        <f xml:space="preserve">
TRUNC(IF($A$4&lt;=12,SUMIFS('ON Data'!O:O,'ON Data'!$D:$D,$A$4,'ON Data'!$E:$E,1),SUMIFS('ON Data'!O:O,'ON Data'!$E:$E,1)/'ON Data'!$D$3),1)</f>
        <v>0</v>
      </c>
      <c r="L6" s="400">
        <f xml:space="preserve">
TRUNC(IF($A$4&lt;=12,SUMIFS('ON Data'!P:P,'ON Data'!$D:$D,$A$4,'ON Data'!$E:$E,1),SUMIFS('ON Data'!P:P,'ON Data'!$E:$E,1)/'ON Data'!$D$3),1)</f>
        <v>0</v>
      </c>
      <c r="M6" s="400">
        <f xml:space="preserve">
TRUNC(IF($A$4&lt;=12,SUMIFS('ON Data'!Q:Q,'ON Data'!$D:$D,$A$4,'ON Data'!$E:$E,1),SUMIFS('ON Data'!Q:Q,'ON Data'!$E:$E,1)/'ON Data'!$D$3),1)</f>
        <v>18.5</v>
      </c>
      <c r="N6" s="400">
        <f xml:space="preserve">
TRUNC(IF($A$4&lt;=12,SUMIFS('ON Data'!R:R,'ON Data'!$D:$D,$A$4,'ON Data'!$E:$E,1),SUMIFS('ON Data'!R:R,'ON Data'!$E:$E,1)/'ON Data'!$D$3),1)</f>
        <v>18.5</v>
      </c>
      <c r="O6" s="400">
        <f xml:space="preserve">
TRUNC(IF($A$4&lt;=12,SUMIFS('ON Data'!S:S,'ON Data'!$D:$D,$A$4,'ON Data'!$E:$E,1),SUMIFS('ON Data'!S:S,'ON Data'!$E:$E,1)/'ON Data'!$D$3),1)</f>
        <v>7.7</v>
      </c>
      <c r="P6" s="400">
        <f xml:space="preserve">
TRUNC(IF($A$4&lt;=12,SUMIFS('ON Data'!T:T,'ON Data'!$D:$D,$A$4,'ON Data'!$E:$E,1),SUMIFS('ON Data'!T:T,'ON Data'!$E:$E,1)/'ON Data'!$D$3),1)</f>
        <v>0</v>
      </c>
      <c r="Q6" s="400">
        <f xml:space="preserve">
TRUNC(IF($A$4&lt;=12,SUMIFS('ON Data'!U:U,'ON Data'!$D:$D,$A$4,'ON Data'!$E:$E,1),SUMIFS('ON Data'!U:U,'ON Data'!$E:$E,1)/'ON Data'!$D$3),1)</f>
        <v>0</v>
      </c>
      <c r="R6" s="400">
        <f xml:space="preserve">
TRUNC(IF($A$4&lt;=12,SUMIFS('ON Data'!V:V,'ON Data'!$D:$D,$A$4,'ON Data'!$E:$E,1),SUMIFS('ON Data'!V:V,'ON Data'!$E:$E,1)/'ON Data'!$D$3),1)</f>
        <v>0</v>
      </c>
      <c r="S6" s="400">
        <f xml:space="preserve">
TRUNC(IF($A$4&lt;=12,SUMIFS('ON Data'!W:W,'ON Data'!$D:$D,$A$4,'ON Data'!$E:$E,1),SUMIFS('ON Data'!W:W,'ON Data'!$E:$E,1)/'ON Data'!$D$3),1)</f>
        <v>0</v>
      </c>
      <c r="T6" s="400">
        <f xml:space="preserve">
TRUNC(IF($A$4&lt;=12,SUMIFS('ON Data'!X:X,'ON Data'!$D:$D,$A$4,'ON Data'!$E:$E,1),SUMIFS('ON Data'!X:X,'ON Data'!$E:$E,1)/'ON Data'!$D$3),1)</f>
        <v>0</v>
      </c>
      <c r="U6" s="400">
        <f xml:space="preserve">
TRUNC(IF($A$4&lt;=12,SUMIFS('ON Data'!Y:Y,'ON Data'!$D:$D,$A$4,'ON Data'!$E:$E,1),SUMIFS('ON Data'!Y:Y,'ON Data'!$E:$E,1)/'ON Data'!$D$3),1)</f>
        <v>0</v>
      </c>
      <c r="V6" s="400">
        <f xml:space="preserve">
TRUNC(IF($A$4&lt;=12,SUMIFS('ON Data'!Z:Z,'ON Data'!$D:$D,$A$4,'ON Data'!$E:$E,1),SUMIFS('ON Data'!Z:Z,'ON Data'!$E:$E,1)/'ON Data'!$D$3),1)</f>
        <v>0</v>
      </c>
      <c r="W6" s="400">
        <f xml:space="preserve">
TRUNC(IF($A$4&lt;=12,SUMIFS('ON Data'!AA:AA,'ON Data'!$D:$D,$A$4,'ON Data'!$E:$E,1),SUMIFS('ON Data'!AA:AA,'ON Data'!$E:$E,1)/'ON Data'!$D$3),1)</f>
        <v>0</v>
      </c>
      <c r="X6" s="400">
        <f xml:space="preserve">
TRUNC(IF($A$4&lt;=12,SUMIFS('ON Data'!AB:AB,'ON Data'!$D:$D,$A$4,'ON Data'!$E:$E,1),SUMIFS('ON Data'!AB:AB,'ON Data'!$E:$E,1)/'ON Data'!$D$3),1)</f>
        <v>0</v>
      </c>
      <c r="Y6" s="400">
        <f xml:space="preserve">
TRUNC(IF($A$4&lt;=12,SUMIFS('ON Data'!AC:AC,'ON Data'!$D:$D,$A$4,'ON Data'!$E:$E,1),SUMIFS('ON Data'!AC:AC,'ON Data'!$E:$E,1)/'ON Data'!$D$3),1)</f>
        <v>0</v>
      </c>
      <c r="Z6" s="400">
        <f xml:space="preserve">
TRUNC(IF($A$4&lt;=12,SUMIFS('ON Data'!AD:AD,'ON Data'!$D:$D,$A$4,'ON Data'!$E:$E,1),SUMIFS('ON Data'!AD:AD,'ON Data'!$E:$E,1)/'ON Data'!$D$3),1)</f>
        <v>0</v>
      </c>
      <c r="AA6" s="400">
        <f xml:space="preserve">
TRUNC(IF($A$4&lt;=12,SUMIFS('ON Data'!AE:AE,'ON Data'!$D:$D,$A$4,'ON Data'!$E:$E,1),SUMIFS('ON Data'!AE:AE,'ON Data'!$E:$E,1)/'ON Data'!$D$3),1)</f>
        <v>0</v>
      </c>
      <c r="AB6" s="400">
        <f xml:space="preserve">
TRUNC(IF($A$4&lt;=12,SUMIFS('ON Data'!AF:AF,'ON Data'!$D:$D,$A$4,'ON Data'!$E:$E,1),SUMIFS('ON Data'!AF:AF,'ON Data'!$E:$E,1)/'ON Data'!$D$3),1)</f>
        <v>0</v>
      </c>
      <c r="AC6" s="400">
        <f xml:space="preserve">
TRUNC(IF($A$4&lt;=12,SUMIFS('ON Data'!AG:AG,'ON Data'!$D:$D,$A$4,'ON Data'!$E:$E,1),SUMIFS('ON Data'!AG:AG,'ON Data'!$E:$E,1)/'ON Data'!$D$3),1)</f>
        <v>0</v>
      </c>
      <c r="AD6" s="400">
        <f xml:space="preserve">
TRUNC(IF($A$4&lt;=12,SUMIFS('ON Data'!AH:AH,'ON Data'!$D:$D,$A$4,'ON Data'!$E:$E,1),SUMIFS('ON Data'!AH:AH,'ON Data'!$E:$E,1)/'ON Data'!$D$3),1)</f>
        <v>0</v>
      </c>
      <c r="AE6" s="400">
        <f xml:space="preserve">
TRUNC(IF($A$4&lt;=12,SUMIFS('ON Data'!AI:AI,'ON Data'!$D:$D,$A$4,'ON Data'!$E:$E,1),SUMIFS('ON Data'!AI:AI,'ON Data'!$E:$E,1)/'ON Data'!$D$3),1)</f>
        <v>0</v>
      </c>
      <c r="AF6" s="400">
        <f xml:space="preserve">
TRUNC(IF($A$4&lt;=12,SUMIFS('ON Data'!AJ:AJ,'ON Data'!$D:$D,$A$4,'ON Data'!$E:$E,1),SUMIFS('ON Data'!AJ:AJ,'ON Data'!$E:$E,1)/'ON Data'!$D$3),1)</f>
        <v>0</v>
      </c>
      <c r="AG6" s="400">
        <f xml:space="preserve">
TRUNC(IF($A$4&lt;=12,SUMIFS('ON Data'!AK:AK,'ON Data'!$D:$D,$A$4,'ON Data'!$E:$E,1),SUMIFS('ON Data'!AK:AK,'ON Data'!$E:$E,1)/'ON Data'!$D$3),1)</f>
        <v>0</v>
      </c>
      <c r="AH6" s="400">
        <f xml:space="preserve">
TRUNC(IF($A$4&lt;=12,SUMIFS('ON Data'!AL:AL,'ON Data'!$D:$D,$A$4,'ON Data'!$E:$E,1),SUMIFS('ON Data'!AL:AL,'ON Data'!$E:$E,1)/'ON Data'!$D$3),1)</f>
        <v>0</v>
      </c>
      <c r="AI6" s="400">
        <f xml:space="preserve">
TRUNC(IF($A$4&lt;=12,SUMIFS('ON Data'!AM:AM,'ON Data'!$D:$D,$A$4,'ON Data'!$E:$E,1),SUMIFS('ON Data'!AM:AM,'ON Data'!$E:$E,1)/'ON Data'!$D$3),1)</f>
        <v>0</v>
      </c>
      <c r="AJ6" s="400">
        <f xml:space="preserve">
TRUNC(IF($A$4&lt;=12,SUMIFS('ON Data'!AN:AN,'ON Data'!$D:$D,$A$4,'ON Data'!$E:$E,1),SUMIFS('ON Data'!AN:AN,'ON Data'!$E:$E,1)/'ON Data'!$D$3),1)</f>
        <v>0</v>
      </c>
      <c r="AK6" s="400">
        <f xml:space="preserve">
TRUNC(IF($A$4&lt;=12,SUMIFS('ON Data'!AO:AO,'ON Data'!$D:$D,$A$4,'ON Data'!$E:$E,1),SUMIFS('ON Data'!AO:AO,'ON Data'!$E:$E,1)/'ON Data'!$D$3),1)</f>
        <v>0</v>
      </c>
      <c r="AL6" s="400">
        <f xml:space="preserve">
TRUNC(IF($A$4&lt;=12,SUMIFS('ON Data'!AP:AP,'ON Data'!$D:$D,$A$4,'ON Data'!$E:$E,1),SUMIFS('ON Data'!AP:AP,'ON Data'!$E:$E,1)/'ON Data'!$D$3),1)</f>
        <v>0</v>
      </c>
      <c r="AM6" s="400">
        <f xml:space="preserve">
TRUNC(IF($A$4&lt;=12,SUMIFS('ON Data'!AQ:AQ,'ON Data'!$D:$D,$A$4,'ON Data'!$E:$E,1),SUMIFS('ON Data'!AQ:AQ,'ON Data'!$E:$E,1)/'ON Data'!$D$3),1)</f>
        <v>3</v>
      </c>
      <c r="AN6" s="400">
        <f xml:space="preserve">
TRUNC(IF($A$4&lt;=12,SUMIFS('ON Data'!AR:AR,'ON Data'!$D:$D,$A$4,'ON Data'!$E:$E,1),SUMIFS('ON Data'!AR:AR,'ON Data'!$E:$E,1)/'ON Data'!$D$3),1)</f>
        <v>0</v>
      </c>
      <c r="AO6" s="400">
        <f xml:space="preserve">
TRUNC(IF($A$4&lt;=12,SUMIFS('ON Data'!AS:AS,'ON Data'!$D:$D,$A$4,'ON Data'!$E:$E,1),SUMIFS('ON Data'!AS:AS,'ON Data'!$E:$E,1)/'ON Data'!$D$3),1)</f>
        <v>0</v>
      </c>
      <c r="AP6" s="400">
        <f xml:space="preserve">
TRUNC(IF($A$4&lt;=12,SUMIFS('ON Data'!AT:AT,'ON Data'!$D:$D,$A$4,'ON Data'!$E:$E,1),SUMIFS('ON Data'!AT:AT,'ON Data'!$E:$E,1)/'ON Data'!$D$3),1)</f>
        <v>3</v>
      </c>
      <c r="AQ6" s="400">
        <f xml:space="preserve">
TRUNC(IF($A$4&lt;=12,SUMIFS('ON Data'!AU:AU,'ON Data'!$D:$D,$A$4,'ON Data'!$E:$E,1),SUMIFS('ON Data'!AU:AU,'ON Data'!$E:$E,1)/'ON Data'!$D$3),1)</f>
        <v>0</v>
      </c>
      <c r="AR6" s="400">
        <f xml:space="preserve">
TRUNC(IF($A$4&lt;=12,SUMIFS('ON Data'!AV:AV,'ON Data'!$D:$D,$A$4,'ON Data'!$E:$E,1),SUMIFS('ON Data'!AV:AV,'ON Data'!$E:$E,1)/'ON Data'!$D$3),1)</f>
        <v>0</v>
      </c>
      <c r="AS6" s="728">
        <f xml:space="preserve">
TRUNC(IF($A$4&lt;=12,SUMIFS('ON Data'!AW:AW,'ON Data'!$D:$D,$A$4,'ON Data'!$E:$E,1),SUMIFS('ON Data'!AW:AW,'ON Data'!$E:$E,1)/'ON Data'!$D$3),1)</f>
        <v>0</v>
      </c>
      <c r="AT6" s="740"/>
    </row>
    <row r="7" spans="1:46" ht="15" hidden="1" outlineLevel="1" thickBot="1" x14ac:dyDescent="0.35">
      <c r="A7" s="358" t="s">
        <v>118</v>
      </c>
      <c r="B7" s="398"/>
      <c r="C7" s="401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1"/>
      <c r="AO7" s="400"/>
      <c r="AP7" s="400"/>
      <c r="AQ7" s="400"/>
      <c r="AR7" s="400"/>
      <c r="AS7" s="728"/>
      <c r="AT7" s="740"/>
    </row>
    <row r="8" spans="1:46" ht="15" hidden="1" outlineLevel="1" thickBot="1" x14ac:dyDescent="0.35">
      <c r="A8" s="358" t="s">
        <v>83</v>
      </c>
      <c r="B8" s="398"/>
      <c r="C8" s="401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N8" s="401"/>
      <c r="AO8" s="400"/>
      <c r="AP8" s="400"/>
      <c r="AQ8" s="400"/>
      <c r="AR8" s="400"/>
      <c r="AS8" s="728"/>
      <c r="AT8" s="740"/>
    </row>
    <row r="9" spans="1:46" ht="15" hidden="1" outlineLevel="1" thickBot="1" x14ac:dyDescent="0.35">
      <c r="A9" s="359" t="s">
        <v>56</v>
      </c>
      <c r="B9" s="402"/>
      <c r="C9" s="403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404"/>
      <c r="AM9" s="404"/>
      <c r="AN9" s="403"/>
      <c r="AO9" s="404"/>
      <c r="AP9" s="404"/>
      <c r="AQ9" s="404"/>
      <c r="AR9" s="404"/>
      <c r="AS9" s="729"/>
      <c r="AT9" s="740"/>
    </row>
    <row r="10" spans="1:46" x14ac:dyDescent="0.3">
      <c r="A10" s="360" t="s">
        <v>206</v>
      </c>
      <c r="B10" s="375"/>
      <c r="C10" s="376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77"/>
      <c r="AM10" s="377"/>
      <c r="AN10" s="443"/>
      <c r="AO10" s="377"/>
      <c r="AP10" s="377"/>
      <c r="AQ10" s="377"/>
      <c r="AR10" s="377"/>
      <c r="AS10" s="730"/>
      <c r="AT10" s="740"/>
    </row>
    <row r="11" spans="1:46" x14ac:dyDescent="0.3">
      <c r="A11" s="361" t="s">
        <v>207</v>
      </c>
      <c r="B11" s="378">
        <f xml:space="preserve">
IF($A$4&lt;=12,SUMIFS('ON Data'!F:F,'ON Data'!$D:$D,$A$4,'ON Data'!$E:$E,2),SUMIFS('ON Data'!F:F,'ON Data'!$E:$E,2))</f>
        <v>17302.22</v>
      </c>
      <c r="C11" s="379">
        <f xml:space="preserve">
IF($A$4&lt;=12,SUMIFS('ON Data'!G:G,'ON Data'!$D:$D,$A$4,'ON Data'!$E:$E,2),SUMIFS('ON Data'!G:G,'ON Data'!$E:$E,2))</f>
        <v>0</v>
      </c>
      <c r="D11" s="380">
        <f xml:space="preserve">
IF($A$4&lt;=12,SUMIFS('ON Data'!H:H,'ON Data'!$D:$D,$A$4,'ON Data'!$E:$E,2),SUMIFS('ON Data'!H:H,'ON Data'!$E:$E,2))</f>
        <v>0</v>
      </c>
      <c r="E11" s="380"/>
      <c r="F11" s="380">
        <f xml:space="preserve">
IF($A$4&lt;=12,SUMIFS('ON Data'!J:J,'ON Data'!$D:$D,$A$4,'ON Data'!$E:$E,2),SUMIFS('ON Data'!J:J,'ON Data'!$E:$E,2))</f>
        <v>0</v>
      </c>
      <c r="G11" s="380">
        <f xml:space="preserve">
IF($A$4&lt;=12,SUMIFS('ON Data'!K:K,'ON Data'!$D:$D,$A$4,'ON Data'!$E:$E,2),SUMIFS('ON Data'!K:K,'ON Data'!$E:$E,2))</f>
        <v>297</v>
      </c>
      <c r="H11" s="380">
        <f xml:space="preserve">
IF($A$4&lt;=12,SUMIFS('ON Data'!L:L,'ON Data'!$D:$D,$A$4,'ON Data'!$E:$E,2),SUMIFS('ON Data'!L:L,'ON Data'!$E:$E,2))</f>
        <v>2226.29</v>
      </c>
      <c r="I11" s="380">
        <f xml:space="preserve">
IF($A$4&lt;=12,SUMIFS('ON Data'!M:M,'ON Data'!$D:$D,$A$4,'ON Data'!$E:$E,2),SUMIFS('ON Data'!M:M,'ON Data'!$E:$E,2))</f>
        <v>0</v>
      </c>
      <c r="J11" s="380">
        <f xml:space="preserve">
IF($A$4&lt;=12,SUMIFS('ON Data'!N:N,'ON Data'!$D:$D,$A$4,'ON Data'!$E:$E,2),SUMIFS('ON Data'!N:N,'ON Data'!$E:$E,2))</f>
        <v>0</v>
      </c>
      <c r="K11" s="380">
        <f xml:space="preserve">
IF($A$4&lt;=12,SUMIFS('ON Data'!O:O,'ON Data'!$D:$D,$A$4,'ON Data'!$E:$E,2),SUMIFS('ON Data'!O:O,'ON Data'!$E:$E,2))</f>
        <v>0</v>
      </c>
      <c r="L11" s="380">
        <f xml:space="preserve">
IF($A$4&lt;=12,SUMIFS('ON Data'!P:P,'ON Data'!$D:$D,$A$4,'ON Data'!$E:$E,2),SUMIFS('ON Data'!P:P,'ON Data'!$E:$E,2))</f>
        <v>0</v>
      </c>
      <c r="M11" s="380">
        <f xml:space="preserve">
IF($A$4&lt;=12,SUMIFS('ON Data'!Q:Q,'ON Data'!$D:$D,$A$4,'ON Data'!$E:$E,2),SUMIFS('ON Data'!Q:Q,'ON Data'!$E:$E,2))</f>
        <v>5385</v>
      </c>
      <c r="N11" s="380">
        <f xml:space="preserve">
IF($A$4&lt;=12,SUMIFS('ON Data'!R:R,'ON Data'!$D:$D,$A$4,'ON Data'!$E:$E,2),SUMIFS('ON Data'!R:R,'ON Data'!$E:$E,2))</f>
        <v>5069.6399999999994</v>
      </c>
      <c r="O11" s="380">
        <f xml:space="preserve">
IF($A$4&lt;=12,SUMIFS('ON Data'!S:S,'ON Data'!$D:$D,$A$4,'ON Data'!$E:$E,2),SUMIFS('ON Data'!S:S,'ON Data'!$E:$E,2))</f>
        <v>2240.79</v>
      </c>
      <c r="P11" s="380">
        <f xml:space="preserve">
IF($A$4&lt;=12,SUMIFS('ON Data'!T:T,'ON Data'!$D:$D,$A$4,'ON Data'!$E:$E,2),SUMIFS('ON Data'!T:T,'ON Data'!$E:$E,2))</f>
        <v>0</v>
      </c>
      <c r="Q11" s="380">
        <f xml:space="preserve">
IF($A$4&lt;=12,SUMIFS('ON Data'!U:U,'ON Data'!$D:$D,$A$4,'ON Data'!$E:$E,2),SUMIFS('ON Data'!U:U,'ON Data'!$E:$E,2))</f>
        <v>0</v>
      </c>
      <c r="R11" s="380">
        <f xml:space="preserve">
IF($A$4&lt;=12,SUMIFS('ON Data'!V:V,'ON Data'!$D:$D,$A$4,'ON Data'!$E:$E,2),SUMIFS('ON Data'!V:V,'ON Data'!$E:$E,2))</f>
        <v>0</v>
      </c>
      <c r="S11" s="380">
        <f xml:space="preserve">
IF($A$4&lt;=12,SUMIFS('ON Data'!W:W,'ON Data'!$D:$D,$A$4,'ON Data'!$E:$E,2),SUMIFS('ON Data'!W:W,'ON Data'!$E:$E,2))</f>
        <v>0</v>
      </c>
      <c r="T11" s="380">
        <f xml:space="preserve">
IF($A$4&lt;=12,SUMIFS('ON Data'!X:X,'ON Data'!$D:$D,$A$4,'ON Data'!$E:$E,2),SUMIFS('ON Data'!X:X,'ON Data'!$E:$E,2))</f>
        <v>0</v>
      </c>
      <c r="U11" s="380">
        <f xml:space="preserve">
IF($A$4&lt;=12,SUMIFS('ON Data'!Y:Y,'ON Data'!$D:$D,$A$4,'ON Data'!$E:$E,2),SUMIFS('ON Data'!Y:Y,'ON Data'!$E:$E,2))</f>
        <v>0</v>
      </c>
      <c r="V11" s="380">
        <f xml:space="preserve">
IF($A$4&lt;=12,SUMIFS('ON Data'!Z:Z,'ON Data'!$D:$D,$A$4,'ON Data'!$E:$E,2),SUMIFS('ON Data'!Z:Z,'ON Data'!$E:$E,2))</f>
        <v>0</v>
      </c>
      <c r="W11" s="380">
        <f xml:space="preserve">
IF($A$4&lt;=12,SUMIFS('ON Data'!AA:AA,'ON Data'!$D:$D,$A$4,'ON Data'!$E:$E,2),SUMIFS('ON Data'!AA:AA,'ON Data'!$E:$E,2))</f>
        <v>0</v>
      </c>
      <c r="X11" s="380">
        <f xml:space="preserve">
IF($A$4&lt;=12,SUMIFS('ON Data'!AB:AB,'ON Data'!$D:$D,$A$4,'ON Data'!$E:$E,2),SUMIFS('ON Data'!AB:AB,'ON Data'!$E:$E,2))</f>
        <v>0</v>
      </c>
      <c r="Y11" s="380">
        <f xml:space="preserve">
IF($A$4&lt;=12,SUMIFS('ON Data'!AC:AC,'ON Data'!$D:$D,$A$4,'ON Data'!$E:$E,2),SUMIFS('ON Data'!AC:AC,'ON Data'!$E:$E,2))</f>
        <v>0</v>
      </c>
      <c r="Z11" s="380">
        <f xml:space="preserve">
IF($A$4&lt;=12,SUMIFS('ON Data'!AD:AD,'ON Data'!$D:$D,$A$4,'ON Data'!$E:$E,2),SUMIFS('ON Data'!AD:AD,'ON Data'!$E:$E,2))</f>
        <v>0</v>
      </c>
      <c r="AA11" s="380"/>
      <c r="AB11" s="380">
        <f xml:space="preserve">
IF($A$4&lt;=12,SUMIFS('ON Data'!AF:AF,'ON Data'!$D:$D,$A$4,'ON Data'!$E:$E,2),SUMIFS('ON Data'!AF:AF,'ON Data'!$E:$E,2))</f>
        <v>0</v>
      </c>
      <c r="AC11" s="380">
        <f xml:space="preserve">
IF($A$4&lt;=12,SUMIFS('ON Data'!AG:AG,'ON Data'!$D:$D,$A$4,'ON Data'!$E:$E,2),SUMIFS('ON Data'!AG:AG,'ON Data'!$E:$E,2))</f>
        <v>0</v>
      </c>
      <c r="AD11" s="380">
        <f xml:space="preserve">
IF($A$4&lt;=12,SUMIFS('ON Data'!AH:AH,'ON Data'!$D:$D,$A$4,'ON Data'!$E:$E,2),SUMIFS('ON Data'!AH:AH,'ON Data'!$E:$E,2))</f>
        <v>0</v>
      </c>
      <c r="AE11" s="380">
        <f xml:space="preserve">
IF($A$4&lt;=12,SUMIFS('ON Data'!AI:AI,'ON Data'!$D:$D,$A$4,'ON Data'!$E:$E,2),SUMIFS('ON Data'!AI:AI,'ON Data'!$E:$E,2))</f>
        <v>0</v>
      </c>
      <c r="AF11" s="380">
        <f xml:space="preserve">
IF($A$4&lt;=12,SUMIFS('ON Data'!AJ:AJ,'ON Data'!$D:$D,$A$4,'ON Data'!$E:$E,2),SUMIFS('ON Data'!AJ:AJ,'ON Data'!$E:$E,2))</f>
        <v>0</v>
      </c>
      <c r="AG11" s="380">
        <f xml:space="preserve">
IF($A$4&lt;=12,SUMIFS('ON Data'!AK:AK,'ON Data'!$D:$D,$A$4,'ON Data'!$E:$E,2),SUMIFS('ON Data'!AK:AK,'ON Data'!$E:$E,2))</f>
        <v>0</v>
      </c>
      <c r="AH11" s="380">
        <f xml:space="preserve">
IF($A$4&lt;=12,SUMIFS('ON Data'!AL:AL,'ON Data'!$D:$D,$A$4,'ON Data'!$E:$E,2),SUMIFS('ON Data'!AL:AL,'ON Data'!$E:$E,2))</f>
        <v>0</v>
      </c>
      <c r="AI11" s="380">
        <f xml:space="preserve">
IF($A$4&lt;=12,SUMIFS('ON Data'!AM:AM,'ON Data'!$D:$D,$A$4,'ON Data'!$E:$E,2),SUMIFS('ON Data'!AM:AM,'ON Data'!$E:$E,2))</f>
        <v>0</v>
      </c>
      <c r="AJ11" s="380">
        <f xml:space="preserve">
IF($A$4&lt;=12,SUMIFS('ON Data'!AN:AN,'ON Data'!$D:$D,$A$4,'ON Data'!$E:$E,2),SUMIFS('ON Data'!AN:AN,'ON Data'!$E:$E,2))</f>
        <v>0</v>
      </c>
      <c r="AK11" s="380">
        <f xml:space="preserve">
IF($A$4&lt;=12,SUMIFS('ON Data'!AO:AO,'ON Data'!$D:$D,$A$4,'ON Data'!$E:$E,2),SUMIFS('ON Data'!AO:AO,'ON Data'!$E:$E,2))</f>
        <v>0</v>
      </c>
      <c r="AL11" s="380">
        <f xml:space="preserve">
IF($A$4&lt;=12,SUMIFS('ON Data'!AP:AP,'ON Data'!$D:$D,$A$4,'ON Data'!$E:$E,2),SUMIFS('ON Data'!AP:AP,'ON Data'!$E:$E,2))</f>
        <v>0</v>
      </c>
      <c r="AM11" s="380">
        <f xml:space="preserve">
IF($A$4&lt;=12,SUMIFS('ON Data'!AQ:AQ,'ON Data'!$D:$D,$A$4,'ON Data'!$E:$E,2),SUMIFS('ON Data'!AQ:AQ,'ON Data'!$E:$E,2))</f>
        <v>802.5</v>
      </c>
      <c r="AN11" s="379">
        <f xml:space="preserve">
IF($A$4&lt;=12,SUMIFS('ON Data'!AR:AR,'ON Data'!$D:$D,$A$4,'ON Data'!$E:$E,2),SUMIFS('ON Data'!AR:AR,'ON Data'!$E:$E,2))</f>
        <v>0</v>
      </c>
      <c r="AO11" s="380">
        <f xml:space="preserve">
IF($A$4&lt;=12,SUMIFS('ON Data'!AS:AS,'ON Data'!$D:$D,$A$4,'ON Data'!$E:$E,2),SUMIFS('ON Data'!AS:AS,'ON Data'!$E:$E,2))</f>
        <v>0</v>
      </c>
      <c r="AP11" s="380">
        <f xml:space="preserve">
IF($A$4&lt;=12,SUMIFS('ON Data'!AT:AT,'ON Data'!$D:$D,$A$4,'ON Data'!$E:$E,2),SUMIFS('ON Data'!AT:AT,'ON Data'!$E:$E,2))</f>
        <v>945</v>
      </c>
      <c r="AQ11" s="380">
        <f xml:space="preserve">
IF($A$4&lt;=12,SUMIFS('ON Data'!AU:AU,'ON Data'!$D:$D,$A$4,'ON Data'!$E:$E,2),SUMIFS('ON Data'!AU:AU,'ON Data'!$E:$E,2))</f>
        <v>0</v>
      </c>
      <c r="AR11" s="380">
        <f xml:space="preserve">
IF($A$4&lt;=12,SUMIFS('ON Data'!AV:AV,'ON Data'!$D:$D,$A$4,'ON Data'!$E:$E,2),SUMIFS('ON Data'!AV:AV,'ON Data'!$E:$E,2))</f>
        <v>0</v>
      </c>
      <c r="AS11" s="731">
        <f xml:space="preserve">
IF($A$4&lt;=12,SUMIFS('ON Data'!AW:AW,'ON Data'!$D:$D,$A$4,'ON Data'!$E:$E,2),SUMIFS('ON Data'!AW:AW,'ON Data'!$E:$E,2))</f>
        <v>0</v>
      </c>
      <c r="AT11" s="740"/>
    </row>
    <row r="12" spans="1:46" x14ac:dyDescent="0.3">
      <c r="A12" s="361" t="s">
        <v>208</v>
      </c>
      <c r="B12" s="378">
        <f xml:space="preserve">
IF($A$4&lt;=12,SUMIFS('ON Data'!F:F,'ON Data'!$D:$D,$A$4,'ON Data'!$E:$E,3),SUMIFS('ON Data'!F:F,'ON Data'!$E:$E,3))</f>
        <v>432.19</v>
      </c>
      <c r="C12" s="379">
        <f xml:space="preserve">
IF($A$4&lt;=12,SUMIFS('ON Data'!G:G,'ON Data'!$D:$D,$A$4,'ON Data'!$E:$E,3),SUMIFS('ON Data'!G:G,'ON Data'!$E:$E,3))</f>
        <v>0</v>
      </c>
      <c r="D12" s="380">
        <f xml:space="preserve">
IF($A$4&lt;=12,SUMIFS('ON Data'!H:H,'ON Data'!$D:$D,$A$4,'ON Data'!$E:$E,3),SUMIFS('ON Data'!H:H,'ON Data'!$E:$E,3))</f>
        <v>0</v>
      </c>
      <c r="E12" s="380"/>
      <c r="F12" s="380">
        <f xml:space="preserve">
IF($A$4&lt;=12,SUMIFS('ON Data'!J:J,'ON Data'!$D:$D,$A$4,'ON Data'!$E:$E,3),SUMIFS('ON Data'!J:J,'ON Data'!$E:$E,3))</f>
        <v>0</v>
      </c>
      <c r="G12" s="380">
        <f xml:space="preserve">
IF($A$4&lt;=12,SUMIFS('ON Data'!K:K,'ON Data'!$D:$D,$A$4,'ON Data'!$E:$E,3),SUMIFS('ON Data'!K:K,'ON Data'!$E:$E,3))</f>
        <v>0</v>
      </c>
      <c r="H12" s="380">
        <f xml:space="preserve">
IF($A$4&lt;=12,SUMIFS('ON Data'!L:L,'ON Data'!$D:$D,$A$4,'ON Data'!$E:$E,3),SUMIFS('ON Data'!L:L,'ON Data'!$E:$E,3))</f>
        <v>60.21</v>
      </c>
      <c r="I12" s="380">
        <f xml:space="preserve">
IF($A$4&lt;=12,SUMIFS('ON Data'!M:M,'ON Data'!$D:$D,$A$4,'ON Data'!$E:$E,3),SUMIFS('ON Data'!M:M,'ON Data'!$E:$E,3))</f>
        <v>0</v>
      </c>
      <c r="J12" s="380">
        <f xml:space="preserve">
IF($A$4&lt;=12,SUMIFS('ON Data'!N:N,'ON Data'!$D:$D,$A$4,'ON Data'!$E:$E,3),SUMIFS('ON Data'!N:N,'ON Data'!$E:$E,3))</f>
        <v>0</v>
      </c>
      <c r="K12" s="380">
        <f xml:space="preserve">
IF($A$4&lt;=12,SUMIFS('ON Data'!O:O,'ON Data'!$D:$D,$A$4,'ON Data'!$E:$E,3),SUMIFS('ON Data'!O:O,'ON Data'!$E:$E,3))</f>
        <v>0</v>
      </c>
      <c r="L12" s="380">
        <f xml:space="preserve">
IF($A$4&lt;=12,SUMIFS('ON Data'!P:P,'ON Data'!$D:$D,$A$4,'ON Data'!$E:$E,3),SUMIFS('ON Data'!P:P,'ON Data'!$E:$E,3))</f>
        <v>0</v>
      </c>
      <c r="M12" s="380">
        <f xml:space="preserve">
IF($A$4&lt;=12,SUMIFS('ON Data'!Q:Q,'ON Data'!$D:$D,$A$4,'ON Data'!$E:$E,3),SUMIFS('ON Data'!Q:Q,'ON Data'!$E:$E,3))</f>
        <v>105.75</v>
      </c>
      <c r="N12" s="380">
        <f xml:space="preserve">
IF($A$4&lt;=12,SUMIFS('ON Data'!R:R,'ON Data'!$D:$D,$A$4,'ON Data'!$E:$E,3),SUMIFS('ON Data'!R:R,'ON Data'!$E:$E,3))</f>
        <v>207.75</v>
      </c>
      <c r="O12" s="380">
        <f xml:space="preserve">
IF($A$4&lt;=12,SUMIFS('ON Data'!S:S,'ON Data'!$D:$D,$A$4,'ON Data'!$E:$E,3),SUMIFS('ON Data'!S:S,'ON Data'!$E:$E,3))</f>
        <v>58.480000000000004</v>
      </c>
      <c r="P12" s="380">
        <f xml:space="preserve">
IF($A$4&lt;=12,SUMIFS('ON Data'!T:T,'ON Data'!$D:$D,$A$4,'ON Data'!$E:$E,3),SUMIFS('ON Data'!T:T,'ON Data'!$E:$E,3))</f>
        <v>0</v>
      </c>
      <c r="Q12" s="380">
        <f xml:space="preserve">
IF($A$4&lt;=12,SUMIFS('ON Data'!U:U,'ON Data'!$D:$D,$A$4,'ON Data'!$E:$E,3),SUMIFS('ON Data'!U:U,'ON Data'!$E:$E,3))</f>
        <v>0</v>
      </c>
      <c r="R12" s="380">
        <f xml:space="preserve">
IF($A$4&lt;=12,SUMIFS('ON Data'!V:V,'ON Data'!$D:$D,$A$4,'ON Data'!$E:$E,3),SUMIFS('ON Data'!V:V,'ON Data'!$E:$E,3))</f>
        <v>0</v>
      </c>
      <c r="S12" s="380">
        <f xml:space="preserve">
IF($A$4&lt;=12,SUMIFS('ON Data'!W:W,'ON Data'!$D:$D,$A$4,'ON Data'!$E:$E,3),SUMIFS('ON Data'!W:W,'ON Data'!$E:$E,3))</f>
        <v>0</v>
      </c>
      <c r="T12" s="380">
        <f xml:space="preserve">
IF($A$4&lt;=12,SUMIFS('ON Data'!X:X,'ON Data'!$D:$D,$A$4,'ON Data'!$E:$E,3),SUMIFS('ON Data'!X:X,'ON Data'!$E:$E,3))</f>
        <v>0</v>
      </c>
      <c r="U12" s="380">
        <f xml:space="preserve">
IF($A$4&lt;=12,SUMIFS('ON Data'!Y:Y,'ON Data'!$D:$D,$A$4,'ON Data'!$E:$E,3),SUMIFS('ON Data'!Y:Y,'ON Data'!$E:$E,3))</f>
        <v>0</v>
      </c>
      <c r="V12" s="380">
        <f xml:space="preserve">
IF($A$4&lt;=12,SUMIFS('ON Data'!Z:Z,'ON Data'!$D:$D,$A$4,'ON Data'!$E:$E,3),SUMIFS('ON Data'!Z:Z,'ON Data'!$E:$E,3))</f>
        <v>0</v>
      </c>
      <c r="W12" s="380">
        <f xml:space="preserve">
IF($A$4&lt;=12,SUMIFS('ON Data'!AA:AA,'ON Data'!$D:$D,$A$4,'ON Data'!$E:$E,3),SUMIFS('ON Data'!AA:AA,'ON Data'!$E:$E,3))</f>
        <v>0</v>
      </c>
      <c r="X12" s="380">
        <f xml:space="preserve">
IF($A$4&lt;=12,SUMIFS('ON Data'!AB:AB,'ON Data'!$D:$D,$A$4,'ON Data'!$E:$E,3),SUMIFS('ON Data'!AB:AB,'ON Data'!$E:$E,3))</f>
        <v>0</v>
      </c>
      <c r="Y12" s="380">
        <f xml:space="preserve">
IF($A$4&lt;=12,SUMIFS('ON Data'!AC:AC,'ON Data'!$D:$D,$A$4,'ON Data'!$E:$E,3),SUMIFS('ON Data'!AC:AC,'ON Data'!$E:$E,3))</f>
        <v>0</v>
      </c>
      <c r="Z12" s="380">
        <f xml:space="preserve">
IF($A$4&lt;=12,SUMIFS('ON Data'!AD:AD,'ON Data'!$D:$D,$A$4,'ON Data'!$E:$E,3),SUMIFS('ON Data'!AD:AD,'ON Data'!$E:$E,3))</f>
        <v>0</v>
      </c>
      <c r="AA12" s="380"/>
      <c r="AB12" s="380">
        <f xml:space="preserve">
IF($A$4&lt;=12,SUMIFS('ON Data'!AF:AF,'ON Data'!$D:$D,$A$4,'ON Data'!$E:$E,3),SUMIFS('ON Data'!AF:AF,'ON Data'!$E:$E,3))</f>
        <v>0</v>
      </c>
      <c r="AC12" s="380">
        <f xml:space="preserve">
IF($A$4&lt;=12,SUMIFS('ON Data'!AG:AG,'ON Data'!$D:$D,$A$4,'ON Data'!$E:$E,3),SUMIFS('ON Data'!AG:AG,'ON Data'!$E:$E,3))</f>
        <v>0</v>
      </c>
      <c r="AD12" s="380">
        <f xml:space="preserve">
IF($A$4&lt;=12,SUMIFS('ON Data'!AH:AH,'ON Data'!$D:$D,$A$4,'ON Data'!$E:$E,3),SUMIFS('ON Data'!AH:AH,'ON Data'!$E:$E,3))</f>
        <v>0</v>
      </c>
      <c r="AE12" s="380">
        <f xml:space="preserve">
IF($A$4&lt;=12,SUMIFS('ON Data'!AI:AI,'ON Data'!$D:$D,$A$4,'ON Data'!$E:$E,3),SUMIFS('ON Data'!AI:AI,'ON Data'!$E:$E,3))</f>
        <v>0</v>
      </c>
      <c r="AF12" s="380">
        <f xml:space="preserve">
IF($A$4&lt;=12,SUMIFS('ON Data'!AJ:AJ,'ON Data'!$D:$D,$A$4,'ON Data'!$E:$E,3),SUMIFS('ON Data'!AJ:AJ,'ON Data'!$E:$E,3))</f>
        <v>0</v>
      </c>
      <c r="AG12" s="380">
        <f xml:space="preserve">
IF($A$4&lt;=12,SUMIFS('ON Data'!AK:AK,'ON Data'!$D:$D,$A$4,'ON Data'!$E:$E,3),SUMIFS('ON Data'!AK:AK,'ON Data'!$E:$E,3))</f>
        <v>0</v>
      </c>
      <c r="AH12" s="380">
        <f xml:space="preserve">
IF($A$4&lt;=12,SUMIFS('ON Data'!AL:AL,'ON Data'!$D:$D,$A$4,'ON Data'!$E:$E,3),SUMIFS('ON Data'!AL:AL,'ON Data'!$E:$E,3))</f>
        <v>0</v>
      </c>
      <c r="AI12" s="380">
        <f xml:space="preserve">
IF($A$4&lt;=12,SUMIFS('ON Data'!AM:AM,'ON Data'!$D:$D,$A$4,'ON Data'!$E:$E,3),SUMIFS('ON Data'!AM:AM,'ON Data'!$E:$E,3))</f>
        <v>0</v>
      </c>
      <c r="AJ12" s="380">
        <f xml:space="preserve">
IF($A$4&lt;=12,SUMIFS('ON Data'!AN:AN,'ON Data'!$D:$D,$A$4,'ON Data'!$E:$E,3),SUMIFS('ON Data'!AN:AN,'ON Data'!$E:$E,3))</f>
        <v>0</v>
      </c>
      <c r="AK12" s="380">
        <f xml:space="preserve">
IF($A$4&lt;=12,SUMIFS('ON Data'!AO:AO,'ON Data'!$D:$D,$A$4,'ON Data'!$E:$E,3),SUMIFS('ON Data'!AO:AO,'ON Data'!$E:$E,3))</f>
        <v>0</v>
      </c>
      <c r="AL12" s="380">
        <f xml:space="preserve">
IF($A$4&lt;=12,SUMIFS('ON Data'!AP:AP,'ON Data'!$D:$D,$A$4,'ON Data'!$E:$E,3),SUMIFS('ON Data'!AP:AP,'ON Data'!$E:$E,3))</f>
        <v>0</v>
      </c>
      <c r="AM12" s="380">
        <f xml:space="preserve">
IF($A$4&lt;=12,SUMIFS('ON Data'!AQ:AQ,'ON Data'!$D:$D,$A$4,'ON Data'!$E:$E,3),SUMIFS('ON Data'!AQ:AQ,'ON Data'!$E:$E,3))</f>
        <v>0</v>
      </c>
      <c r="AN12" s="379">
        <f xml:space="preserve">
IF($A$4&lt;=12,SUMIFS('ON Data'!AR:AR,'ON Data'!$D:$D,$A$4,'ON Data'!$E:$E,3),SUMIFS('ON Data'!AR:AR,'ON Data'!$E:$E,3))</f>
        <v>0</v>
      </c>
      <c r="AO12" s="380">
        <f xml:space="preserve">
IF($A$4&lt;=12,SUMIFS('ON Data'!AS:AS,'ON Data'!$D:$D,$A$4,'ON Data'!$E:$E,3),SUMIFS('ON Data'!AS:AS,'ON Data'!$E:$E,3))</f>
        <v>0</v>
      </c>
      <c r="AP12" s="380">
        <f xml:space="preserve">
IF($A$4&lt;=12,SUMIFS('ON Data'!AT:AT,'ON Data'!$D:$D,$A$4,'ON Data'!$E:$E,3),SUMIFS('ON Data'!AT:AT,'ON Data'!$E:$E,3))</f>
        <v>0</v>
      </c>
      <c r="AQ12" s="380">
        <f xml:space="preserve">
IF($A$4&lt;=12,SUMIFS('ON Data'!AU:AU,'ON Data'!$D:$D,$A$4,'ON Data'!$E:$E,3),SUMIFS('ON Data'!AU:AU,'ON Data'!$E:$E,3))</f>
        <v>0</v>
      </c>
      <c r="AR12" s="380">
        <f xml:space="preserve">
IF($A$4&lt;=12,SUMIFS('ON Data'!AV:AV,'ON Data'!$D:$D,$A$4,'ON Data'!$E:$E,3),SUMIFS('ON Data'!AV:AV,'ON Data'!$E:$E,3))</f>
        <v>0</v>
      </c>
      <c r="AS12" s="731">
        <f xml:space="preserve">
IF($A$4&lt;=12,SUMIFS('ON Data'!AW:AW,'ON Data'!$D:$D,$A$4,'ON Data'!$E:$E,3),SUMIFS('ON Data'!AW:AW,'ON Data'!$E:$E,3))</f>
        <v>0</v>
      </c>
      <c r="AT12" s="740"/>
    </row>
    <row r="13" spans="1:46" x14ac:dyDescent="0.3">
      <c r="A13" s="361" t="s">
        <v>215</v>
      </c>
      <c r="B13" s="378">
        <f xml:space="preserve">
IF($A$4&lt;=12,SUMIFS('ON Data'!F:F,'ON Data'!$D:$D,$A$4,'ON Data'!$E:$E,4),SUMIFS('ON Data'!F:F,'ON Data'!$E:$E,4))</f>
        <v>1115</v>
      </c>
      <c r="C13" s="379">
        <f xml:space="preserve">
IF($A$4&lt;=12,SUMIFS('ON Data'!G:G,'ON Data'!$D:$D,$A$4,'ON Data'!$E:$E,4),SUMIFS('ON Data'!G:G,'ON Data'!$E:$E,4))</f>
        <v>0</v>
      </c>
      <c r="D13" s="380">
        <f xml:space="preserve">
IF($A$4&lt;=12,SUMIFS('ON Data'!H:H,'ON Data'!$D:$D,$A$4,'ON Data'!$E:$E,4),SUMIFS('ON Data'!H:H,'ON Data'!$E:$E,4))</f>
        <v>0</v>
      </c>
      <c r="E13" s="380"/>
      <c r="F13" s="380">
        <f xml:space="preserve">
IF($A$4&lt;=12,SUMIFS('ON Data'!J:J,'ON Data'!$D:$D,$A$4,'ON Data'!$E:$E,4),SUMIFS('ON Data'!J:J,'ON Data'!$E:$E,4))</f>
        <v>0</v>
      </c>
      <c r="G13" s="380">
        <f xml:space="preserve">
IF($A$4&lt;=12,SUMIFS('ON Data'!K:K,'ON Data'!$D:$D,$A$4,'ON Data'!$E:$E,4),SUMIFS('ON Data'!K:K,'ON Data'!$E:$E,4))</f>
        <v>33</v>
      </c>
      <c r="H13" s="380">
        <f xml:space="preserve">
IF($A$4&lt;=12,SUMIFS('ON Data'!L:L,'ON Data'!$D:$D,$A$4,'ON Data'!$E:$E,4),SUMIFS('ON Data'!L:L,'ON Data'!$E:$E,4))</f>
        <v>222</v>
      </c>
      <c r="I13" s="380">
        <f xml:space="preserve">
IF($A$4&lt;=12,SUMIFS('ON Data'!M:M,'ON Data'!$D:$D,$A$4,'ON Data'!$E:$E,4),SUMIFS('ON Data'!M:M,'ON Data'!$E:$E,4))</f>
        <v>0</v>
      </c>
      <c r="J13" s="380">
        <f xml:space="preserve">
IF($A$4&lt;=12,SUMIFS('ON Data'!N:N,'ON Data'!$D:$D,$A$4,'ON Data'!$E:$E,4),SUMIFS('ON Data'!N:N,'ON Data'!$E:$E,4))</f>
        <v>0</v>
      </c>
      <c r="K13" s="380">
        <f xml:space="preserve">
IF($A$4&lt;=12,SUMIFS('ON Data'!O:O,'ON Data'!$D:$D,$A$4,'ON Data'!$E:$E,4),SUMIFS('ON Data'!O:O,'ON Data'!$E:$E,4))</f>
        <v>0</v>
      </c>
      <c r="L13" s="380">
        <f xml:space="preserve">
IF($A$4&lt;=12,SUMIFS('ON Data'!P:P,'ON Data'!$D:$D,$A$4,'ON Data'!$E:$E,4),SUMIFS('ON Data'!P:P,'ON Data'!$E:$E,4))</f>
        <v>0</v>
      </c>
      <c r="M13" s="380">
        <f xml:space="preserve">
IF($A$4&lt;=12,SUMIFS('ON Data'!Q:Q,'ON Data'!$D:$D,$A$4,'ON Data'!$E:$E,4),SUMIFS('ON Data'!Q:Q,'ON Data'!$E:$E,4))</f>
        <v>282.5</v>
      </c>
      <c r="N13" s="380">
        <f xml:space="preserve">
IF($A$4&lt;=12,SUMIFS('ON Data'!R:R,'ON Data'!$D:$D,$A$4,'ON Data'!$E:$E,4),SUMIFS('ON Data'!R:R,'ON Data'!$E:$E,4))</f>
        <v>251.5</v>
      </c>
      <c r="O13" s="380">
        <f xml:space="preserve">
IF($A$4&lt;=12,SUMIFS('ON Data'!S:S,'ON Data'!$D:$D,$A$4,'ON Data'!$E:$E,4),SUMIFS('ON Data'!S:S,'ON Data'!$E:$E,4))</f>
        <v>98.5</v>
      </c>
      <c r="P13" s="380">
        <f xml:space="preserve">
IF($A$4&lt;=12,SUMIFS('ON Data'!T:T,'ON Data'!$D:$D,$A$4,'ON Data'!$E:$E,4),SUMIFS('ON Data'!T:T,'ON Data'!$E:$E,4))</f>
        <v>0</v>
      </c>
      <c r="Q13" s="380">
        <f xml:space="preserve">
IF($A$4&lt;=12,SUMIFS('ON Data'!U:U,'ON Data'!$D:$D,$A$4,'ON Data'!$E:$E,4),SUMIFS('ON Data'!U:U,'ON Data'!$E:$E,4))</f>
        <v>0</v>
      </c>
      <c r="R13" s="380">
        <f xml:space="preserve">
IF($A$4&lt;=12,SUMIFS('ON Data'!V:V,'ON Data'!$D:$D,$A$4,'ON Data'!$E:$E,4),SUMIFS('ON Data'!V:V,'ON Data'!$E:$E,4))</f>
        <v>0</v>
      </c>
      <c r="S13" s="380">
        <f xml:space="preserve">
IF($A$4&lt;=12,SUMIFS('ON Data'!W:W,'ON Data'!$D:$D,$A$4,'ON Data'!$E:$E,4),SUMIFS('ON Data'!W:W,'ON Data'!$E:$E,4))</f>
        <v>0</v>
      </c>
      <c r="T13" s="380">
        <f xml:space="preserve">
IF($A$4&lt;=12,SUMIFS('ON Data'!X:X,'ON Data'!$D:$D,$A$4,'ON Data'!$E:$E,4),SUMIFS('ON Data'!X:X,'ON Data'!$E:$E,4))</f>
        <v>0</v>
      </c>
      <c r="U13" s="380">
        <f xml:space="preserve">
IF($A$4&lt;=12,SUMIFS('ON Data'!Y:Y,'ON Data'!$D:$D,$A$4,'ON Data'!$E:$E,4),SUMIFS('ON Data'!Y:Y,'ON Data'!$E:$E,4))</f>
        <v>0</v>
      </c>
      <c r="V13" s="380">
        <f xml:space="preserve">
IF($A$4&lt;=12,SUMIFS('ON Data'!Z:Z,'ON Data'!$D:$D,$A$4,'ON Data'!$E:$E,4),SUMIFS('ON Data'!Z:Z,'ON Data'!$E:$E,4))</f>
        <v>0</v>
      </c>
      <c r="W13" s="380">
        <f xml:space="preserve">
IF($A$4&lt;=12,SUMIFS('ON Data'!AA:AA,'ON Data'!$D:$D,$A$4,'ON Data'!$E:$E,4),SUMIFS('ON Data'!AA:AA,'ON Data'!$E:$E,4))</f>
        <v>0</v>
      </c>
      <c r="X13" s="380">
        <f xml:space="preserve">
IF($A$4&lt;=12,SUMIFS('ON Data'!AB:AB,'ON Data'!$D:$D,$A$4,'ON Data'!$E:$E,4),SUMIFS('ON Data'!AB:AB,'ON Data'!$E:$E,4))</f>
        <v>0</v>
      </c>
      <c r="Y13" s="380">
        <f xml:space="preserve">
IF($A$4&lt;=12,SUMIFS('ON Data'!AC:AC,'ON Data'!$D:$D,$A$4,'ON Data'!$E:$E,4),SUMIFS('ON Data'!AC:AC,'ON Data'!$E:$E,4))</f>
        <v>0</v>
      </c>
      <c r="Z13" s="380">
        <f xml:space="preserve">
IF($A$4&lt;=12,SUMIFS('ON Data'!AD:AD,'ON Data'!$D:$D,$A$4,'ON Data'!$E:$E,4),SUMIFS('ON Data'!AD:AD,'ON Data'!$E:$E,4))</f>
        <v>0</v>
      </c>
      <c r="AA13" s="380"/>
      <c r="AB13" s="380">
        <f xml:space="preserve">
IF($A$4&lt;=12,SUMIFS('ON Data'!AF:AF,'ON Data'!$D:$D,$A$4,'ON Data'!$E:$E,4),SUMIFS('ON Data'!AF:AF,'ON Data'!$E:$E,4))</f>
        <v>0</v>
      </c>
      <c r="AC13" s="380">
        <f xml:space="preserve">
IF($A$4&lt;=12,SUMIFS('ON Data'!AG:AG,'ON Data'!$D:$D,$A$4,'ON Data'!$E:$E,4),SUMIFS('ON Data'!AG:AG,'ON Data'!$E:$E,4))</f>
        <v>0</v>
      </c>
      <c r="AD13" s="380">
        <f xml:space="preserve">
IF($A$4&lt;=12,SUMIFS('ON Data'!AH:AH,'ON Data'!$D:$D,$A$4,'ON Data'!$E:$E,4),SUMIFS('ON Data'!AH:AH,'ON Data'!$E:$E,4))</f>
        <v>0</v>
      </c>
      <c r="AE13" s="380">
        <f xml:space="preserve">
IF($A$4&lt;=12,SUMIFS('ON Data'!AI:AI,'ON Data'!$D:$D,$A$4,'ON Data'!$E:$E,4),SUMIFS('ON Data'!AI:AI,'ON Data'!$E:$E,4))</f>
        <v>0</v>
      </c>
      <c r="AF13" s="380">
        <f xml:space="preserve">
IF($A$4&lt;=12,SUMIFS('ON Data'!AJ:AJ,'ON Data'!$D:$D,$A$4,'ON Data'!$E:$E,4),SUMIFS('ON Data'!AJ:AJ,'ON Data'!$E:$E,4))</f>
        <v>0</v>
      </c>
      <c r="AG13" s="380">
        <f xml:space="preserve">
IF($A$4&lt;=12,SUMIFS('ON Data'!AK:AK,'ON Data'!$D:$D,$A$4,'ON Data'!$E:$E,4),SUMIFS('ON Data'!AK:AK,'ON Data'!$E:$E,4))</f>
        <v>0</v>
      </c>
      <c r="AH13" s="380">
        <f xml:space="preserve">
IF($A$4&lt;=12,SUMIFS('ON Data'!AL:AL,'ON Data'!$D:$D,$A$4,'ON Data'!$E:$E,4),SUMIFS('ON Data'!AL:AL,'ON Data'!$E:$E,4))</f>
        <v>0</v>
      </c>
      <c r="AI13" s="380">
        <f xml:space="preserve">
IF($A$4&lt;=12,SUMIFS('ON Data'!AM:AM,'ON Data'!$D:$D,$A$4,'ON Data'!$E:$E,4),SUMIFS('ON Data'!AM:AM,'ON Data'!$E:$E,4))</f>
        <v>0</v>
      </c>
      <c r="AJ13" s="380">
        <f xml:space="preserve">
IF($A$4&lt;=12,SUMIFS('ON Data'!AN:AN,'ON Data'!$D:$D,$A$4,'ON Data'!$E:$E,4),SUMIFS('ON Data'!AN:AN,'ON Data'!$E:$E,4))</f>
        <v>0</v>
      </c>
      <c r="AK13" s="380">
        <f xml:space="preserve">
IF($A$4&lt;=12,SUMIFS('ON Data'!AO:AO,'ON Data'!$D:$D,$A$4,'ON Data'!$E:$E,4),SUMIFS('ON Data'!AO:AO,'ON Data'!$E:$E,4))</f>
        <v>0</v>
      </c>
      <c r="AL13" s="380">
        <f xml:space="preserve">
IF($A$4&lt;=12,SUMIFS('ON Data'!AP:AP,'ON Data'!$D:$D,$A$4,'ON Data'!$E:$E,4),SUMIFS('ON Data'!AP:AP,'ON Data'!$E:$E,4))</f>
        <v>0</v>
      </c>
      <c r="AM13" s="380">
        <f xml:space="preserve">
IF($A$4&lt;=12,SUMIFS('ON Data'!AQ:AQ,'ON Data'!$D:$D,$A$4,'ON Data'!$E:$E,4),SUMIFS('ON Data'!AQ:AQ,'ON Data'!$E:$E,4))</f>
        <v>97</v>
      </c>
      <c r="AN13" s="379">
        <f xml:space="preserve">
IF($A$4&lt;=12,SUMIFS('ON Data'!AR:AR,'ON Data'!$D:$D,$A$4,'ON Data'!$E:$E,4),SUMIFS('ON Data'!AR:AR,'ON Data'!$E:$E,4))</f>
        <v>0</v>
      </c>
      <c r="AO13" s="380">
        <f xml:space="preserve">
IF($A$4&lt;=12,SUMIFS('ON Data'!AS:AS,'ON Data'!$D:$D,$A$4,'ON Data'!$E:$E,4),SUMIFS('ON Data'!AS:AS,'ON Data'!$E:$E,4))</f>
        <v>0</v>
      </c>
      <c r="AP13" s="380">
        <f xml:space="preserve">
IF($A$4&lt;=12,SUMIFS('ON Data'!AT:AT,'ON Data'!$D:$D,$A$4,'ON Data'!$E:$E,4),SUMIFS('ON Data'!AT:AT,'ON Data'!$E:$E,4))</f>
        <v>130.5</v>
      </c>
      <c r="AQ13" s="380">
        <f xml:space="preserve">
IF($A$4&lt;=12,SUMIFS('ON Data'!AU:AU,'ON Data'!$D:$D,$A$4,'ON Data'!$E:$E,4),SUMIFS('ON Data'!AU:AU,'ON Data'!$E:$E,4))</f>
        <v>0</v>
      </c>
      <c r="AR13" s="380">
        <f xml:space="preserve">
IF($A$4&lt;=12,SUMIFS('ON Data'!AV:AV,'ON Data'!$D:$D,$A$4,'ON Data'!$E:$E,4),SUMIFS('ON Data'!AV:AV,'ON Data'!$E:$E,4))</f>
        <v>0</v>
      </c>
      <c r="AS13" s="731">
        <f xml:space="preserve">
IF($A$4&lt;=12,SUMIFS('ON Data'!AW:AW,'ON Data'!$D:$D,$A$4,'ON Data'!$E:$E,4),SUMIFS('ON Data'!AW:AW,'ON Data'!$E:$E,4))</f>
        <v>0</v>
      </c>
      <c r="AT13" s="740"/>
    </row>
    <row r="14" spans="1:46" ht="15" thickBot="1" x14ac:dyDescent="0.35">
      <c r="A14" s="362" t="s">
        <v>209</v>
      </c>
      <c r="B14" s="382">
        <f xml:space="preserve">
IF($A$4&lt;=12,SUMIFS('ON Data'!F:F,'ON Data'!$D:$D,$A$4,'ON Data'!$E:$E,5),SUMIFS('ON Data'!F:F,'ON Data'!$E:$E,5))</f>
        <v>48</v>
      </c>
      <c r="C14" s="383">
        <f xml:space="preserve">
IF($A$4&lt;=12,SUMIFS('ON Data'!G:G,'ON Data'!$D:$D,$A$4,'ON Data'!$E:$E,5),SUMIFS('ON Data'!G:G,'ON Data'!$E:$E,5))</f>
        <v>0</v>
      </c>
      <c r="D14" s="384">
        <f xml:space="preserve">
IF($A$4&lt;=12,SUMIFS('ON Data'!H:H,'ON Data'!$D:$D,$A$4,'ON Data'!$E:$E,5),SUMIFS('ON Data'!H:H,'ON Data'!$E:$E,5))</f>
        <v>0</v>
      </c>
      <c r="E14" s="384"/>
      <c r="F14" s="384">
        <f xml:space="preserve">
IF($A$4&lt;=12,SUMIFS('ON Data'!J:J,'ON Data'!$D:$D,$A$4,'ON Data'!$E:$E,5),SUMIFS('ON Data'!J:J,'ON Data'!$E:$E,5))</f>
        <v>0</v>
      </c>
      <c r="G14" s="384">
        <f xml:space="preserve">
IF($A$4&lt;=12,SUMIFS('ON Data'!K:K,'ON Data'!$D:$D,$A$4,'ON Data'!$E:$E,5),SUMIFS('ON Data'!K:K,'ON Data'!$E:$E,5))</f>
        <v>0</v>
      </c>
      <c r="H14" s="384">
        <f xml:space="preserve">
IF($A$4&lt;=12,SUMIFS('ON Data'!L:L,'ON Data'!$D:$D,$A$4,'ON Data'!$E:$E,5),SUMIFS('ON Data'!L:L,'ON Data'!$E:$E,5))</f>
        <v>0</v>
      </c>
      <c r="I14" s="384">
        <f xml:space="preserve">
IF($A$4&lt;=12,SUMIFS('ON Data'!M:M,'ON Data'!$D:$D,$A$4,'ON Data'!$E:$E,5),SUMIFS('ON Data'!M:M,'ON Data'!$E:$E,5))</f>
        <v>0</v>
      </c>
      <c r="J14" s="384">
        <f xml:space="preserve">
IF($A$4&lt;=12,SUMIFS('ON Data'!N:N,'ON Data'!$D:$D,$A$4,'ON Data'!$E:$E,5),SUMIFS('ON Data'!N:N,'ON Data'!$E:$E,5))</f>
        <v>0</v>
      </c>
      <c r="K14" s="384">
        <f xml:space="preserve">
IF($A$4&lt;=12,SUMIFS('ON Data'!O:O,'ON Data'!$D:$D,$A$4,'ON Data'!$E:$E,5),SUMIFS('ON Data'!O:O,'ON Data'!$E:$E,5))</f>
        <v>0</v>
      </c>
      <c r="L14" s="384">
        <f xml:space="preserve">
IF($A$4&lt;=12,SUMIFS('ON Data'!P:P,'ON Data'!$D:$D,$A$4,'ON Data'!$E:$E,5),SUMIFS('ON Data'!P:P,'ON Data'!$E:$E,5))</f>
        <v>0</v>
      </c>
      <c r="M14" s="384">
        <f xml:space="preserve">
IF($A$4&lt;=12,SUMIFS('ON Data'!Q:Q,'ON Data'!$D:$D,$A$4,'ON Data'!$E:$E,5),SUMIFS('ON Data'!Q:Q,'ON Data'!$E:$E,5))</f>
        <v>0</v>
      </c>
      <c r="N14" s="384">
        <f xml:space="preserve">
IF($A$4&lt;=12,SUMIFS('ON Data'!R:R,'ON Data'!$D:$D,$A$4,'ON Data'!$E:$E,5),SUMIFS('ON Data'!R:R,'ON Data'!$E:$E,5))</f>
        <v>48</v>
      </c>
      <c r="O14" s="384">
        <f xml:space="preserve">
IF($A$4&lt;=12,SUMIFS('ON Data'!S:S,'ON Data'!$D:$D,$A$4,'ON Data'!$E:$E,5),SUMIFS('ON Data'!S:S,'ON Data'!$E:$E,5))</f>
        <v>0</v>
      </c>
      <c r="P14" s="384">
        <f xml:space="preserve">
IF($A$4&lt;=12,SUMIFS('ON Data'!T:T,'ON Data'!$D:$D,$A$4,'ON Data'!$E:$E,5),SUMIFS('ON Data'!T:T,'ON Data'!$E:$E,5))</f>
        <v>0</v>
      </c>
      <c r="Q14" s="384">
        <f xml:space="preserve">
IF($A$4&lt;=12,SUMIFS('ON Data'!U:U,'ON Data'!$D:$D,$A$4,'ON Data'!$E:$E,5),SUMIFS('ON Data'!U:U,'ON Data'!$E:$E,5))</f>
        <v>0</v>
      </c>
      <c r="R14" s="384">
        <f xml:space="preserve">
IF($A$4&lt;=12,SUMIFS('ON Data'!V:V,'ON Data'!$D:$D,$A$4,'ON Data'!$E:$E,5),SUMIFS('ON Data'!V:V,'ON Data'!$E:$E,5))</f>
        <v>0</v>
      </c>
      <c r="S14" s="384">
        <f xml:space="preserve">
IF($A$4&lt;=12,SUMIFS('ON Data'!W:W,'ON Data'!$D:$D,$A$4,'ON Data'!$E:$E,5),SUMIFS('ON Data'!W:W,'ON Data'!$E:$E,5))</f>
        <v>0</v>
      </c>
      <c r="T14" s="384">
        <f xml:space="preserve">
IF($A$4&lt;=12,SUMIFS('ON Data'!X:X,'ON Data'!$D:$D,$A$4,'ON Data'!$E:$E,5),SUMIFS('ON Data'!X:X,'ON Data'!$E:$E,5))</f>
        <v>0</v>
      </c>
      <c r="U14" s="384">
        <f xml:space="preserve">
IF($A$4&lt;=12,SUMIFS('ON Data'!Y:Y,'ON Data'!$D:$D,$A$4,'ON Data'!$E:$E,5),SUMIFS('ON Data'!Y:Y,'ON Data'!$E:$E,5))</f>
        <v>0</v>
      </c>
      <c r="V14" s="384">
        <f xml:space="preserve">
IF($A$4&lt;=12,SUMIFS('ON Data'!Z:Z,'ON Data'!$D:$D,$A$4,'ON Data'!$E:$E,5),SUMIFS('ON Data'!Z:Z,'ON Data'!$E:$E,5))</f>
        <v>0</v>
      </c>
      <c r="W14" s="384">
        <f xml:space="preserve">
IF($A$4&lt;=12,SUMIFS('ON Data'!AA:AA,'ON Data'!$D:$D,$A$4,'ON Data'!$E:$E,5),SUMIFS('ON Data'!AA:AA,'ON Data'!$E:$E,5))</f>
        <v>0</v>
      </c>
      <c r="X14" s="384">
        <f xml:space="preserve">
IF($A$4&lt;=12,SUMIFS('ON Data'!AB:AB,'ON Data'!$D:$D,$A$4,'ON Data'!$E:$E,5),SUMIFS('ON Data'!AB:AB,'ON Data'!$E:$E,5))</f>
        <v>0</v>
      </c>
      <c r="Y14" s="384">
        <f xml:space="preserve">
IF($A$4&lt;=12,SUMIFS('ON Data'!AC:AC,'ON Data'!$D:$D,$A$4,'ON Data'!$E:$E,5),SUMIFS('ON Data'!AC:AC,'ON Data'!$E:$E,5))</f>
        <v>0</v>
      </c>
      <c r="Z14" s="384">
        <f xml:space="preserve">
IF($A$4&lt;=12,SUMIFS('ON Data'!AD:AD,'ON Data'!$D:$D,$A$4,'ON Data'!$E:$E,5),SUMIFS('ON Data'!AD:AD,'ON Data'!$E:$E,5))</f>
        <v>0</v>
      </c>
      <c r="AA14" s="384"/>
      <c r="AB14" s="384">
        <f xml:space="preserve">
IF($A$4&lt;=12,SUMIFS('ON Data'!AF:AF,'ON Data'!$D:$D,$A$4,'ON Data'!$E:$E,5),SUMIFS('ON Data'!AF:AF,'ON Data'!$E:$E,5))</f>
        <v>0</v>
      </c>
      <c r="AC14" s="384">
        <f xml:space="preserve">
IF($A$4&lt;=12,SUMIFS('ON Data'!AG:AG,'ON Data'!$D:$D,$A$4,'ON Data'!$E:$E,5),SUMIFS('ON Data'!AG:AG,'ON Data'!$E:$E,5))</f>
        <v>0</v>
      </c>
      <c r="AD14" s="384">
        <f xml:space="preserve">
IF($A$4&lt;=12,SUMIFS('ON Data'!AH:AH,'ON Data'!$D:$D,$A$4,'ON Data'!$E:$E,5),SUMIFS('ON Data'!AH:AH,'ON Data'!$E:$E,5))</f>
        <v>0</v>
      </c>
      <c r="AE14" s="384">
        <f xml:space="preserve">
IF($A$4&lt;=12,SUMIFS('ON Data'!AI:AI,'ON Data'!$D:$D,$A$4,'ON Data'!$E:$E,5),SUMIFS('ON Data'!AI:AI,'ON Data'!$E:$E,5))</f>
        <v>0</v>
      </c>
      <c r="AF14" s="384">
        <f xml:space="preserve">
IF($A$4&lt;=12,SUMIFS('ON Data'!AJ:AJ,'ON Data'!$D:$D,$A$4,'ON Data'!$E:$E,5),SUMIFS('ON Data'!AJ:AJ,'ON Data'!$E:$E,5))</f>
        <v>0</v>
      </c>
      <c r="AG14" s="384">
        <f xml:space="preserve">
IF($A$4&lt;=12,SUMIFS('ON Data'!AK:AK,'ON Data'!$D:$D,$A$4,'ON Data'!$E:$E,5),SUMIFS('ON Data'!AK:AK,'ON Data'!$E:$E,5))</f>
        <v>0</v>
      </c>
      <c r="AH14" s="384">
        <f xml:space="preserve">
IF($A$4&lt;=12,SUMIFS('ON Data'!AL:AL,'ON Data'!$D:$D,$A$4,'ON Data'!$E:$E,5),SUMIFS('ON Data'!AL:AL,'ON Data'!$E:$E,5))</f>
        <v>0</v>
      </c>
      <c r="AI14" s="384">
        <f xml:space="preserve">
IF($A$4&lt;=12,SUMIFS('ON Data'!AM:AM,'ON Data'!$D:$D,$A$4,'ON Data'!$E:$E,5),SUMIFS('ON Data'!AM:AM,'ON Data'!$E:$E,5))</f>
        <v>0</v>
      </c>
      <c r="AJ14" s="384">
        <f xml:space="preserve">
IF($A$4&lt;=12,SUMIFS('ON Data'!AN:AN,'ON Data'!$D:$D,$A$4,'ON Data'!$E:$E,5),SUMIFS('ON Data'!AN:AN,'ON Data'!$E:$E,5))</f>
        <v>0</v>
      </c>
      <c r="AK14" s="384">
        <f xml:space="preserve">
IF($A$4&lt;=12,SUMIFS('ON Data'!AO:AO,'ON Data'!$D:$D,$A$4,'ON Data'!$E:$E,5),SUMIFS('ON Data'!AO:AO,'ON Data'!$E:$E,5))</f>
        <v>0</v>
      </c>
      <c r="AL14" s="384">
        <f xml:space="preserve">
IF($A$4&lt;=12,SUMIFS('ON Data'!AP:AP,'ON Data'!$D:$D,$A$4,'ON Data'!$E:$E,5),SUMIFS('ON Data'!AP:AP,'ON Data'!$E:$E,5))</f>
        <v>0</v>
      </c>
      <c r="AM14" s="384">
        <f xml:space="preserve">
IF($A$4&lt;=12,SUMIFS('ON Data'!AQ:AQ,'ON Data'!$D:$D,$A$4,'ON Data'!$E:$E,5),SUMIFS('ON Data'!AQ:AQ,'ON Data'!$E:$E,5))</f>
        <v>0</v>
      </c>
      <c r="AN14" s="383">
        <f xml:space="preserve">
IF($A$4&lt;=12,SUMIFS('ON Data'!AR:AR,'ON Data'!$D:$D,$A$4,'ON Data'!$E:$E,5),SUMIFS('ON Data'!AR:AR,'ON Data'!$E:$E,5))</f>
        <v>0</v>
      </c>
      <c r="AO14" s="384">
        <f xml:space="preserve">
IF($A$4&lt;=12,SUMIFS('ON Data'!AS:AS,'ON Data'!$D:$D,$A$4,'ON Data'!$E:$E,5),SUMIFS('ON Data'!AS:AS,'ON Data'!$E:$E,5))</f>
        <v>0</v>
      </c>
      <c r="AP14" s="384">
        <f xml:space="preserve">
IF($A$4&lt;=12,SUMIFS('ON Data'!AT:AT,'ON Data'!$D:$D,$A$4,'ON Data'!$E:$E,5),SUMIFS('ON Data'!AT:AT,'ON Data'!$E:$E,5))</f>
        <v>0</v>
      </c>
      <c r="AQ14" s="384">
        <f xml:space="preserve">
IF($A$4&lt;=12,SUMIFS('ON Data'!AU:AU,'ON Data'!$D:$D,$A$4,'ON Data'!$E:$E,5),SUMIFS('ON Data'!AU:AU,'ON Data'!$E:$E,5))</f>
        <v>0</v>
      </c>
      <c r="AR14" s="384">
        <f xml:space="preserve">
IF($A$4&lt;=12,SUMIFS('ON Data'!AV:AV,'ON Data'!$D:$D,$A$4,'ON Data'!$E:$E,5),SUMIFS('ON Data'!AV:AV,'ON Data'!$E:$E,5))</f>
        <v>0</v>
      </c>
      <c r="AS14" s="732">
        <f xml:space="preserve">
IF($A$4&lt;=12,SUMIFS('ON Data'!AW:AW,'ON Data'!$D:$D,$A$4,'ON Data'!$E:$E,5),SUMIFS('ON Data'!AW:AW,'ON Data'!$E:$E,5))</f>
        <v>0</v>
      </c>
      <c r="AT14" s="740"/>
    </row>
    <row r="15" spans="1:46" x14ac:dyDescent="0.3">
      <c r="A15" s="264" t="s">
        <v>219</v>
      </c>
      <c r="B15" s="386"/>
      <c r="C15" s="387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  <c r="AK15" s="388"/>
      <c r="AL15" s="388"/>
      <c r="AM15" s="388"/>
      <c r="AN15" s="444"/>
      <c r="AO15" s="388"/>
      <c r="AP15" s="388"/>
      <c r="AQ15" s="388"/>
      <c r="AR15" s="388"/>
      <c r="AS15" s="733"/>
      <c r="AT15" s="740"/>
    </row>
    <row r="16" spans="1:46" x14ac:dyDescent="0.3">
      <c r="A16" s="363" t="s">
        <v>210</v>
      </c>
      <c r="B16" s="378">
        <f xml:space="preserve">
IF($A$4&lt;=12,SUMIFS('ON Data'!F:F,'ON Data'!$D:$D,$A$4,'ON Data'!$E:$E,7),SUMIFS('ON Data'!F:F,'ON Data'!$E:$E,7))</f>
        <v>0</v>
      </c>
      <c r="C16" s="379">
        <f xml:space="preserve">
IF($A$4&lt;=12,SUMIFS('ON Data'!G:G,'ON Data'!$D:$D,$A$4,'ON Data'!$E:$E,7),SUMIFS('ON Data'!G:G,'ON Data'!$E:$E,7))</f>
        <v>0</v>
      </c>
      <c r="D16" s="380">
        <f xml:space="preserve">
IF($A$4&lt;=12,SUMIFS('ON Data'!H:H,'ON Data'!$D:$D,$A$4,'ON Data'!$E:$E,7),SUMIFS('ON Data'!H:H,'ON Data'!$E:$E,7))</f>
        <v>0</v>
      </c>
      <c r="E16" s="380"/>
      <c r="F16" s="380">
        <f xml:space="preserve">
IF($A$4&lt;=12,SUMIFS('ON Data'!J:J,'ON Data'!$D:$D,$A$4,'ON Data'!$E:$E,7),SUMIFS('ON Data'!J:J,'ON Data'!$E:$E,7))</f>
        <v>0</v>
      </c>
      <c r="G16" s="380">
        <f xml:space="preserve">
IF($A$4&lt;=12,SUMIFS('ON Data'!K:K,'ON Data'!$D:$D,$A$4,'ON Data'!$E:$E,7),SUMIFS('ON Data'!K:K,'ON Data'!$E:$E,7))</f>
        <v>0</v>
      </c>
      <c r="H16" s="380">
        <f xml:space="preserve">
IF($A$4&lt;=12,SUMIFS('ON Data'!L:L,'ON Data'!$D:$D,$A$4,'ON Data'!$E:$E,7),SUMIFS('ON Data'!L:L,'ON Data'!$E:$E,7))</f>
        <v>0</v>
      </c>
      <c r="I16" s="380">
        <f xml:space="preserve">
IF($A$4&lt;=12,SUMIFS('ON Data'!M:M,'ON Data'!$D:$D,$A$4,'ON Data'!$E:$E,7),SUMIFS('ON Data'!M:M,'ON Data'!$E:$E,7))</f>
        <v>0</v>
      </c>
      <c r="J16" s="380">
        <f xml:space="preserve">
IF($A$4&lt;=12,SUMIFS('ON Data'!N:N,'ON Data'!$D:$D,$A$4,'ON Data'!$E:$E,7),SUMIFS('ON Data'!N:N,'ON Data'!$E:$E,7))</f>
        <v>0</v>
      </c>
      <c r="K16" s="380">
        <f xml:space="preserve">
IF($A$4&lt;=12,SUMIFS('ON Data'!O:O,'ON Data'!$D:$D,$A$4,'ON Data'!$E:$E,7),SUMIFS('ON Data'!O:O,'ON Data'!$E:$E,7))</f>
        <v>0</v>
      </c>
      <c r="L16" s="380">
        <f xml:space="preserve">
IF($A$4&lt;=12,SUMIFS('ON Data'!P:P,'ON Data'!$D:$D,$A$4,'ON Data'!$E:$E,7),SUMIFS('ON Data'!P:P,'ON Data'!$E:$E,7))</f>
        <v>0</v>
      </c>
      <c r="M16" s="380">
        <f xml:space="preserve">
IF($A$4&lt;=12,SUMIFS('ON Data'!Q:Q,'ON Data'!$D:$D,$A$4,'ON Data'!$E:$E,7),SUMIFS('ON Data'!Q:Q,'ON Data'!$E:$E,7))</f>
        <v>0</v>
      </c>
      <c r="N16" s="380">
        <f xml:space="preserve">
IF($A$4&lt;=12,SUMIFS('ON Data'!R:R,'ON Data'!$D:$D,$A$4,'ON Data'!$E:$E,7),SUMIFS('ON Data'!R:R,'ON Data'!$E:$E,7))</f>
        <v>0</v>
      </c>
      <c r="O16" s="380">
        <f xml:space="preserve">
IF($A$4&lt;=12,SUMIFS('ON Data'!S:S,'ON Data'!$D:$D,$A$4,'ON Data'!$E:$E,7),SUMIFS('ON Data'!S:S,'ON Data'!$E:$E,7))</f>
        <v>0</v>
      </c>
      <c r="P16" s="380">
        <f xml:space="preserve">
IF($A$4&lt;=12,SUMIFS('ON Data'!T:T,'ON Data'!$D:$D,$A$4,'ON Data'!$E:$E,7),SUMIFS('ON Data'!T:T,'ON Data'!$E:$E,7))</f>
        <v>0</v>
      </c>
      <c r="Q16" s="380">
        <f xml:space="preserve">
IF($A$4&lt;=12,SUMIFS('ON Data'!U:U,'ON Data'!$D:$D,$A$4,'ON Data'!$E:$E,7),SUMIFS('ON Data'!U:U,'ON Data'!$E:$E,7))</f>
        <v>0</v>
      </c>
      <c r="R16" s="380">
        <f xml:space="preserve">
IF($A$4&lt;=12,SUMIFS('ON Data'!V:V,'ON Data'!$D:$D,$A$4,'ON Data'!$E:$E,7),SUMIFS('ON Data'!V:V,'ON Data'!$E:$E,7))</f>
        <v>0</v>
      </c>
      <c r="S16" s="380">
        <f xml:space="preserve">
IF($A$4&lt;=12,SUMIFS('ON Data'!W:W,'ON Data'!$D:$D,$A$4,'ON Data'!$E:$E,7),SUMIFS('ON Data'!W:W,'ON Data'!$E:$E,7))</f>
        <v>0</v>
      </c>
      <c r="T16" s="380">
        <f xml:space="preserve">
IF($A$4&lt;=12,SUMIFS('ON Data'!X:X,'ON Data'!$D:$D,$A$4,'ON Data'!$E:$E,7),SUMIFS('ON Data'!X:X,'ON Data'!$E:$E,7))</f>
        <v>0</v>
      </c>
      <c r="U16" s="380">
        <f xml:space="preserve">
IF($A$4&lt;=12,SUMIFS('ON Data'!Y:Y,'ON Data'!$D:$D,$A$4,'ON Data'!$E:$E,7),SUMIFS('ON Data'!Y:Y,'ON Data'!$E:$E,7))</f>
        <v>0</v>
      </c>
      <c r="V16" s="380">
        <f xml:space="preserve">
IF($A$4&lt;=12,SUMIFS('ON Data'!Z:Z,'ON Data'!$D:$D,$A$4,'ON Data'!$E:$E,7),SUMIFS('ON Data'!Z:Z,'ON Data'!$E:$E,7))</f>
        <v>0</v>
      </c>
      <c r="W16" s="380">
        <f xml:space="preserve">
IF($A$4&lt;=12,SUMIFS('ON Data'!AA:AA,'ON Data'!$D:$D,$A$4,'ON Data'!$E:$E,7),SUMIFS('ON Data'!AA:AA,'ON Data'!$E:$E,7))</f>
        <v>0</v>
      </c>
      <c r="X16" s="380">
        <f xml:space="preserve">
IF($A$4&lt;=12,SUMIFS('ON Data'!AB:AB,'ON Data'!$D:$D,$A$4,'ON Data'!$E:$E,7),SUMIFS('ON Data'!AB:AB,'ON Data'!$E:$E,7))</f>
        <v>0</v>
      </c>
      <c r="Y16" s="380">
        <f xml:space="preserve">
IF($A$4&lt;=12,SUMIFS('ON Data'!AC:AC,'ON Data'!$D:$D,$A$4,'ON Data'!$E:$E,7),SUMIFS('ON Data'!AC:AC,'ON Data'!$E:$E,7))</f>
        <v>0</v>
      </c>
      <c r="Z16" s="380">
        <f xml:space="preserve">
IF($A$4&lt;=12,SUMIFS('ON Data'!AD:AD,'ON Data'!$D:$D,$A$4,'ON Data'!$E:$E,7),SUMIFS('ON Data'!AD:AD,'ON Data'!$E:$E,7))</f>
        <v>0</v>
      </c>
      <c r="AA16" s="380"/>
      <c r="AB16" s="380">
        <f xml:space="preserve">
IF($A$4&lt;=12,SUMIFS('ON Data'!AF:AF,'ON Data'!$D:$D,$A$4,'ON Data'!$E:$E,7),SUMIFS('ON Data'!AF:AF,'ON Data'!$E:$E,7))</f>
        <v>0</v>
      </c>
      <c r="AC16" s="380">
        <f xml:space="preserve">
IF($A$4&lt;=12,SUMIFS('ON Data'!AG:AG,'ON Data'!$D:$D,$A$4,'ON Data'!$E:$E,7),SUMIFS('ON Data'!AG:AG,'ON Data'!$E:$E,7))</f>
        <v>0</v>
      </c>
      <c r="AD16" s="380">
        <f xml:space="preserve">
IF($A$4&lt;=12,SUMIFS('ON Data'!AH:AH,'ON Data'!$D:$D,$A$4,'ON Data'!$E:$E,7),SUMIFS('ON Data'!AH:AH,'ON Data'!$E:$E,7))</f>
        <v>0</v>
      </c>
      <c r="AE16" s="380">
        <f xml:space="preserve">
IF($A$4&lt;=12,SUMIFS('ON Data'!AI:AI,'ON Data'!$D:$D,$A$4,'ON Data'!$E:$E,7),SUMIFS('ON Data'!AI:AI,'ON Data'!$E:$E,7))</f>
        <v>0</v>
      </c>
      <c r="AF16" s="380">
        <f xml:space="preserve">
IF($A$4&lt;=12,SUMIFS('ON Data'!AJ:AJ,'ON Data'!$D:$D,$A$4,'ON Data'!$E:$E,7),SUMIFS('ON Data'!AJ:AJ,'ON Data'!$E:$E,7))</f>
        <v>0</v>
      </c>
      <c r="AG16" s="380">
        <f xml:space="preserve">
IF($A$4&lt;=12,SUMIFS('ON Data'!AK:AK,'ON Data'!$D:$D,$A$4,'ON Data'!$E:$E,7),SUMIFS('ON Data'!AK:AK,'ON Data'!$E:$E,7))</f>
        <v>0</v>
      </c>
      <c r="AH16" s="380">
        <f xml:space="preserve">
IF($A$4&lt;=12,SUMIFS('ON Data'!AL:AL,'ON Data'!$D:$D,$A$4,'ON Data'!$E:$E,7),SUMIFS('ON Data'!AL:AL,'ON Data'!$E:$E,7))</f>
        <v>0</v>
      </c>
      <c r="AI16" s="380">
        <f xml:space="preserve">
IF($A$4&lt;=12,SUMIFS('ON Data'!AM:AM,'ON Data'!$D:$D,$A$4,'ON Data'!$E:$E,7),SUMIFS('ON Data'!AM:AM,'ON Data'!$E:$E,7))</f>
        <v>0</v>
      </c>
      <c r="AJ16" s="380">
        <f xml:space="preserve">
IF($A$4&lt;=12,SUMIFS('ON Data'!AN:AN,'ON Data'!$D:$D,$A$4,'ON Data'!$E:$E,7),SUMIFS('ON Data'!AN:AN,'ON Data'!$E:$E,7))</f>
        <v>0</v>
      </c>
      <c r="AK16" s="380">
        <f xml:space="preserve">
IF($A$4&lt;=12,SUMIFS('ON Data'!AO:AO,'ON Data'!$D:$D,$A$4,'ON Data'!$E:$E,7),SUMIFS('ON Data'!AO:AO,'ON Data'!$E:$E,7))</f>
        <v>0</v>
      </c>
      <c r="AL16" s="380">
        <f xml:space="preserve">
IF($A$4&lt;=12,SUMIFS('ON Data'!AP:AP,'ON Data'!$D:$D,$A$4,'ON Data'!$E:$E,7),SUMIFS('ON Data'!AP:AP,'ON Data'!$E:$E,7))</f>
        <v>0</v>
      </c>
      <c r="AM16" s="380">
        <f xml:space="preserve">
IF($A$4&lt;=12,SUMIFS('ON Data'!AQ:AQ,'ON Data'!$D:$D,$A$4,'ON Data'!$E:$E,7),SUMIFS('ON Data'!AQ:AQ,'ON Data'!$E:$E,7))</f>
        <v>0</v>
      </c>
      <c r="AN16" s="379">
        <f xml:space="preserve">
IF($A$4&lt;=12,SUMIFS('ON Data'!AR:AR,'ON Data'!$D:$D,$A$4,'ON Data'!$E:$E,7),SUMIFS('ON Data'!AR:AR,'ON Data'!$E:$E,7))</f>
        <v>0</v>
      </c>
      <c r="AO16" s="380">
        <f xml:space="preserve">
IF($A$4&lt;=12,SUMIFS('ON Data'!AS:AS,'ON Data'!$D:$D,$A$4,'ON Data'!$E:$E,7),SUMIFS('ON Data'!AS:AS,'ON Data'!$E:$E,7))</f>
        <v>0</v>
      </c>
      <c r="AP16" s="380">
        <f xml:space="preserve">
IF($A$4&lt;=12,SUMIFS('ON Data'!AT:AT,'ON Data'!$D:$D,$A$4,'ON Data'!$E:$E,7),SUMIFS('ON Data'!AT:AT,'ON Data'!$E:$E,7))</f>
        <v>0</v>
      </c>
      <c r="AQ16" s="380">
        <f xml:space="preserve">
IF($A$4&lt;=12,SUMIFS('ON Data'!AU:AU,'ON Data'!$D:$D,$A$4,'ON Data'!$E:$E,7),SUMIFS('ON Data'!AU:AU,'ON Data'!$E:$E,7))</f>
        <v>0</v>
      </c>
      <c r="AR16" s="380">
        <f xml:space="preserve">
IF($A$4&lt;=12,SUMIFS('ON Data'!AV:AV,'ON Data'!$D:$D,$A$4,'ON Data'!$E:$E,7),SUMIFS('ON Data'!AV:AV,'ON Data'!$E:$E,7))</f>
        <v>0</v>
      </c>
      <c r="AS16" s="731">
        <f xml:space="preserve">
IF($A$4&lt;=12,SUMIFS('ON Data'!AW:AW,'ON Data'!$D:$D,$A$4,'ON Data'!$E:$E,7),SUMIFS('ON Data'!AW:AW,'ON Data'!$E:$E,7))</f>
        <v>0</v>
      </c>
      <c r="AT16" s="740"/>
    </row>
    <row r="17" spans="1:46" x14ac:dyDescent="0.3">
      <c r="A17" s="363" t="s">
        <v>211</v>
      </c>
      <c r="B17" s="378">
        <f xml:space="preserve">
IF($A$4&lt;=12,SUMIFS('ON Data'!F:F,'ON Data'!$D:$D,$A$4,'ON Data'!$E:$E,8),SUMIFS('ON Data'!F:F,'ON Data'!$E:$E,8))</f>
        <v>0</v>
      </c>
      <c r="C17" s="379">
        <f xml:space="preserve">
IF($A$4&lt;=12,SUMIFS('ON Data'!G:G,'ON Data'!$D:$D,$A$4,'ON Data'!$E:$E,8),SUMIFS('ON Data'!G:G,'ON Data'!$E:$E,8))</f>
        <v>0</v>
      </c>
      <c r="D17" s="380">
        <f xml:space="preserve">
IF($A$4&lt;=12,SUMIFS('ON Data'!H:H,'ON Data'!$D:$D,$A$4,'ON Data'!$E:$E,8),SUMIFS('ON Data'!H:H,'ON Data'!$E:$E,8))</f>
        <v>0</v>
      </c>
      <c r="E17" s="380"/>
      <c r="F17" s="380">
        <f xml:space="preserve">
IF($A$4&lt;=12,SUMIFS('ON Data'!J:J,'ON Data'!$D:$D,$A$4,'ON Data'!$E:$E,8),SUMIFS('ON Data'!J:J,'ON Data'!$E:$E,8))</f>
        <v>0</v>
      </c>
      <c r="G17" s="380">
        <f xml:space="preserve">
IF($A$4&lt;=12,SUMIFS('ON Data'!K:K,'ON Data'!$D:$D,$A$4,'ON Data'!$E:$E,8),SUMIFS('ON Data'!K:K,'ON Data'!$E:$E,8))</f>
        <v>0</v>
      </c>
      <c r="H17" s="380">
        <f xml:space="preserve">
IF($A$4&lt;=12,SUMIFS('ON Data'!L:L,'ON Data'!$D:$D,$A$4,'ON Data'!$E:$E,8),SUMIFS('ON Data'!L:L,'ON Data'!$E:$E,8))</f>
        <v>0</v>
      </c>
      <c r="I17" s="380">
        <f xml:space="preserve">
IF($A$4&lt;=12,SUMIFS('ON Data'!M:M,'ON Data'!$D:$D,$A$4,'ON Data'!$E:$E,8),SUMIFS('ON Data'!M:M,'ON Data'!$E:$E,8))</f>
        <v>0</v>
      </c>
      <c r="J17" s="380">
        <f xml:space="preserve">
IF($A$4&lt;=12,SUMIFS('ON Data'!N:N,'ON Data'!$D:$D,$A$4,'ON Data'!$E:$E,8),SUMIFS('ON Data'!N:N,'ON Data'!$E:$E,8))</f>
        <v>0</v>
      </c>
      <c r="K17" s="380">
        <f xml:space="preserve">
IF($A$4&lt;=12,SUMIFS('ON Data'!O:O,'ON Data'!$D:$D,$A$4,'ON Data'!$E:$E,8),SUMIFS('ON Data'!O:O,'ON Data'!$E:$E,8))</f>
        <v>0</v>
      </c>
      <c r="L17" s="380">
        <f xml:space="preserve">
IF($A$4&lt;=12,SUMIFS('ON Data'!P:P,'ON Data'!$D:$D,$A$4,'ON Data'!$E:$E,8),SUMIFS('ON Data'!P:P,'ON Data'!$E:$E,8))</f>
        <v>0</v>
      </c>
      <c r="M17" s="380">
        <f xml:space="preserve">
IF($A$4&lt;=12,SUMIFS('ON Data'!Q:Q,'ON Data'!$D:$D,$A$4,'ON Data'!$E:$E,8),SUMIFS('ON Data'!Q:Q,'ON Data'!$E:$E,8))</f>
        <v>0</v>
      </c>
      <c r="N17" s="380">
        <f xml:space="preserve">
IF($A$4&lt;=12,SUMIFS('ON Data'!R:R,'ON Data'!$D:$D,$A$4,'ON Data'!$E:$E,8),SUMIFS('ON Data'!R:R,'ON Data'!$E:$E,8))</f>
        <v>0</v>
      </c>
      <c r="O17" s="380">
        <f xml:space="preserve">
IF($A$4&lt;=12,SUMIFS('ON Data'!S:S,'ON Data'!$D:$D,$A$4,'ON Data'!$E:$E,8),SUMIFS('ON Data'!S:S,'ON Data'!$E:$E,8))</f>
        <v>0</v>
      </c>
      <c r="P17" s="380">
        <f xml:space="preserve">
IF($A$4&lt;=12,SUMIFS('ON Data'!T:T,'ON Data'!$D:$D,$A$4,'ON Data'!$E:$E,8),SUMIFS('ON Data'!T:T,'ON Data'!$E:$E,8))</f>
        <v>0</v>
      </c>
      <c r="Q17" s="380">
        <f xml:space="preserve">
IF($A$4&lt;=12,SUMIFS('ON Data'!U:U,'ON Data'!$D:$D,$A$4,'ON Data'!$E:$E,8),SUMIFS('ON Data'!U:U,'ON Data'!$E:$E,8))</f>
        <v>0</v>
      </c>
      <c r="R17" s="380">
        <f xml:space="preserve">
IF($A$4&lt;=12,SUMIFS('ON Data'!V:V,'ON Data'!$D:$D,$A$4,'ON Data'!$E:$E,8),SUMIFS('ON Data'!V:V,'ON Data'!$E:$E,8))</f>
        <v>0</v>
      </c>
      <c r="S17" s="380">
        <f xml:space="preserve">
IF($A$4&lt;=12,SUMIFS('ON Data'!W:W,'ON Data'!$D:$D,$A$4,'ON Data'!$E:$E,8),SUMIFS('ON Data'!W:W,'ON Data'!$E:$E,8))</f>
        <v>0</v>
      </c>
      <c r="T17" s="380">
        <f xml:space="preserve">
IF($A$4&lt;=12,SUMIFS('ON Data'!X:X,'ON Data'!$D:$D,$A$4,'ON Data'!$E:$E,8),SUMIFS('ON Data'!X:X,'ON Data'!$E:$E,8))</f>
        <v>0</v>
      </c>
      <c r="U17" s="380">
        <f xml:space="preserve">
IF($A$4&lt;=12,SUMIFS('ON Data'!Y:Y,'ON Data'!$D:$D,$A$4,'ON Data'!$E:$E,8),SUMIFS('ON Data'!Y:Y,'ON Data'!$E:$E,8))</f>
        <v>0</v>
      </c>
      <c r="V17" s="380">
        <f xml:space="preserve">
IF($A$4&lt;=12,SUMIFS('ON Data'!Z:Z,'ON Data'!$D:$D,$A$4,'ON Data'!$E:$E,8),SUMIFS('ON Data'!Z:Z,'ON Data'!$E:$E,8))</f>
        <v>0</v>
      </c>
      <c r="W17" s="380">
        <f xml:space="preserve">
IF($A$4&lt;=12,SUMIFS('ON Data'!AA:AA,'ON Data'!$D:$D,$A$4,'ON Data'!$E:$E,8),SUMIFS('ON Data'!AA:AA,'ON Data'!$E:$E,8))</f>
        <v>0</v>
      </c>
      <c r="X17" s="380">
        <f xml:space="preserve">
IF($A$4&lt;=12,SUMIFS('ON Data'!AB:AB,'ON Data'!$D:$D,$A$4,'ON Data'!$E:$E,8),SUMIFS('ON Data'!AB:AB,'ON Data'!$E:$E,8))</f>
        <v>0</v>
      </c>
      <c r="Y17" s="380">
        <f xml:space="preserve">
IF($A$4&lt;=12,SUMIFS('ON Data'!AC:AC,'ON Data'!$D:$D,$A$4,'ON Data'!$E:$E,8),SUMIFS('ON Data'!AC:AC,'ON Data'!$E:$E,8))</f>
        <v>0</v>
      </c>
      <c r="Z17" s="380">
        <f xml:space="preserve">
IF($A$4&lt;=12,SUMIFS('ON Data'!AD:AD,'ON Data'!$D:$D,$A$4,'ON Data'!$E:$E,8),SUMIFS('ON Data'!AD:AD,'ON Data'!$E:$E,8))</f>
        <v>0</v>
      </c>
      <c r="AA17" s="380"/>
      <c r="AB17" s="380">
        <f xml:space="preserve">
IF($A$4&lt;=12,SUMIFS('ON Data'!AF:AF,'ON Data'!$D:$D,$A$4,'ON Data'!$E:$E,8),SUMIFS('ON Data'!AF:AF,'ON Data'!$E:$E,8))</f>
        <v>0</v>
      </c>
      <c r="AC17" s="380">
        <f xml:space="preserve">
IF($A$4&lt;=12,SUMIFS('ON Data'!AG:AG,'ON Data'!$D:$D,$A$4,'ON Data'!$E:$E,8),SUMIFS('ON Data'!AG:AG,'ON Data'!$E:$E,8))</f>
        <v>0</v>
      </c>
      <c r="AD17" s="380">
        <f xml:space="preserve">
IF($A$4&lt;=12,SUMIFS('ON Data'!AH:AH,'ON Data'!$D:$D,$A$4,'ON Data'!$E:$E,8),SUMIFS('ON Data'!AH:AH,'ON Data'!$E:$E,8))</f>
        <v>0</v>
      </c>
      <c r="AE17" s="380">
        <f xml:space="preserve">
IF($A$4&lt;=12,SUMIFS('ON Data'!AI:AI,'ON Data'!$D:$D,$A$4,'ON Data'!$E:$E,8),SUMIFS('ON Data'!AI:AI,'ON Data'!$E:$E,8))</f>
        <v>0</v>
      </c>
      <c r="AF17" s="380">
        <f xml:space="preserve">
IF($A$4&lt;=12,SUMIFS('ON Data'!AJ:AJ,'ON Data'!$D:$D,$A$4,'ON Data'!$E:$E,8),SUMIFS('ON Data'!AJ:AJ,'ON Data'!$E:$E,8))</f>
        <v>0</v>
      </c>
      <c r="AG17" s="380">
        <f xml:space="preserve">
IF($A$4&lt;=12,SUMIFS('ON Data'!AK:AK,'ON Data'!$D:$D,$A$4,'ON Data'!$E:$E,8),SUMIFS('ON Data'!AK:AK,'ON Data'!$E:$E,8))</f>
        <v>0</v>
      </c>
      <c r="AH17" s="380">
        <f xml:space="preserve">
IF($A$4&lt;=12,SUMIFS('ON Data'!AL:AL,'ON Data'!$D:$D,$A$4,'ON Data'!$E:$E,8),SUMIFS('ON Data'!AL:AL,'ON Data'!$E:$E,8))</f>
        <v>0</v>
      </c>
      <c r="AI17" s="380">
        <f xml:space="preserve">
IF($A$4&lt;=12,SUMIFS('ON Data'!AM:AM,'ON Data'!$D:$D,$A$4,'ON Data'!$E:$E,8),SUMIFS('ON Data'!AM:AM,'ON Data'!$E:$E,8))</f>
        <v>0</v>
      </c>
      <c r="AJ17" s="380">
        <f xml:space="preserve">
IF($A$4&lt;=12,SUMIFS('ON Data'!AN:AN,'ON Data'!$D:$D,$A$4,'ON Data'!$E:$E,8),SUMIFS('ON Data'!AN:AN,'ON Data'!$E:$E,8))</f>
        <v>0</v>
      </c>
      <c r="AK17" s="380">
        <f xml:space="preserve">
IF($A$4&lt;=12,SUMIFS('ON Data'!AO:AO,'ON Data'!$D:$D,$A$4,'ON Data'!$E:$E,8),SUMIFS('ON Data'!AO:AO,'ON Data'!$E:$E,8))</f>
        <v>0</v>
      </c>
      <c r="AL17" s="380">
        <f xml:space="preserve">
IF($A$4&lt;=12,SUMIFS('ON Data'!AP:AP,'ON Data'!$D:$D,$A$4,'ON Data'!$E:$E,8),SUMIFS('ON Data'!AP:AP,'ON Data'!$E:$E,8))</f>
        <v>0</v>
      </c>
      <c r="AM17" s="380">
        <f xml:space="preserve">
IF($A$4&lt;=12,SUMIFS('ON Data'!AQ:AQ,'ON Data'!$D:$D,$A$4,'ON Data'!$E:$E,8),SUMIFS('ON Data'!AQ:AQ,'ON Data'!$E:$E,8))</f>
        <v>0</v>
      </c>
      <c r="AN17" s="379">
        <f xml:space="preserve">
IF($A$4&lt;=12,SUMIFS('ON Data'!AR:AR,'ON Data'!$D:$D,$A$4,'ON Data'!$E:$E,8),SUMIFS('ON Data'!AR:AR,'ON Data'!$E:$E,8))</f>
        <v>0</v>
      </c>
      <c r="AO17" s="380">
        <f xml:space="preserve">
IF($A$4&lt;=12,SUMIFS('ON Data'!AS:AS,'ON Data'!$D:$D,$A$4,'ON Data'!$E:$E,8),SUMIFS('ON Data'!AS:AS,'ON Data'!$E:$E,8))</f>
        <v>0</v>
      </c>
      <c r="AP17" s="380">
        <f xml:space="preserve">
IF($A$4&lt;=12,SUMIFS('ON Data'!AT:AT,'ON Data'!$D:$D,$A$4,'ON Data'!$E:$E,8),SUMIFS('ON Data'!AT:AT,'ON Data'!$E:$E,8))</f>
        <v>0</v>
      </c>
      <c r="AQ17" s="380">
        <f xml:space="preserve">
IF($A$4&lt;=12,SUMIFS('ON Data'!AU:AU,'ON Data'!$D:$D,$A$4,'ON Data'!$E:$E,8),SUMIFS('ON Data'!AU:AU,'ON Data'!$E:$E,8))</f>
        <v>0</v>
      </c>
      <c r="AR17" s="380">
        <f xml:space="preserve">
IF($A$4&lt;=12,SUMIFS('ON Data'!AV:AV,'ON Data'!$D:$D,$A$4,'ON Data'!$E:$E,8),SUMIFS('ON Data'!AV:AV,'ON Data'!$E:$E,8))</f>
        <v>0</v>
      </c>
      <c r="AS17" s="731">
        <f xml:space="preserve">
IF($A$4&lt;=12,SUMIFS('ON Data'!AW:AW,'ON Data'!$D:$D,$A$4,'ON Data'!$E:$E,8),SUMIFS('ON Data'!AW:AW,'ON Data'!$E:$E,8))</f>
        <v>0</v>
      </c>
      <c r="AT17" s="740"/>
    </row>
    <row r="18" spans="1:46" x14ac:dyDescent="0.3">
      <c r="A18" s="363" t="s">
        <v>212</v>
      </c>
      <c r="B18" s="378">
        <f xml:space="preserve">
B19-B16-B17</f>
        <v>21152</v>
      </c>
      <c r="C18" s="379">
        <f t="shared" ref="C18:I18" si="0" xml:space="preserve">
C19-C16-C17</f>
        <v>0</v>
      </c>
      <c r="D18" s="380">
        <f t="shared" si="0"/>
        <v>0</v>
      </c>
      <c r="E18" s="380"/>
      <c r="F18" s="380">
        <f t="shared" si="0"/>
        <v>0</v>
      </c>
      <c r="G18" s="380">
        <f t="shared" si="0"/>
        <v>0</v>
      </c>
      <c r="H18" s="380">
        <f t="shared" si="0"/>
        <v>0</v>
      </c>
      <c r="I18" s="380">
        <f t="shared" si="0"/>
        <v>0</v>
      </c>
      <c r="J18" s="380">
        <f t="shared" ref="J18:AK18" si="1" xml:space="preserve">
J19-J16-J17</f>
        <v>0</v>
      </c>
      <c r="K18" s="380">
        <f t="shared" si="1"/>
        <v>0</v>
      </c>
      <c r="L18" s="380">
        <f t="shared" si="1"/>
        <v>0</v>
      </c>
      <c r="M18" s="380">
        <f t="shared" si="1"/>
        <v>10101</v>
      </c>
      <c r="N18" s="380">
        <f t="shared" si="1"/>
        <v>3525</v>
      </c>
      <c r="O18" s="380">
        <f t="shared" si="1"/>
        <v>7526</v>
      </c>
      <c r="P18" s="380">
        <f t="shared" si="1"/>
        <v>0</v>
      </c>
      <c r="Q18" s="380">
        <f t="shared" si="1"/>
        <v>0</v>
      </c>
      <c r="R18" s="380">
        <f t="shared" si="1"/>
        <v>0</v>
      </c>
      <c r="S18" s="380">
        <f t="shared" si="1"/>
        <v>0</v>
      </c>
      <c r="T18" s="380">
        <f t="shared" si="1"/>
        <v>0</v>
      </c>
      <c r="U18" s="380">
        <f t="shared" si="1"/>
        <v>0</v>
      </c>
      <c r="V18" s="380">
        <f t="shared" si="1"/>
        <v>0</v>
      </c>
      <c r="W18" s="380">
        <f t="shared" si="1"/>
        <v>0</v>
      </c>
      <c r="X18" s="380">
        <f t="shared" si="1"/>
        <v>0</v>
      </c>
      <c r="Y18" s="380">
        <f t="shared" si="1"/>
        <v>0</v>
      </c>
      <c r="Z18" s="380">
        <f t="shared" si="1"/>
        <v>0</v>
      </c>
      <c r="AA18" s="380"/>
      <c r="AB18" s="380">
        <f t="shared" si="1"/>
        <v>0</v>
      </c>
      <c r="AC18" s="380">
        <f t="shared" si="1"/>
        <v>0</v>
      </c>
      <c r="AD18" s="380">
        <f t="shared" si="1"/>
        <v>0</v>
      </c>
      <c r="AE18" s="380">
        <f t="shared" si="1"/>
        <v>0</v>
      </c>
      <c r="AF18" s="380">
        <f t="shared" si="1"/>
        <v>0</v>
      </c>
      <c r="AG18" s="380">
        <f t="shared" si="1"/>
        <v>0</v>
      </c>
      <c r="AH18" s="380">
        <f t="shared" si="1"/>
        <v>0</v>
      </c>
      <c r="AI18" s="380">
        <f t="shared" si="1"/>
        <v>0</v>
      </c>
      <c r="AJ18" s="380">
        <f t="shared" si="1"/>
        <v>0</v>
      </c>
      <c r="AK18" s="380">
        <f t="shared" si="1"/>
        <v>0</v>
      </c>
      <c r="AL18" s="380">
        <f t="shared" ref="AL18:AS18" si="2" xml:space="preserve">
AL19-AL16-AL17</f>
        <v>0</v>
      </c>
      <c r="AM18" s="380">
        <f t="shared" si="2"/>
        <v>0</v>
      </c>
      <c r="AN18" s="379">
        <f t="shared" si="2"/>
        <v>0</v>
      </c>
      <c r="AO18" s="380">
        <f t="shared" si="2"/>
        <v>0</v>
      </c>
      <c r="AP18" s="380">
        <f t="shared" si="2"/>
        <v>0</v>
      </c>
      <c r="AQ18" s="380">
        <f t="shared" si="2"/>
        <v>0</v>
      </c>
      <c r="AR18" s="380">
        <f t="shared" si="2"/>
        <v>0</v>
      </c>
      <c r="AS18" s="731">
        <f t="shared" si="2"/>
        <v>0</v>
      </c>
      <c r="AT18" s="740"/>
    </row>
    <row r="19" spans="1:46" ht="15" thickBot="1" x14ac:dyDescent="0.35">
      <c r="A19" s="364" t="s">
        <v>213</v>
      </c>
      <c r="B19" s="389">
        <f xml:space="preserve">
IF($A$4&lt;=12,SUMIFS('ON Data'!F:F,'ON Data'!$D:$D,$A$4,'ON Data'!$E:$E,9),SUMIFS('ON Data'!F:F,'ON Data'!$E:$E,9))</f>
        <v>21152</v>
      </c>
      <c r="C19" s="390">
        <f xml:space="preserve">
IF($A$4&lt;=12,SUMIFS('ON Data'!G:G,'ON Data'!$D:$D,$A$4,'ON Data'!$E:$E,9),SUMIFS('ON Data'!G:G,'ON Data'!$E:$E,9))</f>
        <v>0</v>
      </c>
      <c r="D19" s="391">
        <f xml:space="preserve">
IF($A$4&lt;=12,SUMIFS('ON Data'!H:H,'ON Data'!$D:$D,$A$4,'ON Data'!$E:$E,9),SUMIFS('ON Data'!H:H,'ON Data'!$E:$E,9))</f>
        <v>0</v>
      </c>
      <c r="E19" s="391"/>
      <c r="F19" s="391">
        <f xml:space="preserve">
IF($A$4&lt;=12,SUMIFS('ON Data'!J:J,'ON Data'!$D:$D,$A$4,'ON Data'!$E:$E,9),SUMIFS('ON Data'!J:J,'ON Data'!$E:$E,9))</f>
        <v>0</v>
      </c>
      <c r="G19" s="391">
        <f xml:space="preserve">
IF($A$4&lt;=12,SUMIFS('ON Data'!K:K,'ON Data'!$D:$D,$A$4,'ON Data'!$E:$E,9),SUMIFS('ON Data'!K:K,'ON Data'!$E:$E,9))</f>
        <v>0</v>
      </c>
      <c r="H19" s="391">
        <f xml:space="preserve">
IF($A$4&lt;=12,SUMIFS('ON Data'!L:L,'ON Data'!$D:$D,$A$4,'ON Data'!$E:$E,9),SUMIFS('ON Data'!L:L,'ON Data'!$E:$E,9))</f>
        <v>0</v>
      </c>
      <c r="I19" s="391">
        <f xml:space="preserve">
IF($A$4&lt;=12,SUMIFS('ON Data'!M:M,'ON Data'!$D:$D,$A$4,'ON Data'!$E:$E,9),SUMIFS('ON Data'!M:M,'ON Data'!$E:$E,9))</f>
        <v>0</v>
      </c>
      <c r="J19" s="391">
        <f xml:space="preserve">
IF($A$4&lt;=12,SUMIFS('ON Data'!N:N,'ON Data'!$D:$D,$A$4,'ON Data'!$E:$E,9),SUMIFS('ON Data'!N:N,'ON Data'!$E:$E,9))</f>
        <v>0</v>
      </c>
      <c r="K19" s="391">
        <f xml:space="preserve">
IF($A$4&lt;=12,SUMIFS('ON Data'!O:O,'ON Data'!$D:$D,$A$4,'ON Data'!$E:$E,9),SUMIFS('ON Data'!O:O,'ON Data'!$E:$E,9))</f>
        <v>0</v>
      </c>
      <c r="L19" s="391">
        <f xml:space="preserve">
IF($A$4&lt;=12,SUMIFS('ON Data'!P:P,'ON Data'!$D:$D,$A$4,'ON Data'!$E:$E,9),SUMIFS('ON Data'!P:P,'ON Data'!$E:$E,9))</f>
        <v>0</v>
      </c>
      <c r="M19" s="391">
        <f xml:space="preserve">
IF($A$4&lt;=12,SUMIFS('ON Data'!Q:Q,'ON Data'!$D:$D,$A$4,'ON Data'!$E:$E,9),SUMIFS('ON Data'!Q:Q,'ON Data'!$E:$E,9))</f>
        <v>10101</v>
      </c>
      <c r="N19" s="391">
        <f xml:space="preserve">
IF($A$4&lt;=12,SUMIFS('ON Data'!R:R,'ON Data'!$D:$D,$A$4,'ON Data'!$E:$E,9),SUMIFS('ON Data'!R:R,'ON Data'!$E:$E,9))</f>
        <v>3525</v>
      </c>
      <c r="O19" s="391">
        <f xml:space="preserve">
IF($A$4&lt;=12,SUMIFS('ON Data'!S:S,'ON Data'!$D:$D,$A$4,'ON Data'!$E:$E,9),SUMIFS('ON Data'!S:S,'ON Data'!$E:$E,9))</f>
        <v>7526</v>
      </c>
      <c r="P19" s="391">
        <f xml:space="preserve">
IF($A$4&lt;=12,SUMIFS('ON Data'!T:T,'ON Data'!$D:$D,$A$4,'ON Data'!$E:$E,9),SUMIFS('ON Data'!T:T,'ON Data'!$E:$E,9))</f>
        <v>0</v>
      </c>
      <c r="Q19" s="391">
        <f xml:space="preserve">
IF($A$4&lt;=12,SUMIFS('ON Data'!U:U,'ON Data'!$D:$D,$A$4,'ON Data'!$E:$E,9),SUMIFS('ON Data'!U:U,'ON Data'!$E:$E,9))</f>
        <v>0</v>
      </c>
      <c r="R19" s="391">
        <f xml:space="preserve">
IF($A$4&lt;=12,SUMIFS('ON Data'!V:V,'ON Data'!$D:$D,$A$4,'ON Data'!$E:$E,9),SUMIFS('ON Data'!V:V,'ON Data'!$E:$E,9))</f>
        <v>0</v>
      </c>
      <c r="S19" s="391">
        <f xml:space="preserve">
IF($A$4&lt;=12,SUMIFS('ON Data'!W:W,'ON Data'!$D:$D,$A$4,'ON Data'!$E:$E,9),SUMIFS('ON Data'!W:W,'ON Data'!$E:$E,9))</f>
        <v>0</v>
      </c>
      <c r="T19" s="391">
        <f xml:space="preserve">
IF($A$4&lt;=12,SUMIFS('ON Data'!X:X,'ON Data'!$D:$D,$A$4,'ON Data'!$E:$E,9),SUMIFS('ON Data'!X:X,'ON Data'!$E:$E,9))</f>
        <v>0</v>
      </c>
      <c r="U19" s="391">
        <f xml:space="preserve">
IF($A$4&lt;=12,SUMIFS('ON Data'!Y:Y,'ON Data'!$D:$D,$A$4,'ON Data'!$E:$E,9),SUMIFS('ON Data'!Y:Y,'ON Data'!$E:$E,9))</f>
        <v>0</v>
      </c>
      <c r="V19" s="391">
        <f xml:space="preserve">
IF($A$4&lt;=12,SUMIFS('ON Data'!Z:Z,'ON Data'!$D:$D,$A$4,'ON Data'!$E:$E,9),SUMIFS('ON Data'!Z:Z,'ON Data'!$E:$E,9))</f>
        <v>0</v>
      </c>
      <c r="W19" s="391">
        <f xml:space="preserve">
IF($A$4&lt;=12,SUMIFS('ON Data'!AA:AA,'ON Data'!$D:$D,$A$4,'ON Data'!$E:$E,9),SUMIFS('ON Data'!AA:AA,'ON Data'!$E:$E,9))</f>
        <v>0</v>
      </c>
      <c r="X19" s="391">
        <f xml:space="preserve">
IF($A$4&lt;=12,SUMIFS('ON Data'!AB:AB,'ON Data'!$D:$D,$A$4,'ON Data'!$E:$E,9),SUMIFS('ON Data'!AB:AB,'ON Data'!$E:$E,9))</f>
        <v>0</v>
      </c>
      <c r="Y19" s="391">
        <f xml:space="preserve">
IF($A$4&lt;=12,SUMIFS('ON Data'!AC:AC,'ON Data'!$D:$D,$A$4,'ON Data'!$E:$E,9),SUMIFS('ON Data'!AC:AC,'ON Data'!$E:$E,9))</f>
        <v>0</v>
      </c>
      <c r="Z19" s="391">
        <f xml:space="preserve">
IF($A$4&lt;=12,SUMIFS('ON Data'!AD:AD,'ON Data'!$D:$D,$A$4,'ON Data'!$E:$E,9),SUMIFS('ON Data'!AD:AD,'ON Data'!$E:$E,9))</f>
        <v>0</v>
      </c>
      <c r="AA19" s="391"/>
      <c r="AB19" s="391">
        <f xml:space="preserve">
IF($A$4&lt;=12,SUMIFS('ON Data'!AF:AF,'ON Data'!$D:$D,$A$4,'ON Data'!$E:$E,9),SUMIFS('ON Data'!AF:AF,'ON Data'!$E:$E,9))</f>
        <v>0</v>
      </c>
      <c r="AC19" s="391">
        <f xml:space="preserve">
IF($A$4&lt;=12,SUMIFS('ON Data'!AG:AG,'ON Data'!$D:$D,$A$4,'ON Data'!$E:$E,9),SUMIFS('ON Data'!AG:AG,'ON Data'!$E:$E,9))</f>
        <v>0</v>
      </c>
      <c r="AD19" s="391">
        <f xml:space="preserve">
IF($A$4&lt;=12,SUMIFS('ON Data'!AH:AH,'ON Data'!$D:$D,$A$4,'ON Data'!$E:$E,9),SUMIFS('ON Data'!AH:AH,'ON Data'!$E:$E,9))</f>
        <v>0</v>
      </c>
      <c r="AE19" s="391">
        <f xml:space="preserve">
IF($A$4&lt;=12,SUMIFS('ON Data'!AI:AI,'ON Data'!$D:$D,$A$4,'ON Data'!$E:$E,9),SUMIFS('ON Data'!AI:AI,'ON Data'!$E:$E,9))</f>
        <v>0</v>
      </c>
      <c r="AF19" s="391">
        <f xml:space="preserve">
IF($A$4&lt;=12,SUMIFS('ON Data'!AJ:AJ,'ON Data'!$D:$D,$A$4,'ON Data'!$E:$E,9),SUMIFS('ON Data'!AJ:AJ,'ON Data'!$E:$E,9))</f>
        <v>0</v>
      </c>
      <c r="AG19" s="391">
        <f xml:space="preserve">
IF($A$4&lt;=12,SUMIFS('ON Data'!AK:AK,'ON Data'!$D:$D,$A$4,'ON Data'!$E:$E,9),SUMIFS('ON Data'!AK:AK,'ON Data'!$E:$E,9))</f>
        <v>0</v>
      </c>
      <c r="AH19" s="391">
        <f xml:space="preserve">
IF($A$4&lt;=12,SUMIFS('ON Data'!AL:AL,'ON Data'!$D:$D,$A$4,'ON Data'!$E:$E,9),SUMIFS('ON Data'!AL:AL,'ON Data'!$E:$E,9))</f>
        <v>0</v>
      </c>
      <c r="AI19" s="391">
        <f xml:space="preserve">
IF($A$4&lt;=12,SUMIFS('ON Data'!AM:AM,'ON Data'!$D:$D,$A$4,'ON Data'!$E:$E,9),SUMIFS('ON Data'!AM:AM,'ON Data'!$E:$E,9))</f>
        <v>0</v>
      </c>
      <c r="AJ19" s="391">
        <f xml:space="preserve">
IF($A$4&lt;=12,SUMIFS('ON Data'!AN:AN,'ON Data'!$D:$D,$A$4,'ON Data'!$E:$E,9),SUMIFS('ON Data'!AN:AN,'ON Data'!$E:$E,9))</f>
        <v>0</v>
      </c>
      <c r="AK19" s="391">
        <f xml:space="preserve">
IF($A$4&lt;=12,SUMIFS('ON Data'!AO:AO,'ON Data'!$D:$D,$A$4,'ON Data'!$E:$E,9),SUMIFS('ON Data'!AO:AO,'ON Data'!$E:$E,9))</f>
        <v>0</v>
      </c>
      <c r="AL19" s="391">
        <f xml:space="preserve">
IF($A$4&lt;=12,SUMIFS('ON Data'!AP:AP,'ON Data'!$D:$D,$A$4,'ON Data'!$E:$E,9),SUMIFS('ON Data'!AP:AP,'ON Data'!$E:$E,9))</f>
        <v>0</v>
      </c>
      <c r="AM19" s="391">
        <f xml:space="preserve">
IF($A$4&lt;=12,SUMIFS('ON Data'!AQ:AQ,'ON Data'!$D:$D,$A$4,'ON Data'!$E:$E,9),SUMIFS('ON Data'!AQ:AQ,'ON Data'!$E:$E,9))</f>
        <v>0</v>
      </c>
      <c r="AN19" s="390">
        <f xml:space="preserve">
IF($A$4&lt;=12,SUMIFS('ON Data'!AR:AR,'ON Data'!$D:$D,$A$4,'ON Data'!$E:$E,9),SUMIFS('ON Data'!AR:AR,'ON Data'!$E:$E,9))</f>
        <v>0</v>
      </c>
      <c r="AO19" s="391">
        <f xml:space="preserve">
IF($A$4&lt;=12,SUMIFS('ON Data'!AS:AS,'ON Data'!$D:$D,$A$4,'ON Data'!$E:$E,9),SUMIFS('ON Data'!AS:AS,'ON Data'!$E:$E,9))</f>
        <v>0</v>
      </c>
      <c r="AP19" s="391">
        <f xml:space="preserve">
IF($A$4&lt;=12,SUMIFS('ON Data'!AT:AT,'ON Data'!$D:$D,$A$4,'ON Data'!$E:$E,9),SUMIFS('ON Data'!AT:AT,'ON Data'!$E:$E,9))</f>
        <v>0</v>
      </c>
      <c r="AQ19" s="391">
        <f xml:space="preserve">
IF($A$4&lt;=12,SUMIFS('ON Data'!AU:AU,'ON Data'!$D:$D,$A$4,'ON Data'!$E:$E,9),SUMIFS('ON Data'!AU:AU,'ON Data'!$E:$E,9))</f>
        <v>0</v>
      </c>
      <c r="AR19" s="391">
        <f xml:space="preserve">
IF($A$4&lt;=12,SUMIFS('ON Data'!AV:AV,'ON Data'!$D:$D,$A$4,'ON Data'!$E:$E,9),SUMIFS('ON Data'!AV:AV,'ON Data'!$E:$E,9))</f>
        <v>0</v>
      </c>
      <c r="AS19" s="734">
        <f xml:space="preserve">
IF($A$4&lt;=12,SUMIFS('ON Data'!AW:AW,'ON Data'!$D:$D,$A$4,'ON Data'!$E:$E,9),SUMIFS('ON Data'!AW:AW,'ON Data'!$E:$E,9))</f>
        <v>0</v>
      </c>
      <c r="AT19" s="740"/>
    </row>
    <row r="20" spans="1:46" ht="15" collapsed="1" thickBot="1" x14ac:dyDescent="0.35">
      <c r="A20" s="365" t="s">
        <v>81</v>
      </c>
      <c r="B20" s="392">
        <f xml:space="preserve">
IF($A$4&lt;=12,SUMIFS('ON Data'!F:F,'ON Data'!$D:$D,$A$4,'ON Data'!$E:$E,6),SUMIFS('ON Data'!F:F,'ON Data'!$E:$E,6))</f>
        <v>5281971</v>
      </c>
      <c r="C20" s="393">
        <f xml:space="preserve">
IF($A$4&lt;=12,SUMIFS('ON Data'!G:G,'ON Data'!$D:$D,$A$4,'ON Data'!$E:$E,6),SUMIFS('ON Data'!G:G,'ON Data'!$E:$E,6))</f>
        <v>0</v>
      </c>
      <c r="D20" s="394">
        <f xml:space="preserve">
IF($A$4&lt;=12,SUMIFS('ON Data'!H:H,'ON Data'!$D:$D,$A$4,'ON Data'!$E:$E,6),SUMIFS('ON Data'!H:H,'ON Data'!$E:$E,6))</f>
        <v>0</v>
      </c>
      <c r="E20" s="394"/>
      <c r="F20" s="394">
        <f xml:space="preserve">
IF($A$4&lt;=12,SUMIFS('ON Data'!J:J,'ON Data'!$D:$D,$A$4,'ON Data'!$E:$E,6),SUMIFS('ON Data'!J:J,'ON Data'!$E:$E,6))</f>
        <v>0</v>
      </c>
      <c r="G20" s="394">
        <f xml:space="preserve">
IF($A$4&lt;=12,SUMIFS('ON Data'!K:K,'ON Data'!$D:$D,$A$4,'ON Data'!$E:$E,6),SUMIFS('ON Data'!K:K,'ON Data'!$E:$E,6))</f>
        <v>99672</v>
      </c>
      <c r="H20" s="394">
        <f xml:space="preserve">
IF($A$4&lt;=12,SUMIFS('ON Data'!L:L,'ON Data'!$D:$D,$A$4,'ON Data'!$E:$E,6),SUMIFS('ON Data'!L:L,'ON Data'!$E:$E,6))</f>
        <v>1313313</v>
      </c>
      <c r="I20" s="394">
        <f xml:space="preserve">
IF($A$4&lt;=12,SUMIFS('ON Data'!M:M,'ON Data'!$D:$D,$A$4,'ON Data'!$E:$E,6),SUMIFS('ON Data'!M:M,'ON Data'!$E:$E,6))</f>
        <v>0</v>
      </c>
      <c r="J20" s="394">
        <f xml:space="preserve">
IF($A$4&lt;=12,SUMIFS('ON Data'!N:N,'ON Data'!$D:$D,$A$4,'ON Data'!$E:$E,6),SUMIFS('ON Data'!N:N,'ON Data'!$E:$E,6))</f>
        <v>0</v>
      </c>
      <c r="K20" s="394">
        <f xml:space="preserve">
IF($A$4&lt;=12,SUMIFS('ON Data'!O:O,'ON Data'!$D:$D,$A$4,'ON Data'!$E:$E,6),SUMIFS('ON Data'!O:O,'ON Data'!$E:$E,6))</f>
        <v>0</v>
      </c>
      <c r="L20" s="394">
        <f xml:space="preserve">
IF($A$4&lt;=12,SUMIFS('ON Data'!P:P,'ON Data'!$D:$D,$A$4,'ON Data'!$E:$E,6),SUMIFS('ON Data'!P:P,'ON Data'!$E:$E,6))</f>
        <v>0</v>
      </c>
      <c r="M20" s="394">
        <f xml:space="preserve">
IF($A$4&lt;=12,SUMIFS('ON Data'!Q:Q,'ON Data'!$D:$D,$A$4,'ON Data'!$E:$E,6),SUMIFS('ON Data'!Q:Q,'ON Data'!$E:$E,6))</f>
        <v>1177115</v>
      </c>
      <c r="N20" s="394">
        <f xml:space="preserve">
IF($A$4&lt;=12,SUMIFS('ON Data'!R:R,'ON Data'!$D:$D,$A$4,'ON Data'!$E:$E,6),SUMIFS('ON Data'!R:R,'ON Data'!$E:$E,6))</f>
        <v>1562541</v>
      </c>
      <c r="O20" s="394">
        <f xml:space="preserve">
IF($A$4&lt;=12,SUMIFS('ON Data'!S:S,'ON Data'!$D:$D,$A$4,'ON Data'!$E:$E,6),SUMIFS('ON Data'!S:S,'ON Data'!$E:$E,6))</f>
        <v>725759</v>
      </c>
      <c r="P20" s="394">
        <f xml:space="preserve">
IF($A$4&lt;=12,SUMIFS('ON Data'!T:T,'ON Data'!$D:$D,$A$4,'ON Data'!$E:$E,6),SUMIFS('ON Data'!T:T,'ON Data'!$E:$E,6))</f>
        <v>0</v>
      </c>
      <c r="Q20" s="394">
        <f xml:space="preserve">
IF($A$4&lt;=12,SUMIFS('ON Data'!U:U,'ON Data'!$D:$D,$A$4,'ON Data'!$E:$E,6),SUMIFS('ON Data'!U:U,'ON Data'!$E:$E,6))</f>
        <v>0</v>
      </c>
      <c r="R20" s="394">
        <f xml:space="preserve">
IF($A$4&lt;=12,SUMIFS('ON Data'!V:V,'ON Data'!$D:$D,$A$4,'ON Data'!$E:$E,6),SUMIFS('ON Data'!V:V,'ON Data'!$E:$E,6))</f>
        <v>0</v>
      </c>
      <c r="S20" s="394">
        <f xml:space="preserve">
IF($A$4&lt;=12,SUMIFS('ON Data'!W:W,'ON Data'!$D:$D,$A$4,'ON Data'!$E:$E,6),SUMIFS('ON Data'!W:W,'ON Data'!$E:$E,6))</f>
        <v>0</v>
      </c>
      <c r="T20" s="394">
        <f xml:space="preserve">
IF($A$4&lt;=12,SUMIFS('ON Data'!X:X,'ON Data'!$D:$D,$A$4,'ON Data'!$E:$E,6),SUMIFS('ON Data'!X:X,'ON Data'!$E:$E,6))</f>
        <v>0</v>
      </c>
      <c r="U20" s="394">
        <f xml:space="preserve">
IF($A$4&lt;=12,SUMIFS('ON Data'!Y:Y,'ON Data'!$D:$D,$A$4,'ON Data'!$E:$E,6),SUMIFS('ON Data'!Y:Y,'ON Data'!$E:$E,6))</f>
        <v>0</v>
      </c>
      <c r="V20" s="394">
        <f xml:space="preserve">
IF($A$4&lt;=12,SUMIFS('ON Data'!Z:Z,'ON Data'!$D:$D,$A$4,'ON Data'!$E:$E,6),SUMIFS('ON Data'!Z:Z,'ON Data'!$E:$E,6))</f>
        <v>0</v>
      </c>
      <c r="W20" s="394">
        <f xml:space="preserve">
IF($A$4&lt;=12,SUMIFS('ON Data'!AA:AA,'ON Data'!$D:$D,$A$4,'ON Data'!$E:$E,6),SUMIFS('ON Data'!AA:AA,'ON Data'!$E:$E,6))</f>
        <v>0</v>
      </c>
      <c r="X20" s="394">
        <f xml:space="preserve">
IF($A$4&lt;=12,SUMIFS('ON Data'!AB:AB,'ON Data'!$D:$D,$A$4,'ON Data'!$E:$E,6),SUMIFS('ON Data'!AB:AB,'ON Data'!$E:$E,6))</f>
        <v>0</v>
      </c>
      <c r="Y20" s="394">
        <f xml:space="preserve">
IF($A$4&lt;=12,SUMIFS('ON Data'!AC:AC,'ON Data'!$D:$D,$A$4,'ON Data'!$E:$E,6),SUMIFS('ON Data'!AC:AC,'ON Data'!$E:$E,6))</f>
        <v>0</v>
      </c>
      <c r="Z20" s="394">
        <f xml:space="preserve">
IF($A$4&lt;=12,SUMIFS('ON Data'!AD:AD,'ON Data'!$D:$D,$A$4,'ON Data'!$E:$E,6),SUMIFS('ON Data'!AD:AD,'ON Data'!$E:$E,6))</f>
        <v>0</v>
      </c>
      <c r="AA20" s="394"/>
      <c r="AB20" s="394">
        <f xml:space="preserve">
IF($A$4&lt;=12,SUMIFS('ON Data'!AF:AF,'ON Data'!$D:$D,$A$4,'ON Data'!$E:$E,6),SUMIFS('ON Data'!AF:AF,'ON Data'!$E:$E,6))</f>
        <v>0</v>
      </c>
      <c r="AC20" s="394">
        <f xml:space="preserve">
IF($A$4&lt;=12,SUMIFS('ON Data'!AG:AG,'ON Data'!$D:$D,$A$4,'ON Data'!$E:$E,6),SUMIFS('ON Data'!AG:AG,'ON Data'!$E:$E,6))</f>
        <v>0</v>
      </c>
      <c r="AD20" s="394">
        <f xml:space="preserve">
IF($A$4&lt;=12,SUMIFS('ON Data'!AH:AH,'ON Data'!$D:$D,$A$4,'ON Data'!$E:$E,6),SUMIFS('ON Data'!AH:AH,'ON Data'!$E:$E,6))</f>
        <v>0</v>
      </c>
      <c r="AE20" s="394">
        <f xml:space="preserve">
IF($A$4&lt;=12,SUMIFS('ON Data'!AI:AI,'ON Data'!$D:$D,$A$4,'ON Data'!$E:$E,6),SUMIFS('ON Data'!AI:AI,'ON Data'!$E:$E,6))</f>
        <v>0</v>
      </c>
      <c r="AF20" s="394">
        <f xml:space="preserve">
IF($A$4&lt;=12,SUMIFS('ON Data'!AJ:AJ,'ON Data'!$D:$D,$A$4,'ON Data'!$E:$E,6),SUMIFS('ON Data'!AJ:AJ,'ON Data'!$E:$E,6))</f>
        <v>0</v>
      </c>
      <c r="AG20" s="394">
        <f xml:space="preserve">
IF($A$4&lt;=12,SUMIFS('ON Data'!AK:AK,'ON Data'!$D:$D,$A$4,'ON Data'!$E:$E,6),SUMIFS('ON Data'!AK:AK,'ON Data'!$E:$E,6))</f>
        <v>0</v>
      </c>
      <c r="AH20" s="394">
        <f xml:space="preserve">
IF($A$4&lt;=12,SUMIFS('ON Data'!AL:AL,'ON Data'!$D:$D,$A$4,'ON Data'!$E:$E,6),SUMIFS('ON Data'!AL:AL,'ON Data'!$E:$E,6))</f>
        <v>0</v>
      </c>
      <c r="AI20" s="394">
        <f xml:space="preserve">
IF($A$4&lt;=12,SUMIFS('ON Data'!AM:AM,'ON Data'!$D:$D,$A$4,'ON Data'!$E:$E,6),SUMIFS('ON Data'!AM:AM,'ON Data'!$E:$E,6))</f>
        <v>0</v>
      </c>
      <c r="AJ20" s="394">
        <f xml:space="preserve">
IF($A$4&lt;=12,SUMIFS('ON Data'!AN:AN,'ON Data'!$D:$D,$A$4,'ON Data'!$E:$E,6),SUMIFS('ON Data'!AN:AN,'ON Data'!$E:$E,6))</f>
        <v>0</v>
      </c>
      <c r="AK20" s="394">
        <f xml:space="preserve">
IF($A$4&lt;=12,SUMIFS('ON Data'!AO:AO,'ON Data'!$D:$D,$A$4,'ON Data'!$E:$E,6),SUMIFS('ON Data'!AO:AO,'ON Data'!$E:$E,6))</f>
        <v>0</v>
      </c>
      <c r="AL20" s="394">
        <f xml:space="preserve">
IF($A$4&lt;=12,SUMIFS('ON Data'!AP:AP,'ON Data'!$D:$D,$A$4,'ON Data'!$E:$E,6),SUMIFS('ON Data'!AP:AP,'ON Data'!$E:$E,6))</f>
        <v>0</v>
      </c>
      <c r="AM20" s="394">
        <f xml:space="preserve">
IF($A$4&lt;=12,SUMIFS('ON Data'!AQ:AQ,'ON Data'!$D:$D,$A$4,'ON Data'!$E:$E,6),SUMIFS('ON Data'!AQ:AQ,'ON Data'!$E:$E,6))</f>
        <v>171784</v>
      </c>
      <c r="AN20" s="393">
        <f xml:space="preserve">
IF($A$4&lt;=12,SUMIFS('ON Data'!AR:AR,'ON Data'!$D:$D,$A$4,'ON Data'!$E:$E,6),SUMIFS('ON Data'!AR:AR,'ON Data'!$E:$E,6))</f>
        <v>0</v>
      </c>
      <c r="AO20" s="394">
        <f xml:space="preserve">
IF($A$4&lt;=12,SUMIFS('ON Data'!AS:AS,'ON Data'!$D:$D,$A$4,'ON Data'!$E:$E,6),SUMIFS('ON Data'!AS:AS,'ON Data'!$E:$E,6))</f>
        <v>0</v>
      </c>
      <c r="AP20" s="394">
        <f xml:space="preserve">
IF($A$4&lt;=12,SUMIFS('ON Data'!AT:AT,'ON Data'!$D:$D,$A$4,'ON Data'!$E:$E,6),SUMIFS('ON Data'!AT:AT,'ON Data'!$E:$E,6))</f>
        <v>175567</v>
      </c>
      <c r="AQ20" s="394">
        <f xml:space="preserve">
IF($A$4&lt;=12,SUMIFS('ON Data'!AU:AU,'ON Data'!$D:$D,$A$4,'ON Data'!$E:$E,6),SUMIFS('ON Data'!AU:AU,'ON Data'!$E:$E,6))</f>
        <v>0</v>
      </c>
      <c r="AR20" s="394">
        <f xml:space="preserve">
IF($A$4&lt;=12,SUMIFS('ON Data'!AV:AV,'ON Data'!$D:$D,$A$4,'ON Data'!$E:$E,6),SUMIFS('ON Data'!AV:AV,'ON Data'!$E:$E,6))</f>
        <v>0</v>
      </c>
      <c r="AS20" s="735">
        <f xml:space="preserve">
IF($A$4&lt;=12,SUMIFS('ON Data'!AW:AW,'ON Data'!$D:$D,$A$4,'ON Data'!$E:$E,6),SUMIFS('ON Data'!AW:AW,'ON Data'!$E:$E,6))</f>
        <v>0</v>
      </c>
      <c r="AT20" s="740"/>
    </row>
    <row r="21" spans="1:46" ht="15" hidden="1" outlineLevel="1" thickBot="1" x14ac:dyDescent="0.35">
      <c r="A21" s="358" t="s">
        <v>118</v>
      </c>
      <c r="B21" s="378">
        <f xml:space="preserve">
IF($A$4&lt;=12,SUMIFS('ON Data'!F:F,'ON Data'!$D:$D,$A$4,'ON Data'!$E:$E,12),SUMIFS('ON Data'!F:F,'ON Data'!$E:$E,12))</f>
        <v>0</v>
      </c>
      <c r="C21" s="379">
        <f xml:space="preserve">
IF($A$4&lt;=12,SUMIFS('ON Data'!G:G,'ON Data'!$D:$D,$A$4,'ON Data'!$E:$E,12),SUMIFS('ON Data'!G:G,'ON Data'!$E:$E,12))</f>
        <v>0</v>
      </c>
      <c r="D21" s="380">
        <f xml:space="preserve">
IF($A$4&lt;=12,SUMIFS('ON Data'!H:H,'ON Data'!$D:$D,$A$4,'ON Data'!$E:$E,12),SUMIFS('ON Data'!H:H,'ON Data'!$E:$E,12))</f>
        <v>0</v>
      </c>
      <c r="E21" s="380"/>
      <c r="F21" s="380">
        <f xml:space="preserve">
IF($A$4&lt;=12,SUMIFS('ON Data'!J:J,'ON Data'!$D:$D,$A$4,'ON Data'!$E:$E,12),SUMIFS('ON Data'!J:J,'ON Data'!$E:$E,12))</f>
        <v>0</v>
      </c>
      <c r="G21" s="380">
        <f xml:space="preserve">
IF($A$4&lt;=12,SUMIFS('ON Data'!K:K,'ON Data'!$D:$D,$A$4,'ON Data'!$E:$E,12),SUMIFS('ON Data'!K:K,'ON Data'!$E:$E,12))</f>
        <v>0</v>
      </c>
      <c r="H21" s="380">
        <f xml:space="preserve">
IF($A$4&lt;=12,SUMIFS('ON Data'!L:L,'ON Data'!$D:$D,$A$4,'ON Data'!$E:$E,12),SUMIFS('ON Data'!L:L,'ON Data'!$E:$E,12))</f>
        <v>0</v>
      </c>
      <c r="I21" s="380">
        <f xml:space="preserve">
IF($A$4&lt;=12,SUMIFS('ON Data'!M:M,'ON Data'!$D:$D,$A$4,'ON Data'!$E:$E,12),SUMIFS('ON Data'!M:M,'ON Data'!$E:$E,12))</f>
        <v>0</v>
      </c>
      <c r="J21" s="380">
        <f xml:space="preserve">
IF($A$4&lt;=12,SUMIFS('ON Data'!N:N,'ON Data'!$D:$D,$A$4,'ON Data'!$E:$E,12),SUMIFS('ON Data'!N:N,'ON Data'!$E:$E,12))</f>
        <v>0</v>
      </c>
      <c r="K21" s="380">
        <f xml:space="preserve">
IF($A$4&lt;=12,SUMIFS('ON Data'!O:O,'ON Data'!$D:$D,$A$4,'ON Data'!$E:$E,12),SUMIFS('ON Data'!O:O,'ON Data'!$E:$E,12))</f>
        <v>0</v>
      </c>
      <c r="L21" s="380">
        <f xml:space="preserve">
IF($A$4&lt;=12,SUMIFS('ON Data'!P:P,'ON Data'!$D:$D,$A$4,'ON Data'!$E:$E,12),SUMIFS('ON Data'!P:P,'ON Data'!$E:$E,12))</f>
        <v>0</v>
      </c>
      <c r="M21" s="380">
        <f xml:space="preserve">
IF($A$4&lt;=12,SUMIFS('ON Data'!Q:Q,'ON Data'!$D:$D,$A$4,'ON Data'!$E:$E,12),SUMIFS('ON Data'!Q:Q,'ON Data'!$E:$E,12))</f>
        <v>0</v>
      </c>
      <c r="N21" s="380">
        <f xml:space="preserve">
IF($A$4&lt;=12,SUMIFS('ON Data'!R:R,'ON Data'!$D:$D,$A$4,'ON Data'!$E:$E,12),SUMIFS('ON Data'!R:R,'ON Data'!$E:$E,12))</f>
        <v>0</v>
      </c>
      <c r="O21" s="380">
        <f xml:space="preserve">
IF($A$4&lt;=12,SUMIFS('ON Data'!S:S,'ON Data'!$D:$D,$A$4,'ON Data'!$E:$E,12),SUMIFS('ON Data'!S:S,'ON Data'!$E:$E,12))</f>
        <v>0</v>
      </c>
      <c r="P21" s="380">
        <f xml:space="preserve">
IF($A$4&lt;=12,SUMIFS('ON Data'!T:T,'ON Data'!$D:$D,$A$4,'ON Data'!$E:$E,12),SUMIFS('ON Data'!T:T,'ON Data'!$E:$E,12))</f>
        <v>0</v>
      </c>
      <c r="Q21" s="380">
        <f xml:space="preserve">
IF($A$4&lt;=12,SUMIFS('ON Data'!U:U,'ON Data'!$D:$D,$A$4,'ON Data'!$E:$E,12),SUMIFS('ON Data'!U:U,'ON Data'!$E:$E,12))</f>
        <v>0</v>
      </c>
      <c r="R21" s="380">
        <f xml:space="preserve">
IF($A$4&lt;=12,SUMIFS('ON Data'!V:V,'ON Data'!$D:$D,$A$4,'ON Data'!$E:$E,12),SUMIFS('ON Data'!V:V,'ON Data'!$E:$E,12))</f>
        <v>0</v>
      </c>
      <c r="S21" s="380">
        <f xml:space="preserve">
IF($A$4&lt;=12,SUMIFS('ON Data'!W:W,'ON Data'!$D:$D,$A$4,'ON Data'!$E:$E,12),SUMIFS('ON Data'!W:W,'ON Data'!$E:$E,12))</f>
        <v>0</v>
      </c>
      <c r="T21" s="380">
        <f xml:space="preserve">
IF($A$4&lt;=12,SUMIFS('ON Data'!X:X,'ON Data'!$D:$D,$A$4,'ON Data'!$E:$E,12),SUMIFS('ON Data'!X:X,'ON Data'!$E:$E,12))</f>
        <v>0</v>
      </c>
      <c r="U21" s="380">
        <f xml:space="preserve">
IF($A$4&lt;=12,SUMIFS('ON Data'!Y:Y,'ON Data'!$D:$D,$A$4,'ON Data'!$E:$E,12),SUMIFS('ON Data'!Y:Y,'ON Data'!$E:$E,12))</f>
        <v>0</v>
      </c>
      <c r="V21" s="380">
        <f xml:space="preserve">
IF($A$4&lt;=12,SUMIFS('ON Data'!Z:Z,'ON Data'!$D:$D,$A$4,'ON Data'!$E:$E,12),SUMIFS('ON Data'!Z:Z,'ON Data'!$E:$E,12))</f>
        <v>0</v>
      </c>
      <c r="W21" s="380">
        <f xml:space="preserve">
IF($A$4&lt;=12,SUMIFS('ON Data'!AA:AA,'ON Data'!$D:$D,$A$4,'ON Data'!$E:$E,12),SUMIFS('ON Data'!AA:AA,'ON Data'!$E:$E,12))</f>
        <v>0</v>
      </c>
      <c r="X21" s="380">
        <f xml:space="preserve">
IF($A$4&lt;=12,SUMIFS('ON Data'!AB:AB,'ON Data'!$D:$D,$A$4,'ON Data'!$E:$E,12),SUMIFS('ON Data'!AB:AB,'ON Data'!$E:$E,12))</f>
        <v>0</v>
      </c>
      <c r="Y21" s="380">
        <f xml:space="preserve">
IF($A$4&lt;=12,SUMIFS('ON Data'!AC:AC,'ON Data'!$D:$D,$A$4,'ON Data'!$E:$E,12),SUMIFS('ON Data'!AC:AC,'ON Data'!$E:$E,12))</f>
        <v>0</v>
      </c>
      <c r="Z21" s="380">
        <f xml:space="preserve">
IF($A$4&lt;=12,SUMIFS('ON Data'!AD:AD,'ON Data'!$D:$D,$A$4,'ON Data'!$E:$E,12),SUMIFS('ON Data'!AD:AD,'ON Data'!$E:$E,12))</f>
        <v>0</v>
      </c>
      <c r="AA21" s="380"/>
      <c r="AB21" s="380">
        <f xml:space="preserve">
IF($A$4&lt;=12,SUMIFS('ON Data'!AF:AF,'ON Data'!$D:$D,$A$4,'ON Data'!$E:$E,12),SUMIFS('ON Data'!AF:AF,'ON Data'!$E:$E,12))</f>
        <v>0</v>
      </c>
      <c r="AC21" s="380">
        <f xml:space="preserve">
IF($A$4&lt;=12,SUMIFS('ON Data'!AG:AG,'ON Data'!$D:$D,$A$4,'ON Data'!$E:$E,12),SUMIFS('ON Data'!AG:AG,'ON Data'!$E:$E,12))</f>
        <v>0</v>
      </c>
      <c r="AD21" s="380">
        <f xml:space="preserve">
IF($A$4&lt;=12,SUMIFS('ON Data'!AH:AH,'ON Data'!$D:$D,$A$4,'ON Data'!$E:$E,12),SUMIFS('ON Data'!AH:AH,'ON Data'!$E:$E,12))</f>
        <v>0</v>
      </c>
      <c r="AE21" s="380">
        <f xml:space="preserve">
IF($A$4&lt;=12,SUMIFS('ON Data'!AI:AI,'ON Data'!$D:$D,$A$4,'ON Data'!$E:$E,12),SUMIFS('ON Data'!AI:AI,'ON Data'!$E:$E,12))</f>
        <v>0</v>
      </c>
      <c r="AF21" s="380">
        <f xml:space="preserve">
IF($A$4&lt;=12,SUMIFS('ON Data'!AJ:AJ,'ON Data'!$D:$D,$A$4,'ON Data'!$E:$E,12),SUMIFS('ON Data'!AJ:AJ,'ON Data'!$E:$E,12))</f>
        <v>0</v>
      </c>
      <c r="AG21" s="380">
        <f xml:space="preserve">
IF($A$4&lt;=12,SUMIFS('ON Data'!AK:AK,'ON Data'!$D:$D,$A$4,'ON Data'!$E:$E,12),SUMIFS('ON Data'!AK:AK,'ON Data'!$E:$E,12))</f>
        <v>0</v>
      </c>
      <c r="AH21" s="380">
        <f xml:space="preserve">
IF($A$4&lt;=12,SUMIFS('ON Data'!AL:AL,'ON Data'!$D:$D,$A$4,'ON Data'!$E:$E,12),SUMIFS('ON Data'!AL:AL,'ON Data'!$E:$E,12))</f>
        <v>0</v>
      </c>
      <c r="AI21" s="380">
        <f xml:space="preserve">
IF($A$4&lt;=12,SUMIFS('ON Data'!AM:AM,'ON Data'!$D:$D,$A$4,'ON Data'!$E:$E,12),SUMIFS('ON Data'!AM:AM,'ON Data'!$E:$E,12))</f>
        <v>0</v>
      </c>
      <c r="AJ21" s="380">
        <f xml:space="preserve">
IF($A$4&lt;=12,SUMIFS('ON Data'!AN:AN,'ON Data'!$D:$D,$A$4,'ON Data'!$E:$E,12),SUMIFS('ON Data'!AN:AN,'ON Data'!$E:$E,12))</f>
        <v>0</v>
      </c>
      <c r="AK21" s="380">
        <f xml:space="preserve">
IF($A$4&lt;=12,SUMIFS('ON Data'!AO:AO,'ON Data'!$D:$D,$A$4,'ON Data'!$E:$E,12),SUMIFS('ON Data'!AO:AO,'ON Data'!$E:$E,12))</f>
        <v>0</v>
      </c>
      <c r="AL21" s="380">
        <f xml:space="preserve">
IF($A$4&lt;=12,SUMIFS('ON Data'!AP:AP,'ON Data'!$D:$D,$A$4,'ON Data'!$E:$E,12),SUMIFS('ON Data'!AP:AP,'ON Data'!$E:$E,12))</f>
        <v>0</v>
      </c>
      <c r="AM21" s="381">
        <f xml:space="preserve">
IF($A$4&lt;=12,SUMIFS('ON Data'!AQ:AQ,'ON Data'!$D:$D,$A$4,'ON Data'!$E:$E,12),SUMIFS('ON Data'!AQ:AQ,'ON Data'!$E:$E,12))</f>
        <v>0</v>
      </c>
      <c r="AN21" s="475"/>
      <c r="AO21" s="475"/>
      <c r="AP21" s="475"/>
      <c r="AQ21" s="475"/>
      <c r="AR21" s="475"/>
      <c r="AS21" s="475"/>
      <c r="AT21" s="740"/>
    </row>
    <row r="22" spans="1:46" ht="15" hidden="1" outlineLevel="1" thickBot="1" x14ac:dyDescent="0.35">
      <c r="A22" s="358" t="s">
        <v>83</v>
      </c>
      <c r="B22" s="437" t="str">
        <f xml:space="preserve">
IF(OR(B21="",B21=0),"",B20/B21)</f>
        <v/>
      </c>
      <c r="C22" s="438" t="str">
        <f t="shared" ref="C22:I22" si="3" xml:space="preserve">
IF(OR(C21="",C21=0),"",C20/C21)</f>
        <v/>
      </c>
      <c r="D22" s="439" t="str">
        <f t="shared" si="3"/>
        <v/>
      </c>
      <c r="E22" s="439"/>
      <c r="F22" s="439" t="str">
        <f t="shared" si="3"/>
        <v/>
      </c>
      <c r="G22" s="439" t="str">
        <f t="shared" si="3"/>
        <v/>
      </c>
      <c r="H22" s="439" t="str">
        <f t="shared" si="3"/>
        <v/>
      </c>
      <c r="I22" s="439" t="str">
        <f t="shared" si="3"/>
        <v/>
      </c>
      <c r="J22" s="439" t="str">
        <f t="shared" ref="J22:AM22" si="4" xml:space="preserve">
IF(OR(J21="",J21=0),"",J20/J21)</f>
        <v/>
      </c>
      <c r="K22" s="439" t="str">
        <f t="shared" si="4"/>
        <v/>
      </c>
      <c r="L22" s="439" t="str">
        <f t="shared" si="4"/>
        <v/>
      </c>
      <c r="M22" s="439" t="str">
        <f t="shared" si="4"/>
        <v/>
      </c>
      <c r="N22" s="439" t="str">
        <f t="shared" si="4"/>
        <v/>
      </c>
      <c r="O22" s="439" t="str">
        <f t="shared" si="4"/>
        <v/>
      </c>
      <c r="P22" s="439" t="str">
        <f t="shared" si="4"/>
        <v/>
      </c>
      <c r="Q22" s="439" t="str">
        <f t="shared" si="4"/>
        <v/>
      </c>
      <c r="R22" s="439" t="str">
        <f t="shared" si="4"/>
        <v/>
      </c>
      <c r="S22" s="439" t="str">
        <f t="shared" si="4"/>
        <v/>
      </c>
      <c r="T22" s="439" t="str">
        <f t="shared" si="4"/>
        <v/>
      </c>
      <c r="U22" s="439" t="str">
        <f t="shared" si="4"/>
        <v/>
      </c>
      <c r="V22" s="439" t="str">
        <f t="shared" si="4"/>
        <v/>
      </c>
      <c r="W22" s="439" t="str">
        <f t="shared" si="4"/>
        <v/>
      </c>
      <c r="X22" s="439" t="str">
        <f t="shared" si="4"/>
        <v/>
      </c>
      <c r="Y22" s="439" t="str">
        <f t="shared" si="4"/>
        <v/>
      </c>
      <c r="Z22" s="439" t="str">
        <f t="shared" si="4"/>
        <v/>
      </c>
      <c r="AA22" s="439"/>
      <c r="AB22" s="439" t="str">
        <f t="shared" si="4"/>
        <v/>
      </c>
      <c r="AC22" s="439" t="str">
        <f t="shared" si="4"/>
        <v/>
      </c>
      <c r="AD22" s="439" t="str">
        <f t="shared" si="4"/>
        <v/>
      </c>
      <c r="AE22" s="439" t="str">
        <f t="shared" si="4"/>
        <v/>
      </c>
      <c r="AF22" s="439" t="str">
        <f t="shared" si="4"/>
        <v/>
      </c>
      <c r="AG22" s="439" t="str">
        <f t="shared" si="4"/>
        <v/>
      </c>
      <c r="AH22" s="439" t="str">
        <f t="shared" si="4"/>
        <v/>
      </c>
      <c r="AI22" s="439" t="str">
        <f t="shared" si="4"/>
        <v/>
      </c>
      <c r="AJ22" s="439" t="str">
        <f t="shared" si="4"/>
        <v/>
      </c>
      <c r="AK22" s="439" t="str">
        <f t="shared" si="4"/>
        <v/>
      </c>
      <c r="AL22" s="439" t="str">
        <f t="shared" si="4"/>
        <v/>
      </c>
      <c r="AM22" s="440" t="str">
        <f t="shared" si="4"/>
        <v/>
      </c>
      <c r="AN22" s="475"/>
      <c r="AO22" s="475"/>
      <c r="AP22" s="475"/>
      <c r="AQ22" s="475"/>
      <c r="AR22" s="475"/>
      <c r="AS22" s="475"/>
      <c r="AT22" s="740"/>
    </row>
    <row r="23" spans="1:46" ht="15" hidden="1" outlineLevel="1" thickBot="1" x14ac:dyDescent="0.35">
      <c r="A23" s="366" t="s">
        <v>56</v>
      </c>
      <c r="B23" s="382">
        <f xml:space="preserve">
IF(B21="","",B20-B21)</f>
        <v>5281971</v>
      </c>
      <c r="C23" s="383">
        <f t="shared" ref="C23:I23" si="5" xml:space="preserve">
IF(C21="","",C20-C21)</f>
        <v>0</v>
      </c>
      <c r="D23" s="384">
        <f t="shared" si="5"/>
        <v>0</v>
      </c>
      <c r="E23" s="384"/>
      <c r="F23" s="384">
        <f t="shared" si="5"/>
        <v>0</v>
      </c>
      <c r="G23" s="384">
        <f t="shared" si="5"/>
        <v>99672</v>
      </c>
      <c r="H23" s="384">
        <f t="shared" si="5"/>
        <v>1313313</v>
      </c>
      <c r="I23" s="384">
        <f t="shared" si="5"/>
        <v>0</v>
      </c>
      <c r="J23" s="384">
        <f t="shared" ref="J23:AM23" si="6" xml:space="preserve">
IF(J21="","",J20-J21)</f>
        <v>0</v>
      </c>
      <c r="K23" s="384">
        <f t="shared" si="6"/>
        <v>0</v>
      </c>
      <c r="L23" s="384">
        <f t="shared" si="6"/>
        <v>0</v>
      </c>
      <c r="M23" s="384">
        <f t="shared" si="6"/>
        <v>1177115</v>
      </c>
      <c r="N23" s="384">
        <f t="shared" si="6"/>
        <v>1562541</v>
      </c>
      <c r="O23" s="384">
        <f t="shared" si="6"/>
        <v>725759</v>
      </c>
      <c r="P23" s="384">
        <f t="shared" si="6"/>
        <v>0</v>
      </c>
      <c r="Q23" s="384">
        <f t="shared" si="6"/>
        <v>0</v>
      </c>
      <c r="R23" s="384">
        <f t="shared" si="6"/>
        <v>0</v>
      </c>
      <c r="S23" s="384">
        <f t="shared" si="6"/>
        <v>0</v>
      </c>
      <c r="T23" s="384">
        <f t="shared" si="6"/>
        <v>0</v>
      </c>
      <c r="U23" s="384">
        <f t="shared" si="6"/>
        <v>0</v>
      </c>
      <c r="V23" s="384">
        <f t="shared" si="6"/>
        <v>0</v>
      </c>
      <c r="W23" s="384">
        <f t="shared" si="6"/>
        <v>0</v>
      </c>
      <c r="X23" s="384">
        <f t="shared" si="6"/>
        <v>0</v>
      </c>
      <c r="Y23" s="384">
        <f t="shared" si="6"/>
        <v>0</v>
      </c>
      <c r="Z23" s="384">
        <f t="shared" si="6"/>
        <v>0</v>
      </c>
      <c r="AA23" s="384"/>
      <c r="AB23" s="384">
        <f t="shared" si="6"/>
        <v>0</v>
      </c>
      <c r="AC23" s="384">
        <f t="shared" si="6"/>
        <v>0</v>
      </c>
      <c r="AD23" s="384">
        <f t="shared" si="6"/>
        <v>0</v>
      </c>
      <c r="AE23" s="384">
        <f t="shared" si="6"/>
        <v>0</v>
      </c>
      <c r="AF23" s="384">
        <f t="shared" si="6"/>
        <v>0</v>
      </c>
      <c r="AG23" s="384">
        <f t="shared" si="6"/>
        <v>0</v>
      </c>
      <c r="AH23" s="384">
        <f t="shared" si="6"/>
        <v>0</v>
      </c>
      <c r="AI23" s="384">
        <f t="shared" si="6"/>
        <v>0</v>
      </c>
      <c r="AJ23" s="384">
        <f t="shared" si="6"/>
        <v>0</v>
      </c>
      <c r="AK23" s="384">
        <f t="shared" si="6"/>
        <v>0</v>
      </c>
      <c r="AL23" s="384">
        <f t="shared" si="6"/>
        <v>0</v>
      </c>
      <c r="AM23" s="385">
        <f t="shared" si="6"/>
        <v>171784</v>
      </c>
      <c r="AN23" s="475"/>
      <c r="AO23" s="475"/>
      <c r="AP23" s="475"/>
      <c r="AQ23" s="475"/>
      <c r="AR23" s="475"/>
      <c r="AS23" s="475"/>
      <c r="AT23" s="740"/>
    </row>
    <row r="24" spans="1:46" x14ac:dyDescent="0.3">
      <c r="A24" s="360" t="s">
        <v>214</v>
      </c>
      <c r="B24" s="409" t="s">
        <v>3</v>
      </c>
      <c r="C24" s="741" t="s">
        <v>226</v>
      </c>
      <c r="D24" s="712"/>
      <c r="E24" s="713"/>
      <c r="F24" s="714" t="s">
        <v>319</v>
      </c>
      <c r="G24" s="715"/>
      <c r="H24" s="715"/>
      <c r="I24" s="715"/>
      <c r="J24" s="715"/>
      <c r="K24" s="715"/>
      <c r="L24" s="714" t="s">
        <v>225</v>
      </c>
      <c r="M24" s="713"/>
      <c r="N24" s="713"/>
      <c r="O24" s="713"/>
      <c r="P24" s="713"/>
      <c r="Q24" s="713"/>
      <c r="R24" s="713"/>
      <c r="S24" s="713"/>
      <c r="T24" s="713"/>
      <c r="U24" s="713"/>
      <c r="V24" s="713"/>
      <c r="W24" s="713"/>
      <c r="X24" s="713"/>
      <c r="Y24" s="713"/>
      <c r="Z24" s="713"/>
      <c r="AA24" s="713"/>
      <c r="AB24" s="713"/>
      <c r="AC24" s="713"/>
      <c r="AD24" s="713"/>
      <c r="AE24" s="713"/>
      <c r="AF24" s="713"/>
      <c r="AG24" s="713"/>
      <c r="AH24" s="713"/>
      <c r="AI24" s="713"/>
      <c r="AJ24" s="713"/>
      <c r="AK24" s="713"/>
      <c r="AL24" s="713"/>
      <c r="AM24" s="713"/>
      <c r="AN24" s="713"/>
      <c r="AO24" s="713"/>
      <c r="AP24" s="713"/>
      <c r="AQ24" s="714" t="s">
        <v>320</v>
      </c>
      <c r="AR24" s="713"/>
      <c r="AS24" s="736"/>
      <c r="AT24" s="740"/>
    </row>
    <row r="25" spans="1:46" x14ac:dyDescent="0.3">
      <c r="A25" s="361" t="s">
        <v>81</v>
      </c>
      <c r="B25" s="378">
        <f xml:space="preserve">
SUM(C25:AS25)</f>
        <v>19176</v>
      </c>
      <c r="C25" s="742">
        <f xml:space="preserve">
IF($A$4&lt;=12,SUMIFS('ON Data'!$I:$I,'ON Data'!$D:$D,$A$4,'ON Data'!$E:$E,10),SUMIFS('ON Data'!$I:$I,'ON Data'!$E:$E,10))</f>
        <v>0</v>
      </c>
      <c r="D25" s="716"/>
      <c r="E25" s="717"/>
      <c r="F25" s="718">
        <f xml:space="preserve">
IF($A$4&lt;=12,SUMIFS('ON Data'!K:K,'ON Data'!$D:$D,$A$4,'ON Data'!$E:$E,10),SUMIFS('ON Data'!K:K,'ON Data'!$E:$E,10))</f>
        <v>0</v>
      </c>
      <c r="G25" s="717"/>
      <c r="H25" s="717"/>
      <c r="I25" s="717"/>
      <c r="J25" s="717"/>
      <c r="K25" s="717"/>
      <c r="L25" s="718">
        <f xml:space="preserve">
IF($A$4&lt;=12,SUMIFS('ON Data'!P:P,'ON Data'!$D:$D,$A$4,'ON Data'!$E:$E,10),SUMIFS('ON Data'!P:P,'ON Data'!$E:$E,10))</f>
        <v>19176</v>
      </c>
      <c r="M25" s="717"/>
      <c r="N25" s="717"/>
      <c r="O25" s="717"/>
      <c r="P25" s="717"/>
      <c r="Q25" s="717"/>
      <c r="R25" s="717"/>
      <c r="S25" s="717"/>
      <c r="T25" s="717"/>
      <c r="U25" s="717"/>
      <c r="V25" s="717"/>
      <c r="W25" s="717"/>
      <c r="X25" s="717"/>
      <c r="Y25" s="717"/>
      <c r="Z25" s="717"/>
      <c r="AA25" s="717"/>
      <c r="AB25" s="717"/>
      <c r="AC25" s="717"/>
      <c r="AD25" s="717"/>
      <c r="AE25" s="717"/>
      <c r="AF25" s="717"/>
      <c r="AG25" s="717"/>
      <c r="AH25" s="717"/>
      <c r="AI25" s="717"/>
      <c r="AJ25" s="717"/>
      <c r="AK25" s="717"/>
      <c r="AL25" s="717"/>
      <c r="AM25" s="717"/>
      <c r="AN25" s="717"/>
      <c r="AO25" s="717"/>
      <c r="AP25" s="717"/>
      <c r="AQ25" s="718">
        <f xml:space="preserve">
IF($A$4&lt;=12,SUMIFS('ON Data'!AW:AW,'ON Data'!$D:$D,$A$4,'ON Data'!$E:$E,10),SUMIFS('ON Data'!AW:AW,'ON Data'!$E:$E,10))</f>
        <v>0</v>
      </c>
      <c r="AR25" s="717"/>
      <c r="AS25" s="737"/>
      <c r="AT25" s="740"/>
    </row>
    <row r="26" spans="1:46" x14ac:dyDescent="0.3">
      <c r="A26" s="367" t="s">
        <v>224</v>
      </c>
      <c r="B26" s="389">
        <f xml:space="preserve">
SUM(C26:AS26)</f>
        <v>20966.983374110041</v>
      </c>
      <c r="C26" s="742">
        <f xml:space="preserve">
IF($A$4&lt;=12,SUMIFS('ON Data'!$I:$I,'ON Data'!$D:$D,$A$4,'ON Data'!$E:$E,11),SUMIFS('ON Data'!$I:$I,'ON Data'!$E:$E,11))</f>
        <v>0</v>
      </c>
      <c r="D26" s="716"/>
      <c r="E26" s="717"/>
      <c r="F26" s="718">
        <f xml:space="preserve">
IF($A$4&lt;=12,SUMIFS('ON Data'!K:K,'ON Data'!$D:$D,$A$4,'ON Data'!$E:$E,11),SUMIFS('ON Data'!K:K,'ON Data'!$E:$E,11))</f>
        <v>4300.3167074433741</v>
      </c>
      <c r="G26" s="717"/>
      <c r="H26" s="717"/>
      <c r="I26" s="717"/>
      <c r="J26" s="717"/>
      <c r="K26" s="717"/>
      <c r="L26" s="719">
        <f xml:space="preserve">
IF($A$4&lt;=12,SUMIFS('ON Data'!P:P,'ON Data'!$D:$D,$A$4,'ON Data'!$E:$E,11),SUMIFS('ON Data'!P:P,'ON Data'!$E:$E,11))</f>
        <v>16666.666666666668</v>
      </c>
      <c r="M26" s="720"/>
      <c r="N26" s="720"/>
      <c r="O26" s="720"/>
      <c r="P26" s="720"/>
      <c r="Q26" s="720"/>
      <c r="R26" s="720"/>
      <c r="S26" s="720"/>
      <c r="T26" s="720"/>
      <c r="U26" s="720"/>
      <c r="V26" s="720"/>
      <c r="W26" s="720"/>
      <c r="X26" s="720"/>
      <c r="Y26" s="720"/>
      <c r="Z26" s="720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19">
        <f xml:space="preserve">
IF($A$4&lt;=12,SUMIFS('ON Data'!AW:AW,'ON Data'!$D:$D,$A$4,'ON Data'!$E:$E,11),SUMIFS('ON Data'!AW:AW,'ON Data'!$E:$E,11))</f>
        <v>0</v>
      </c>
      <c r="AR26" s="720"/>
      <c r="AS26" s="738"/>
      <c r="AT26" s="740"/>
    </row>
    <row r="27" spans="1:46" x14ac:dyDescent="0.3">
      <c r="A27" s="367" t="s">
        <v>83</v>
      </c>
      <c r="B27" s="410">
        <f xml:space="preserve">
IF(B26=0,0,B25/B26)</f>
        <v>0.91458077959266471</v>
      </c>
      <c r="C27" s="743">
        <f xml:space="preserve">
IF(C26=0,0,C25/C26)</f>
        <v>0</v>
      </c>
      <c r="D27" s="716"/>
      <c r="E27" s="717"/>
      <c r="F27" s="721">
        <f xml:space="preserve">
IF(F26=0,0,F25/F26)</f>
        <v>0</v>
      </c>
      <c r="G27" s="717"/>
      <c r="H27" s="717"/>
      <c r="I27" s="717"/>
      <c r="J27" s="717"/>
      <c r="K27" s="717"/>
      <c r="L27" s="721">
        <f xml:space="preserve">
IF(L26=0,0,L25/L26)</f>
        <v>1.15056</v>
      </c>
      <c r="M27" s="717"/>
      <c r="N27" s="717"/>
      <c r="O27" s="717"/>
      <c r="P27" s="717"/>
      <c r="Q27" s="717"/>
      <c r="R27" s="717"/>
      <c r="S27" s="717"/>
      <c r="T27" s="717"/>
      <c r="U27" s="717"/>
      <c r="V27" s="717"/>
      <c r="W27" s="717"/>
      <c r="X27" s="717"/>
      <c r="Y27" s="717"/>
      <c r="Z27" s="717"/>
      <c r="AA27" s="717"/>
      <c r="AB27" s="717"/>
      <c r="AC27" s="717"/>
      <c r="AD27" s="717"/>
      <c r="AE27" s="717"/>
      <c r="AF27" s="717"/>
      <c r="AG27" s="717"/>
      <c r="AH27" s="717"/>
      <c r="AI27" s="717"/>
      <c r="AJ27" s="717"/>
      <c r="AK27" s="717"/>
      <c r="AL27" s="717"/>
      <c r="AM27" s="717"/>
      <c r="AN27" s="717"/>
      <c r="AO27" s="717"/>
      <c r="AP27" s="717"/>
      <c r="AQ27" s="721">
        <f xml:space="preserve">
IF(AQ26=0,0,AQ25/AQ26)</f>
        <v>0</v>
      </c>
      <c r="AR27" s="717"/>
      <c r="AS27" s="737"/>
      <c r="AT27" s="740"/>
    </row>
    <row r="28" spans="1:46" ht="15" thickBot="1" x14ac:dyDescent="0.35">
      <c r="A28" s="367" t="s">
        <v>223</v>
      </c>
      <c r="B28" s="389">
        <f xml:space="preserve">
SUM(C28:AS28)</f>
        <v>1790.983374110042</v>
      </c>
      <c r="C28" s="744">
        <f xml:space="preserve">
C26-C25</f>
        <v>0</v>
      </c>
      <c r="D28" s="722"/>
      <c r="E28" s="723"/>
      <c r="F28" s="724">
        <f xml:space="preserve">
F26-F25</f>
        <v>4300.3167074433741</v>
      </c>
      <c r="G28" s="723"/>
      <c r="H28" s="723"/>
      <c r="I28" s="723"/>
      <c r="J28" s="723"/>
      <c r="K28" s="723"/>
      <c r="L28" s="724">
        <f xml:space="preserve">
L26-L25</f>
        <v>-2509.3333333333321</v>
      </c>
      <c r="M28" s="723"/>
      <c r="N28" s="723"/>
      <c r="O28" s="723"/>
      <c r="P28" s="723"/>
      <c r="Q28" s="723"/>
      <c r="R28" s="723"/>
      <c r="S28" s="723"/>
      <c r="T28" s="723"/>
      <c r="U28" s="723"/>
      <c r="V28" s="723"/>
      <c r="W28" s="723"/>
      <c r="X28" s="723"/>
      <c r="Y28" s="723"/>
      <c r="Z28" s="723"/>
      <c r="AA28" s="723"/>
      <c r="AB28" s="723"/>
      <c r="AC28" s="723"/>
      <c r="AD28" s="723"/>
      <c r="AE28" s="723"/>
      <c r="AF28" s="723"/>
      <c r="AG28" s="723"/>
      <c r="AH28" s="723"/>
      <c r="AI28" s="723"/>
      <c r="AJ28" s="723"/>
      <c r="AK28" s="723"/>
      <c r="AL28" s="723"/>
      <c r="AM28" s="723"/>
      <c r="AN28" s="723"/>
      <c r="AO28" s="723"/>
      <c r="AP28" s="723"/>
      <c r="AQ28" s="724">
        <f xml:space="preserve">
AQ26-AQ25</f>
        <v>0</v>
      </c>
      <c r="AR28" s="723"/>
      <c r="AS28" s="739"/>
      <c r="AT28" s="740"/>
    </row>
    <row r="29" spans="1:46" x14ac:dyDescent="0.3">
      <c r="A29" s="368"/>
      <c r="B29" s="368"/>
      <c r="C29" s="369"/>
      <c r="D29" s="368"/>
      <c r="E29" s="368"/>
      <c r="F29" s="368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8"/>
      <c r="AJ29" s="368"/>
      <c r="AK29" s="368"/>
      <c r="AL29" s="368"/>
      <c r="AM29" s="368"/>
    </row>
    <row r="30" spans="1:46" x14ac:dyDescent="0.3">
      <c r="A30" s="206" t="s">
        <v>177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52"/>
      <c r="AL30" s="252"/>
      <c r="AM30" s="252"/>
    </row>
    <row r="31" spans="1:46" x14ac:dyDescent="0.3">
      <c r="A31" s="207" t="s">
        <v>221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52"/>
      <c r="AL31" s="252"/>
      <c r="AM31" s="252"/>
    </row>
    <row r="32" spans="1:46" ht="14.4" customHeight="1" x14ac:dyDescent="0.3">
      <c r="A32" s="406" t="s">
        <v>218</v>
      </c>
      <c r="B32" s="407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7"/>
    </row>
    <row r="33" spans="1:1" x14ac:dyDescent="0.3">
      <c r="A33" s="408" t="s">
        <v>315</v>
      </c>
    </row>
    <row r="34" spans="1:1" x14ac:dyDescent="0.3">
      <c r="A34" s="408" t="s">
        <v>316</v>
      </c>
    </row>
    <row r="35" spans="1:1" x14ac:dyDescent="0.3">
      <c r="A35" s="408" t="s">
        <v>317</v>
      </c>
    </row>
    <row r="36" spans="1:1" x14ac:dyDescent="0.3">
      <c r="A36" s="408" t="s">
        <v>318</v>
      </c>
    </row>
    <row r="37" spans="1:1" x14ac:dyDescent="0.3">
      <c r="A37" s="408" t="s">
        <v>227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28" priority="12" operator="greaterThan">
      <formula>1</formula>
    </cfRule>
  </conditionalFormatting>
  <conditionalFormatting sqref="C28">
    <cfRule type="cellIs" dxfId="27" priority="11" operator="lessThan">
      <formula>0</formula>
    </cfRule>
  </conditionalFormatting>
  <conditionalFormatting sqref="B22:AM22">
    <cfRule type="cellIs" dxfId="26" priority="10" operator="greaterThan">
      <formula>1</formula>
    </cfRule>
  </conditionalFormatting>
  <conditionalFormatting sqref="B23:AM23">
    <cfRule type="cellIs" dxfId="25" priority="9" operator="greaterThan">
      <formula>0</formula>
    </cfRule>
  </conditionalFormatting>
  <conditionalFormatting sqref="L28">
    <cfRule type="cellIs" dxfId="24" priority="5" operator="lessThan">
      <formula>0</formula>
    </cfRule>
  </conditionalFormatting>
  <conditionalFormatting sqref="L27">
    <cfRule type="cellIs" dxfId="23" priority="6" operator="greaterThan">
      <formula>1</formula>
    </cfRule>
  </conditionalFormatting>
  <conditionalFormatting sqref="F27">
    <cfRule type="cellIs" dxfId="22" priority="4" operator="greaterThan">
      <formula>1</formula>
    </cfRule>
  </conditionalFormatting>
  <conditionalFormatting sqref="F28">
    <cfRule type="cellIs" dxfId="21" priority="3" operator="lessThan">
      <formula>0</formula>
    </cfRule>
  </conditionalFormatting>
  <conditionalFormatting sqref="AQ28">
    <cfRule type="cellIs" dxfId="20" priority="1" operator="lessThan">
      <formula>0</formula>
    </cfRule>
  </conditionalFormatting>
  <conditionalFormatting sqref="AQ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1"/>
  <sheetViews>
    <sheetView showGridLines="0" showRowColHeaders="0" workbookViewId="0"/>
  </sheetViews>
  <sheetFormatPr defaultRowHeight="14.4" x14ac:dyDescent="0.3"/>
  <cols>
    <col min="1" max="16384" width="8.88671875" style="347"/>
  </cols>
  <sheetData>
    <row r="1" spans="1:49" x14ac:dyDescent="0.3">
      <c r="A1" s="347" t="s">
        <v>1953</v>
      </c>
    </row>
    <row r="2" spans="1:49" x14ac:dyDescent="0.3">
      <c r="A2" s="351" t="s">
        <v>322</v>
      </c>
    </row>
    <row r="3" spans="1:49" x14ac:dyDescent="0.3">
      <c r="A3" s="347" t="s">
        <v>186</v>
      </c>
      <c r="B3" s="372">
        <v>2017</v>
      </c>
      <c r="D3" s="348">
        <f>MAX(D5:D1048576)</f>
        <v>2</v>
      </c>
      <c r="F3" s="348">
        <f>SUMIF($E5:$E1048576,"&lt;10",F5:F1048576)</f>
        <v>5322140.76</v>
      </c>
      <c r="G3" s="348">
        <f t="shared" ref="G3:AW3" si="0">SUMIF($E5:$E1048576,"&lt;10",G5:G1048576)</f>
        <v>0</v>
      </c>
      <c r="H3" s="348">
        <f t="shared" si="0"/>
        <v>0</v>
      </c>
      <c r="I3" s="348">
        <f t="shared" si="0"/>
        <v>56558</v>
      </c>
      <c r="J3" s="348">
        <f t="shared" si="0"/>
        <v>0</v>
      </c>
      <c r="K3" s="348">
        <f t="shared" si="0"/>
        <v>100004</v>
      </c>
      <c r="L3" s="348">
        <f t="shared" si="0"/>
        <v>1315836.3500000001</v>
      </c>
      <c r="M3" s="348">
        <f t="shared" si="0"/>
        <v>0</v>
      </c>
      <c r="N3" s="348">
        <f t="shared" si="0"/>
        <v>0</v>
      </c>
      <c r="O3" s="348">
        <f t="shared" si="0"/>
        <v>0</v>
      </c>
      <c r="P3" s="348">
        <f t="shared" si="0"/>
        <v>0</v>
      </c>
      <c r="Q3" s="348">
        <f t="shared" si="0"/>
        <v>1193026.25</v>
      </c>
      <c r="R3" s="348">
        <f t="shared" si="0"/>
        <v>1571679.8900000001</v>
      </c>
      <c r="S3" s="348">
        <f t="shared" si="0"/>
        <v>735698.27</v>
      </c>
      <c r="T3" s="348">
        <f t="shared" si="0"/>
        <v>0</v>
      </c>
      <c r="U3" s="348">
        <f t="shared" si="0"/>
        <v>0</v>
      </c>
      <c r="V3" s="348">
        <f t="shared" si="0"/>
        <v>0</v>
      </c>
      <c r="W3" s="348">
        <f t="shared" si="0"/>
        <v>0</v>
      </c>
      <c r="X3" s="348">
        <f t="shared" si="0"/>
        <v>0</v>
      </c>
      <c r="Y3" s="348">
        <f t="shared" si="0"/>
        <v>0</v>
      </c>
      <c r="Z3" s="348">
        <f t="shared" si="0"/>
        <v>0</v>
      </c>
      <c r="AA3" s="348">
        <f t="shared" si="0"/>
        <v>0</v>
      </c>
      <c r="AB3" s="348">
        <f t="shared" si="0"/>
        <v>0</v>
      </c>
      <c r="AC3" s="348">
        <f t="shared" si="0"/>
        <v>0</v>
      </c>
      <c r="AD3" s="348">
        <f t="shared" si="0"/>
        <v>0</v>
      </c>
      <c r="AE3" s="348">
        <f t="shared" si="0"/>
        <v>0</v>
      </c>
      <c r="AF3" s="348">
        <f t="shared" si="0"/>
        <v>0</v>
      </c>
      <c r="AG3" s="348">
        <f t="shared" si="0"/>
        <v>0</v>
      </c>
      <c r="AH3" s="348">
        <f t="shared" si="0"/>
        <v>0</v>
      </c>
      <c r="AI3" s="348">
        <f t="shared" si="0"/>
        <v>0</v>
      </c>
      <c r="AJ3" s="348">
        <f t="shared" si="0"/>
        <v>0</v>
      </c>
      <c r="AK3" s="348">
        <f t="shared" si="0"/>
        <v>0</v>
      </c>
      <c r="AL3" s="348">
        <f t="shared" si="0"/>
        <v>0</v>
      </c>
      <c r="AM3" s="348">
        <f t="shared" si="0"/>
        <v>0</v>
      </c>
      <c r="AN3" s="348">
        <f t="shared" si="0"/>
        <v>0</v>
      </c>
      <c r="AO3" s="348">
        <f t="shared" si="0"/>
        <v>0</v>
      </c>
      <c r="AP3" s="348">
        <f t="shared" si="0"/>
        <v>0</v>
      </c>
      <c r="AQ3" s="348">
        <f t="shared" si="0"/>
        <v>172689.5</v>
      </c>
      <c r="AR3" s="348">
        <f t="shared" si="0"/>
        <v>0</v>
      </c>
      <c r="AS3" s="348">
        <f t="shared" si="0"/>
        <v>0</v>
      </c>
      <c r="AT3" s="348">
        <f t="shared" si="0"/>
        <v>176648.5</v>
      </c>
      <c r="AU3" s="348">
        <f t="shared" si="0"/>
        <v>0</v>
      </c>
      <c r="AV3" s="348">
        <f t="shared" si="0"/>
        <v>0</v>
      </c>
      <c r="AW3" s="348">
        <f t="shared" si="0"/>
        <v>0</v>
      </c>
    </row>
    <row r="4" spans="1:49" x14ac:dyDescent="0.3">
      <c r="A4" s="347" t="s">
        <v>187</v>
      </c>
      <c r="B4" s="372">
        <v>1</v>
      </c>
      <c r="C4" s="349" t="s">
        <v>5</v>
      </c>
      <c r="D4" s="350" t="s">
        <v>55</v>
      </c>
      <c r="E4" s="350" t="s">
        <v>185</v>
      </c>
      <c r="F4" s="350" t="s">
        <v>3</v>
      </c>
      <c r="G4" s="350">
        <v>0</v>
      </c>
      <c r="H4" s="350">
        <v>25</v>
      </c>
      <c r="I4" s="350">
        <v>30</v>
      </c>
      <c r="J4" s="350">
        <v>99</v>
      </c>
      <c r="K4" s="350">
        <v>100</v>
      </c>
      <c r="L4" s="350">
        <v>101</v>
      </c>
      <c r="M4" s="350">
        <v>102</v>
      </c>
      <c r="N4" s="350">
        <v>103</v>
      </c>
      <c r="O4" s="350">
        <v>203</v>
      </c>
      <c r="P4" s="350">
        <v>302</v>
      </c>
      <c r="Q4" s="350">
        <v>303</v>
      </c>
      <c r="R4" s="350">
        <v>304</v>
      </c>
      <c r="S4" s="350">
        <v>305</v>
      </c>
      <c r="T4" s="350">
        <v>306</v>
      </c>
      <c r="U4" s="350">
        <v>407</v>
      </c>
      <c r="V4" s="350">
        <v>408</v>
      </c>
      <c r="W4" s="350">
        <v>409</v>
      </c>
      <c r="X4" s="350">
        <v>410</v>
      </c>
      <c r="Y4" s="350">
        <v>415</v>
      </c>
      <c r="Z4" s="350">
        <v>416</v>
      </c>
      <c r="AA4" s="350">
        <v>418</v>
      </c>
      <c r="AB4" s="350">
        <v>419</v>
      </c>
      <c r="AC4" s="350">
        <v>420</v>
      </c>
      <c r="AD4" s="350">
        <v>421</v>
      </c>
      <c r="AE4" s="350">
        <v>422</v>
      </c>
      <c r="AF4" s="350">
        <v>520</v>
      </c>
      <c r="AG4" s="350">
        <v>521</v>
      </c>
      <c r="AH4" s="350">
        <v>522</v>
      </c>
      <c r="AI4" s="350">
        <v>523</v>
      </c>
      <c r="AJ4" s="350">
        <v>524</v>
      </c>
      <c r="AK4" s="350">
        <v>525</v>
      </c>
      <c r="AL4" s="350">
        <v>526</v>
      </c>
      <c r="AM4" s="350">
        <v>527</v>
      </c>
      <c r="AN4" s="350">
        <v>528</v>
      </c>
      <c r="AO4" s="350">
        <v>629</v>
      </c>
      <c r="AP4" s="350">
        <v>630</v>
      </c>
      <c r="AQ4" s="350">
        <v>636</v>
      </c>
      <c r="AR4" s="350">
        <v>637</v>
      </c>
      <c r="AS4" s="350">
        <v>640</v>
      </c>
      <c r="AT4" s="350">
        <v>642</v>
      </c>
      <c r="AU4" s="350">
        <v>743</v>
      </c>
      <c r="AV4" s="350">
        <v>745</v>
      </c>
      <c r="AW4" s="350">
        <v>746</v>
      </c>
    </row>
    <row r="5" spans="1:49" x14ac:dyDescent="0.3">
      <c r="A5" s="347" t="s">
        <v>188</v>
      </c>
      <c r="B5" s="372">
        <v>2</v>
      </c>
      <c r="C5" s="347">
        <v>59</v>
      </c>
      <c r="D5" s="347">
        <v>1</v>
      </c>
      <c r="E5" s="347">
        <v>1</v>
      </c>
      <c r="F5" s="347">
        <v>61.3</v>
      </c>
      <c r="G5" s="347">
        <v>0</v>
      </c>
      <c r="H5" s="347">
        <v>0</v>
      </c>
      <c r="I5" s="347">
        <v>1</v>
      </c>
      <c r="J5" s="347">
        <v>0</v>
      </c>
      <c r="K5" s="347">
        <v>1</v>
      </c>
      <c r="L5" s="347">
        <v>7.55</v>
      </c>
      <c r="M5" s="347">
        <v>0</v>
      </c>
      <c r="N5" s="347">
        <v>0</v>
      </c>
      <c r="O5" s="347">
        <v>0</v>
      </c>
      <c r="P5" s="347">
        <v>0</v>
      </c>
      <c r="Q5" s="347">
        <v>18.5</v>
      </c>
      <c r="R5" s="347">
        <v>19</v>
      </c>
      <c r="S5" s="347">
        <v>8.25</v>
      </c>
      <c r="T5" s="347">
        <v>0</v>
      </c>
      <c r="U5" s="347">
        <v>0</v>
      </c>
      <c r="V5" s="347">
        <v>0</v>
      </c>
      <c r="W5" s="347">
        <v>0</v>
      </c>
      <c r="X5" s="347">
        <v>0</v>
      </c>
      <c r="Y5" s="347">
        <v>0</v>
      </c>
      <c r="Z5" s="347">
        <v>0</v>
      </c>
      <c r="AA5" s="347">
        <v>0</v>
      </c>
      <c r="AB5" s="347">
        <v>0</v>
      </c>
      <c r="AC5" s="347">
        <v>0</v>
      </c>
      <c r="AD5" s="347">
        <v>0</v>
      </c>
      <c r="AE5" s="347">
        <v>0</v>
      </c>
      <c r="AF5" s="347">
        <v>0</v>
      </c>
      <c r="AG5" s="347">
        <v>0</v>
      </c>
      <c r="AH5" s="347">
        <v>0</v>
      </c>
      <c r="AI5" s="347">
        <v>0</v>
      </c>
      <c r="AJ5" s="347">
        <v>0</v>
      </c>
      <c r="AK5" s="347">
        <v>0</v>
      </c>
      <c r="AL5" s="347">
        <v>0</v>
      </c>
      <c r="AM5" s="347">
        <v>0</v>
      </c>
      <c r="AN5" s="347">
        <v>0</v>
      </c>
      <c r="AO5" s="347">
        <v>0</v>
      </c>
      <c r="AP5" s="347">
        <v>0</v>
      </c>
      <c r="AQ5" s="347">
        <v>3</v>
      </c>
      <c r="AR5" s="347">
        <v>0</v>
      </c>
      <c r="AS5" s="347">
        <v>0</v>
      </c>
      <c r="AT5" s="347">
        <v>3</v>
      </c>
      <c r="AU5" s="347">
        <v>0</v>
      </c>
      <c r="AV5" s="347">
        <v>0</v>
      </c>
      <c r="AW5" s="347">
        <v>0</v>
      </c>
    </row>
    <row r="6" spans="1:49" x14ac:dyDescent="0.3">
      <c r="A6" s="347" t="s">
        <v>189</v>
      </c>
      <c r="B6" s="372">
        <v>3</v>
      </c>
      <c r="C6" s="347">
        <v>59</v>
      </c>
      <c r="D6" s="347">
        <v>1</v>
      </c>
      <c r="E6" s="347">
        <v>2</v>
      </c>
      <c r="F6" s="347">
        <v>9236.6200000000008</v>
      </c>
      <c r="G6" s="347">
        <v>0</v>
      </c>
      <c r="H6" s="347">
        <v>0</v>
      </c>
      <c r="I6" s="347">
        <v>176</v>
      </c>
      <c r="J6" s="347">
        <v>0</v>
      </c>
      <c r="K6" s="347">
        <v>147</v>
      </c>
      <c r="L6" s="347">
        <v>1239.77</v>
      </c>
      <c r="M6" s="347">
        <v>0</v>
      </c>
      <c r="N6" s="347">
        <v>0</v>
      </c>
      <c r="O6" s="347">
        <v>0</v>
      </c>
      <c r="P6" s="347">
        <v>0</v>
      </c>
      <c r="Q6" s="347">
        <v>2886</v>
      </c>
      <c r="R6" s="347">
        <v>2713.08</v>
      </c>
      <c r="S6" s="347">
        <v>1167.27</v>
      </c>
      <c r="T6" s="347">
        <v>0</v>
      </c>
      <c r="U6" s="347">
        <v>0</v>
      </c>
      <c r="V6" s="347">
        <v>0</v>
      </c>
      <c r="W6" s="347">
        <v>0</v>
      </c>
      <c r="X6" s="347">
        <v>0</v>
      </c>
      <c r="Y6" s="347">
        <v>0</v>
      </c>
      <c r="Z6" s="347">
        <v>0</v>
      </c>
      <c r="AA6" s="347">
        <v>0</v>
      </c>
      <c r="AB6" s="347">
        <v>0</v>
      </c>
      <c r="AC6" s="347">
        <v>0</v>
      </c>
      <c r="AD6" s="347">
        <v>0</v>
      </c>
      <c r="AE6" s="347">
        <v>0</v>
      </c>
      <c r="AF6" s="347">
        <v>0</v>
      </c>
      <c r="AG6" s="347">
        <v>0</v>
      </c>
      <c r="AH6" s="347">
        <v>0</v>
      </c>
      <c r="AI6" s="347">
        <v>0</v>
      </c>
      <c r="AJ6" s="347">
        <v>0</v>
      </c>
      <c r="AK6" s="347">
        <v>0</v>
      </c>
      <c r="AL6" s="347">
        <v>0</v>
      </c>
      <c r="AM6" s="347">
        <v>0</v>
      </c>
      <c r="AN6" s="347">
        <v>0</v>
      </c>
      <c r="AO6" s="347">
        <v>0</v>
      </c>
      <c r="AP6" s="347">
        <v>0</v>
      </c>
      <c r="AQ6" s="347">
        <v>412.5</v>
      </c>
      <c r="AR6" s="347">
        <v>0</v>
      </c>
      <c r="AS6" s="347">
        <v>0</v>
      </c>
      <c r="AT6" s="347">
        <v>495</v>
      </c>
      <c r="AU6" s="347">
        <v>0</v>
      </c>
      <c r="AV6" s="347">
        <v>0</v>
      </c>
      <c r="AW6" s="347">
        <v>0</v>
      </c>
    </row>
    <row r="7" spans="1:49" x14ac:dyDescent="0.3">
      <c r="A7" s="347" t="s">
        <v>190</v>
      </c>
      <c r="B7" s="372">
        <v>4</v>
      </c>
      <c r="C7" s="347">
        <v>59</v>
      </c>
      <c r="D7" s="347">
        <v>1</v>
      </c>
      <c r="E7" s="347">
        <v>3</v>
      </c>
      <c r="F7" s="347">
        <v>226.92</v>
      </c>
      <c r="G7" s="347">
        <v>0</v>
      </c>
      <c r="H7" s="347">
        <v>0</v>
      </c>
      <c r="I7" s="347">
        <v>0</v>
      </c>
      <c r="J7" s="347">
        <v>0</v>
      </c>
      <c r="K7" s="347">
        <v>0</v>
      </c>
      <c r="L7" s="347">
        <v>22</v>
      </c>
      <c r="M7" s="347">
        <v>0</v>
      </c>
      <c r="N7" s="347">
        <v>0</v>
      </c>
      <c r="O7" s="347">
        <v>0</v>
      </c>
      <c r="P7" s="347">
        <v>0</v>
      </c>
      <c r="Q7" s="347">
        <v>56.25</v>
      </c>
      <c r="R7" s="347">
        <v>126.94</v>
      </c>
      <c r="S7" s="347">
        <v>21.73</v>
      </c>
      <c r="T7" s="347">
        <v>0</v>
      </c>
      <c r="U7" s="347">
        <v>0</v>
      </c>
      <c r="V7" s="347">
        <v>0</v>
      </c>
      <c r="W7" s="347">
        <v>0</v>
      </c>
      <c r="X7" s="347">
        <v>0</v>
      </c>
      <c r="Y7" s="347">
        <v>0</v>
      </c>
      <c r="Z7" s="347">
        <v>0</v>
      </c>
      <c r="AA7" s="347">
        <v>0</v>
      </c>
      <c r="AB7" s="347">
        <v>0</v>
      </c>
      <c r="AC7" s="347">
        <v>0</v>
      </c>
      <c r="AD7" s="347">
        <v>0</v>
      </c>
      <c r="AE7" s="347">
        <v>0</v>
      </c>
      <c r="AF7" s="347">
        <v>0</v>
      </c>
      <c r="AG7" s="347">
        <v>0</v>
      </c>
      <c r="AH7" s="347">
        <v>0</v>
      </c>
      <c r="AI7" s="347">
        <v>0</v>
      </c>
      <c r="AJ7" s="347">
        <v>0</v>
      </c>
      <c r="AK7" s="347">
        <v>0</v>
      </c>
      <c r="AL7" s="347">
        <v>0</v>
      </c>
      <c r="AM7" s="347">
        <v>0</v>
      </c>
      <c r="AN7" s="347">
        <v>0</v>
      </c>
      <c r="AO7" s="347">
        <v>0</v>
      </c>
      <c r="AP7" s="347">
        <v>0</v>
      </c>
      <c r="AQ7" s="347">
        <v>0</v>
      </c>
      <c r="AR7" s="347">
        <v>0</v>
      </c>
      <c r="AS7" s="347">
        <v>0</v>
      </c>
      <c r="AT7" s="347">
        <v>0</v>
      </c>
      <c r="AU7" s="347">
        <v>0</v>
      </c>
      <c r="AV7" s="347">
        <v>0</v>
      </c>
      <c r="AW7" s="347">
        <v>0</v>
      </c>
    </row>
    <row r="8" spans="1:49" x14ac:dyDescent="0.3">
      <c r="A8" s="347" t="s">
        <v>191</v>
      </c>
      <c r="B8" s="372">
        <v>5</v>
      </c>
      <c r="C8" s="347">
        <v>59</v>
      </c>
      <c r="D8" s="347">
        <v>1</v>
      </c>
      <c r="E8" s="347">
        <v>4</v>
      </c>
      <c r="F8" s="347">
        <v>689</v>
      </c>
      <c r="G8" s="347">
        <v>0</v>
      </c>
      <c r="H8" s="347">
        <v>0</v>
      </c>
      <c r="I8" s="347">
        <v>0</v>
      </c>
      <c r="J8" s="347">
        <v>0</v>
      </c>
      <c r="K8" s="347">
        <v>11</v>
      </c>
      <c r="L8" s="347">
        <v>91</v>
      </c>
      <c r="M8" s="347">
        <v>0</v>
      </c>
      <c r="N8" s="347">
        <v>0</v>
      </c>
      <c r="O8" s="347">
        <v>0</v>
      </c>
      <c r="P8" s="347">
        <v>0</v>
      </c>
      <c r="Q8" s="347">
        <v>212.5</v>
      </c>
      <c r="R8" s="347">
        <v>157.5</v>
      </c>
      <c r="S8" s="347">
        <v>83.5</v>
      </c>
      <c r="T8" s="347">
        <v>0</v>
      </c>
      <c r="U8" s="347">
        <v>0</v>
      </c>
      <c r="V8" s="347">
        <v>0</v>
      </c>
      <c r="W8" s="347">
        <v>0</v>
      </c>
      <c r="X8" s="347">
        <v>0</v>
      </c>
      <c r="Y8" s="347">
        <v>0</v>
      </c>
      <c r="Z8" s="347">
        <v>0</v>
      </c>
      <c r="AA8" s="347">
        <v>0</v>
      </c>
      <c r="AB8" s="347">
        <v>0</v>
      </c>
      <c r="AC8" s="347">
        <v>0</v>
      </c>
      <c r="AD8" s="347">
        <v>0</v>
      </c>
      <c r="AE8" s="347">
        <v>0</v>
      </c>
      <c r="AF8" s="347">
        <v>0</v>
      </c>
      <c r="AG8" s="347">
        <v>0</v>
      </c>
      <c r="AH8" s="347">
        <v>0</v>
      </c>
      <c r="AI8" s="347">
        <v>0</v>
      </c>
      <c r="AJ8" s="347">
        <v>0</v>
      </c>
      <c r="AK8" s="347">
        <v>0</v>
      </c>
      <c r="AL8" s="347">
        <v>0</v>
      </c>
      <c r="AM8" s="347">
        <v>0</v>
      </c>
      <c r="AN8" s="347">
        <v>0</v>
      </c>
      <c r="AO8" s="347">
        <v>0</v>
      </c>
      <c r="AP8" s="347">
        <v>0</v>
      </c>
      <c r="AQ8" s="347">
        <v>48</v>
      </c>
      <c r="AR8" s="347">
        <v>0</v>
      </c>
      <c r="AS8" s="347">
        <v>0</v>
      </c>
      <c r="AT8" s="347">
        <v>85.5</v>
      </c>
      <c r="AU8" s="347">
        <v>0</v>
      </c>
      <c r="AV8" s="347">
        <v>0</v>
      </c>
      <c r="AW8" s="347">
        <v>0</v>
      </c>
    </row>
    <row r="9" spans="1:49" x14ac:dyDescent="0.3">
      <c r="A9" s="347" t="s">
        <v>192</v>
      </c>
      <c r="B9" s="372">
        <v>6</v>
      </c>
      <c r="C9" s="347">
        <v>59</v>
      </c>
      <c r="D9" s="347">
        <v>1</v>
      </c>
      <c r="E9" s="347">
        <v>6</v>
      </c>
      <c r="F9" s="347">
        <v>2699848</v>
      </c>
      <c r="G9" s="347">
        <v>0</v>
      </c>
      <c r="H9" s="347">
        <v>0</v>
      </c>
      <c r="I9" s="347">
        <v>28110</v>
      </c>
      <c r="J9" s="347">
        <v>0</v>
      </c>
      <c r="K9" s="347">
        <v>47169</v>
      </c>
      <c r="L9" s="347">
        <v>635591</v>
      </c>
      <c r="M9" s="347">
        <v>0</v>
      </c>
      <c r="N9" s="347">
        <v>0</v>
      </c>
      <c r="O9" s="347">
        <v>0</v>
      </c>
      <c r="P9" s="347">
        <v>0</v>
      </c>
      <c r="Q9" s="347">
        <v>613565</v>
      </c>
      <c r="R9" s="347">
        <v>811922</v>
      </c>
      <c r="S9" s="347">
        <v>383666</v>
      </c>
      <c r="T9" s="347">
        <v>0</v>
      </c>
      <c r="U9" s="347">
        <v>0</v>
      </c>
      <c r="V9" s="347">
        <v>0</v>
      </c>
      <c r="W9" s="347">
        <v>0</v>
      </c>
      <c r="X9" s="347">
        <v>0</v>
      </c>
      <c r="Y9" s="347">
        <v>0</v>
      </c>
      <c r="Z9" s="347">
        <v>0</v>
      </c>
      <c r="AA9" s="347">
        <v>0</v>
      </c>
      <c r="AB9" s="347">
        <v>0</v>
      </c>
      <c r="AC9" s="347">
        <v>0</v>
      </c>
      <c r="AD9" s="347">
        <v>0</v>
      </c>
      <c r="AE9" s="347">
        <v>0</v>
      </c>
      <c r="AF9" s="347">
        <v>0</v>
      </c>
      <c r="AG9" s="347">
        <v>0</v>
      </c>
      <c r="AH9" s="347">
        <v>0</v>
      </c>
      <c r="AI9" s="347">
        <v>0</v>
      </c>
      <c r="AJ9" s="347">
        <v>0</v>
      </c>
      <c r="AK9" s="347">
        <v>0</v>
      </c>
      <c r="AL9" s="347">
        <v>0</v>
      </c>
      <c r="AM9" s="347">
        <v>0</v>
      </c>
      <c r="AN9" s="347">
        <v>0</v>
      </c>
      <c r="AO9" s="347">
        <v>0</v>
      </c>
      <c r="AP9" s="347">
        <v>0</v>
      </c>
      <c r="AQ9" s="347">
        <v>86665</v>
      </c>
      <c r="AR9" s="347">
        <v>0</v>
      </c>
      <c r="AS9" s="347">
        <v>0</v>
      </c>
      <c r="AT9" s="347">
        <v>93160</v>
      </c>
      <c r="AU9" s="347">
        <v>0</v>
      </c>
      <c r="AV9" s="347">
        <v>0</v>
      </c>
      <c r="AW9" s="347">
        <v>0</v>
      </c>
    </row>
    <row r="10" spans="1:49" x14ac:dyDescent="0.3">
      <c r="A10" s="347" t="s">
        <v>193</v>
      </c>
      <c r="B10" s="372">
        <v>7</v>
      </c>
      <c r="C10" s="347">
        <v>59</v>
      </c>
      <c r="D10" s="347">
        <v>1</v>
      </c>
      <c r="E10" s="347">
        <v>9</v>
      </c>
      <c r="F10" s="347">
        <v>10576</v>
      </c>
      <c r="G10" s="347">
        <v>0</v>
      </c>
      <c r="H10" s="347">
        <v>0</v>
      </c>
      <c r="I10" s="347">
        <v>0</v>
      </c>
      <c r="J10" s="347">
        <v>0</v>
      </c>
      <c r="K10" s="347">
        <v>0</v>
      </c>
      <c r="L10" s="347">
        <v>0</v>
      </c>
      <c r="M10" s="347">
        <v>0</v>
      </c>
      <c r="N10" s="347">
        <v>0</v>
      </c>
      <c r="O10" s="347">
        <v>0</v>
      </c>
      <c r="P10" s="347">
        <v>0</v>
      </c>
      <c r="Q10" s="347">
        <v>3525</v>
      </c>
      <c r="R10" s="347">
        <v>3525</v>
      </c>
      <c r="S10" s="347">
        <v>3526</v>
      </c>
      <c r="T10" s="347">
        <v>0</v>
      </c>
      <c r="U10" s="347">
        <v>0</v>
      </c>
      <c r="V10" s="347">
        <v>0</v>
      </c>
      <c r="W10" s="347">
        <v>0</v>
      </c>
      <c r="X10" s="347">
        <v>0</v>
      </c>
      <c r="Y10" s="347">
        <v>0</v>
      </c>
      <c r="Z10" s="347">
        <v>0</v>
      </c>
      <c r="AA10" s="347">
        <v>0</v>
      </c>
      <c r="AB10" s="347">
        <v>0</v>
      </c>
      <c r="AC10" s="347">
        <v>0</v>
      </c>
      <c r="AD10" s="347">
        <v>0</v>
      </c>
      <c r="AE10" s="347">
        <v>0</v>
      </c>
      <c r="AF10" s="347">
        <v>0</v>
      </c>
      <c r="AG10" s="347">
        <v>0</v>
      </c>
      <c r="AH10" s="347">
        <v>0</v>
      </c>
      <c r="AI10" s="347">
        <v>0</v>
      </c>
      <c r="AJ10" s="347">
        <v>0</v>
      </c>
      <c r="AK10" s="347">
        <v>0</v>
      </c>
      <c r="AL10" s="347">
        <v>0</v>
      </c>
      <c r="AM10" s="347">
        <v>0</v>
      </c>
      <c r="AN10" s="347">
        <v>0</v>
      </c>
      <c r="AO10" s="347">
        <v>0</v>
      </c>
      <c r="AP10" s="347">
        <v>0</v>
      </c>
      <c r="AQ10" s="347">
        <v>0</v>
      </c>
      <c r="AR10" s="347">
        <v>0</v>
      </c>
      <c r="AS10" s="347">
        <v>0</v>
      </c>
      <c r="AT10" s="347">
        <v>0</v>
      </c>
      <c r="AU10" s="347">
        <v>0</v>
      </c>
      <c r="AV10" s="347">
        <v>0</v>
      </c>
      <c r="AW10" s="347">
        <v>0</v>
      </c>
    </row>
    <row r="11" spans="1:49" x14ac:dyDescent="0.3">
      <c r="A11" s="347" t="s">
        <v>194</v>
      </c>
      <c r="B11" s="372">
        <v>8</v>
      </c>
      <c r="C11" s="347">
        <v>59</v>
      </c>
      <c r="D11" s="347">
        <v>1</v>
      </c>
      <c r="E11" s="347">
        <v>10</v>
      </c>
      <c r="F11" s="347">
        <v>7528</v>
      </c>
      <c r="G11" s="347">
        <v>0</v>
      </c>
      <c r="H11" s="347">
        <v>0</v>
      </c>
      <c r="I11" s="347">
        <v>0</v>
      </c>
      <c r="J11" s="347">
        <v>0</v>
      </c>
      <c r="K11" s="347">
        <v>0</v>
      </c>
      <c r="L11" s="347">
        <v>0</v>
      </c>
      <c r="M11" s="347">
        <v>0</v>
      </c>
      <c r="N11" s="347">
        <v>0</v>
      </c>
      <c r="O11" s="347">
        <v>0</v>
      </c>
      <c r="P11" s="347">
        <v>7528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347">
        <v>0</v>
      </c>
      <c r="X11" s="347">
        <v>0</v>
      </c>
      <c r="Y11" s="347">
        <v>0</v>
      </c>
      <c r="Z11" s="347">
        <v>0</v>
      </c>
      <c r="AA11" s="347">
        <v>0</v>
      </c>
      <c r="AB11" s="347">
        <v>0</v>
      </c>
      <c r="AC11" s="347">
        <v>0</v>
      </c>
      <c r="AD11" s="347">
        <v>0</v>
      </c>
      <c r="AE11" s="347">
        <v>0</v>
      </c>
      <c r="AF11" s="347">
        <v>0</v>
      </c>
      <c r="AG11" s="347">
        <v>0</v>
      </c>
      <c r="AH11" s="347">
        <v>0</v>
      </c>
      <c r="AI11" s="347">
        <v>0</v>
      </c>
      <c r="AJ11" s="347">
        <v>0</v>
      </c>
      <c r="AK11" s="347">
        <v>0</v>
      </c>
      <c r="AL11" s="347">
        <v>0</v>
      </c>
      <c r="AM11" s="347">
        <v>0</v>
      </c>
      <c r="AN11" s="347">
        <v>0</v>
      </c>
      <c r="AO11" s="347">
        <v>0</v>
      </c>
      <c r="AP11" s="347">
        <v>0</v>
      </c>
      <c r="AQ11" s="347">
        <v>0</v>
      </c>
      <c r="AR11" s="347">
        <v>0</v>
      </c>
      <c r="AS11" s="347">
        <v>0</v>
      </c>
      <c r="AT11" s="347">
        <v>0</v>
      </c>
      <c r="AU11" s="347">
        <v>0</v>
      </c>
      <c r="AV11" s="347">
        <v>0</v>
      </c>
      <c r="AW11" s="347">
        <v>0</v>
      </c>
    </row>
    <row r="12" spans="1:49" x14ac:dyDescent="0.3">
      <c r="A12" s="347" t="s">
        <v>195</v>
      </c>
      <c r="B12" s="372">
        <v>9</v>
      </c>
      <c r="C12" s="347">
        <v>59</v>
      </c>
      <c r="D12" s="347">
        <v>1</v>
      </c>
      <c r="E12" s="347">
        <v>11</v>
      </c>
      <c r="F12" s="347">
        <v>10483.491687055021</v>
      </c>
      <c r="G12" s="347">
        <v>0</v>
      </c>
      <c r="H12" s="347">
        <v>0</v>
      </c>
      <c r="I12" s="347">
        <v>0</v>
      </c>
      <c r="J12" s="347">
        <v>0</v>
      </c>
      <c r="K12" s="347">
        <v>2150.158353721687</v>
      </c>
      <c r="L12" s="347">
        <v>0</v>
      </c>
      <c r="M12" s="347">
        <v>0</v>
      </c>
      <c r="N12" s="347">
        <v>0</v>
      </c>
      <c r="O12" s="347">
        <v>0</v>
      </c>
      <c r="P12" s="347">
        <v>8333.3333333333339</v>
      </c>
      <c r="Q12" s="347">
        <v>0</v>
      </c>
      <c r="R12" s="347">
        <v>0</v>
      </c>
      <c r="S12" s="347">
        <v>0</v>
      </c>
      <c r="T12" s="347">
        <v>0</v>
      </c>
      <c r="U12" s="347">
        <v>0</v>
      </c>
      <c r="V12" s="347">
        <v>0</v>
      </c>
      <c r="W12" s="347">
        <v>0</v>
      </c>
      <c r="X12" s="347">
        <v>0</v>
      </c>
      <c r="Y12" s="347">
        <v>0</v>
      </c>
      <c r="Z12" s="347">
        <v>0</v>
      </c>
      <c r="AA12" s="347">
        <v>0</v>
      </c>
      <c r="AB12" s="347">
        <v>0</v>
      </c>
      <c r="AC12" s="347">
        <v>0</v>
      </c>
      <c r="AD12" s="347">
        <v>0</v>
      </c>
      <c r="AE12" s="347">
        <v>0</v>
      </c>
      <c r="AF12" s="347">
        <v>0</v>
      </c>
      <c r="AG12" s="347">
        <v>0</v>
      </c>
      <c r="AH12" s="347">
        <v>0</v>
      </c>
      <c r="AI12" s="347">
        <v>0</v>
      </c>
      <c r="AJ12" s="347">
        <v>0</v>
      </c>
      <c r="AK12" s="347">
        <v>0</v>
      </c>
      <c r="AL12" s="347">
        <v>0</v>
      </c>
      <c r="AM12" s="347">
        <v>0</v>
      </c>
      <c r="AN12" s="347">
        <v>0</v>
      </c>
      <c r="AO12" s="347">
        <v>0</v>
      </c>
      <c r="AP12" s="347">
        <v>0</v>
      </c>
      <c r="AQ12" s="347">
        <v>0</v>
      </c>
      <c r="AR12" s="347">
        <v>0</v>
      </c>
      <c r="AS12" s="347">
        <v>0</v>
      </c>
      <c r="AT12" s="347">
        <v>0</v>
      </c>
      <c r="AU12" s="347">
        <v>0</v>
      </c>
      <c r="AV12" s="347">
        <v>0</v>
      </c>
      <c r="AW12" s="347">
        <v>0</v>
      </c>
    </row>
    <row r="13" spans="1:49" x14ac:dyDescent="0.3">
      <c r="A13" s="347" t="s">
        <v>196</v>
      </c>
      <c r="B13" s="372">
        <v>10</v>
      </c>
      <c r="C13" s="347">
        <v>59</v>
      </c>
      <c r="D13" s="347">
        <v>2</v>
      </c>
      <c r="E13" s="347">
        <v>1</v>
      </c>
      <c r="F13" s="347">
        <v>59.05</v>
      </c>
      <c r="G13" s="347">
        <v>0</v>
      </c>
      <c r="H13" s="347">
        <v>0</v>
      </c>
      <c r="I13" s="347">
        <v>1</v>
      </c>
      <c r="J13" s="347">
        <v>0</v>
      </c>
      <c r="K13" s="347">
        <v>1</v>
      </c>
      <c r="L13" s="347">
        <v>7.3</v>
      </c>
      <c r="M13" s="347">
        <v>0</v>
      </c>
      <c r="N13" s="347">
        <v>0</v>
      </c>
      <c r="O13" s="347">
        <v>0</v>
      </c>
      <c r="P13" s="347">
        <v>0</v>
      </c>
      <c r="Q13" s="347">
        <v>18.5</v>
      </c>
      <c r="R13" s="347">
        <v>18</v>
      </c>
      <c r="S13" s="347">
        <v>7.25</v>
      </c>
      <c r="T13" s="347">
        <v>0</v>
      </c>
      <c r="U13" s="347">
        <v>0</v>
      </c>
      <c r="V13" s="347">
        <v>0</v>
      </c>
      <c r="W13" s="347">
        <v>0</v>
      </c>
      <c r="X13" s="347">
        <v>0</v>
      </c>
      <c r="Y13" s="347">
        <v>0</v>
      </c>
      <c r="Z13" s="347">
        <v>0</v>
      </c>
      <c r="AA13" s="347">
        <v>0</v>
      </c>
      <c r="AB13" s="347">
        <v>0</v>
      </c>
      <c r="AC13" s="347">
        <v>0</v>
      </c>
      <c r="AD13" s="347">
        <v>0</v>
      </c>
      <c r="AE13" s="347">
        <v>0</v>
      </c>
      <c r="AF13" s="347">
        <v>0</v>
      </c>
      <c r="AG13" s="347">
        <v>0</v>
      </c>
      <c r="AH13" s="347">
        <v>0</v>
      </c>
      <c r="AI13" s="347">
        <v>0</v>
      </c>
      <c r="AJ13" s="347">
        <v>0</v>
      </c>
      <c r="AK13" s="347">
        <v>0</v>
      </c>
      <c r="AL13" s="347">
        <v>0</v>
      </c>
      <c r="AM13" s="347">
        <v>0</v>
      </c>
      <c r="AN13" s="347">
        <v>0</v>
      </c>
      <c r="AO13" s="347">
        <v>0</v>
      </c>
      <c r="AP13" s="347">
        <v>0</v>
      </c>
      <c r="AQ13" s="347">
        <v>3</v>
      </c>
      <c r="AR13" s="347">
        <v>0</v>
      </c>
      <c r="AS13" s="347">
        <v>0</v>
      </c>
      <c r="AT13" s="347">
        <v>3</v>
      </c>
      <c r="AU13" s="347">
        <v>0</v>
      </c>
      <c r="AV13" s="347">
        <v>0</v>
      </c>
      <c r="AW13" s="347">
        <v>0</v>
      </c>
    </row>
    <row r="14" spans="1:49" x14ac:dyDescent="0.3">
      <c r="A14" s="347" t="s">
        <v>197</v>
      </c>
      <c r="B14" s="372">
        <v>11</v>
      </c>
      <c r="C14" s="347">
        <v>59</v>
      </c>
      <c r="D14" s="347">
        <v>2</v>
      </c>
      <c r="E14" s="347">
        <v>2</v>
      </c>
      <c r="F14" s="347">
        <v>8065.6</v>
      </c>
      <c r="G14" s="347">
        <v>0</v>
      </c>
      <c r="H14" s="347">
        <v>0</v>
      </c>
      <c r="I14" s="347">
        <v>160</v>
      </c>
      <c r="J14" s="347">
        <v>0</v>
      </c>
      <c r="K14" s="347">
        <v>150</v>
      </c>
      <c r="L14" s="347">
        <v>986.52</v>
      </c>
      <c r="M14" s="347">
        <v>0</v>
      </c>
      <c r="N14" s="347">
        <v>0</v>
      </c>
      <c r="O14" s="347">
        <v>0</v>
      </c>
      <c r="P14" s="347">
        <v>0</v>
      </c>
      <c r="Q14" s="347">
        <v>2499</v>
      </c>
      <c r="R14" s="347">
        <v>2356.56</v>
      </c>
      <c r="S14" s="347">
        <v>1073.52</v>
      </c>
      <c r="T14" s="347">
        <v>0</v>
      </c>
      <c r="U14" s="347">
        <v>0</v>
      </c>
      <c r="V14" s="347">
        <v>0</v>
      </c>
      <c r="W14" s="347">
        <v>0</v>
      </c>
      <c r="X14" s="347">
        <v>0</v>
      </c>
      <c r="Y14" s="347">
        <v>0</v>
      </c>
      <c r="Z14" s="347">
        <v>0</v>
      </c>
      <c r="AA14" s="347">
        <v>0</v>
      </c>
      <c r="AB14" s="347">
        <v>0</v>
      </c>
      <c r="AC14" s="347">
        <v>0</v>
      </c>
      <c r="AD14" s="347">
        <v>0</v>
      </c>
      <c r="AE14" s="347">
        <v>0</v>
      </c>
      <c r="AF14" s="347">
        <v>0</v>
      </c>
      <c r="AG14" s="347">
        <v>0</v>
      </c>
      <c r="AH14" s="347">
        <v>0</v>
      </c>
      <c r="AI14" s="347">
        <v>0</v>
      </c>
      <c r="AJ14" s="347">
        <v>0</v>
      </c>
      <c r="AK14" s="347">
        <v>0</v>
      </c>
      <c r="AL14" s="347">
        <v>0</v>
      </c>
      <c r="AM14" s="347">
        <v>0</v>
      </c>
      <c r="AN14" s="347">
        <v>0</v>
      </c>
      <c r="AO14" s="347">
        <v>0</v>
      </c>
      <c r="AP14" s="347">
        <v>0</v>
      </c>
      <c r="AQ14" s="347">
        <v>390</v>
      </c>
      <c r="AR14" s="347">
        <v>0</v>
      </c>
      <c r="AS14" s="347">
        <v>0</v>
      </c>
      <c r="AT14" s="347">
        <v>450</v>
      </c>
      <c r="AU14" s="347">
        <v>0</v>
      </c>
      <c r="AV14" s="347">
        <v>0</v>
      </c>
      <c r="AW14" s="347">
        <v>0</v>
      </c>
    </row>
    <row r="15" spans="1:49" x14ac:dyDescent="0.3">
      <c r="A15" s="347" t="s">
        <v>198</v>
      </c>
      <c r="B15" s="372">
        <v>12</v>
      </c>
      <c r="C15" s="347">
        <v>59</v>
      </c>
      <c r="D15" s="347">
        <v>2</v>
      </c>
      <c r="E15" s="347">
        <v>3</v>
      </c>
      <c r="F15" s="347">
        <v>205.27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38.21</v>
      </c>
      <c r="M15" s="347">
        <v>0</v>
      </c>
      <c r="N15" s="347">
        <v>0</v>
      </c>
      <c r="O15" s="347">
        <v>0</v>
      </c>
      <c r="P15" s="347">
        <v>0</v>
      </c>
      <c r="Q15" s="347">
        <v>49.5</v>
      </c>
      <c r="R15" s="347">
        <v>80.81</v>
      </c>
      <c r="S15" s="347">
        <v>36.75</v>
      </c>
      <c r="T15" s="347">
        <v>0</v>
      </c>
      <c r="U15" s="347">
        <v>0</v>
      </c>
      <c r="V15" s="347"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7">
        <v>0</v>
      </c>
      <c r="AD15" s="347">
        <v>0</v>
      </c>
      <c r="AE15" s="347">
        <v>0</v>
      </c>
      <c r="AF15" s="347">
        <v>0</v>
      </c>
      <c r="AG15" s="347">
        <v>0</v>
      </c>
      <c r="AH15" s="347">
        <v>0</v>
      </c>
      <c r="AI15" s="347">
        <v>0</v>
      </c>
      <c r="AJ15" s="347">
        <v>0</v>
      </c>
      <c r="AK15" s="347">
        <v>0</v>
      </c>
      <c r="AL15" s="347">
        <v>0</v>
      </c>
      <c r="AM15" s="347">
        <v>0</v>
      </c>
      <c r="AN15" s="347">
        <v>0</v>
      </c>
      <c r="AO15" s="347">
        <v>0</v>
      </c>
      <c r="AP15" s="347">
        <v>0</v>
      </c>
      <c r="AQ15" s="347">
        <v>0</v>
      </c>
      <c r="AR15" s="347">
        <v>0</v>
      </c>
      <c r="AS15" s="347">
        <v>0</v>
      </c>
      <c r="AT15" s="347">
        <v>0</v>
      </c>
      <c r="AU15" s="347">
        <v>0</v>
      </c>
      <c r="AV15" s="347">
        <v>0</v>
      </c>
      <c r="AW15" s="347">
        <v>0</v>
      </c>
    </row>
    <row r="16" spans="1:49" x14ac:dyDescent="0.3">
      <c r="A16" s="347" t="s">
        <v>186</v>
      </c>
      <c r="B16" s="372">
        <v>2017</v>
      </c>
      <c r="C16" s="347">
        <v>59</v>
      </c>
      <c r="D16" s="347">
        <v>2</v>
      </c>
      <c r="E16" s="347">
        <v>4</v>
      </c>
      <c r="F16" s="347">
        <v>426</v>
      </c>
      <c r="G16" s="347">
        <v>0</v>
      </c>
      <c r="H16" s="347">
        <v>0</v>
      </c>
      <c r="I16" s="347">
        <v>0</v>
      </c>
      <c r="J16" s="347">
        <v>0</v>
      </c>
      <c r="K16" s="347">
        <v>22</v>
      </c>
      <c r="L16" s="347">
        <v>131</v>
      </c>
      <c r="M16" s="347">
        <v>0</v>
      </c>
      <c r="N16" s="347">
        <v>0</v>
      </c>
      <c r="O16" s="347">
        <v>0</v>
      </c>
      <c r="P16" s="347">
        <v>0</v>
      </c>
      <c r="Q16" s="347">
        <v>70</v>
      </c>
      <c r="R16" s="347">
        <v>94</v>
      </c>
      <c r="S16" s="347">
        <v>15</v>
      </c>
      <c r="T16" s="347">
        <v>0</v>
      </c>
      <c r="U16" s="347">
        <v>0</v>
      </c>
      <c r="V16" s="347">
        <v>0</v>
      </c>
      <c r="W16" s="347">
        <v>0</v>
      </c>
      <c r="X16" s="347">
        <v>0</v>
      </c>
      <c r="Y16" s="347">
        <v>0</v>
      </c>
      <c r="Z16" s="347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0</v>
      </c>
      <c r="AG16" s="347">
        <v>0</v>
      </c>
      <c r="AH16" s="347">
        <v>0</v>
      </c>
      <c r="AI16" s="347">
        <v>0</v>
      </c>
      <c r="AJ16" s="347">
        <v>0</v>
      </c>
      <c r="AK16" s="347">
        <v>0</v>
      </c>
      <c r="AL16" s="347">
        <v>0</v>
      </c>
      <c r="AM16" s="347">
        <v>0</v>
      </c>
      <c r="AN16" s="347">
        <v>0</v>
      </c>
      <c r="AO16" s="347">
        <v>0</v>
      </c>
      <c r="AP16" s="347">
        <v>0</v>
      </c>
      <c r="AQ16" s="347">
        <v>49</v>
      </c>
      <c r="AR16" s="347">
        <v>0</v>
      </c>
      <c r="AS16" s="347">
        <v>0</v>
      </c>
      <c r="AT16" s="347">
        <v>45</v>
      </c>
      <c r="AU16" s="347">
        <v>0</v>
      </c>
      <c r="AV16" s="347">
        <v>0</v>
      </c>
      <c r="AW16" s="347">
        <v>0</v>
      </c>
    </row>
    <row r="17" spans="3:49" x14ac:dyDescent="0.3">
      <c r="C17" s="347">
        <v>59</v>
      </c>
      <c r="D17" s="347">
        <v>2</v>
      </c>
      <c r="E17" s="347">
        <v>5</v>
      </c>
      <c r="F17" s="347">
        <v>48</v>
      </c>
      <c r="G17" s="347">
        <v>0</v>
      </c>
      <c r="H17" s="347">
        <v>0</v>
      </c>
      <c r="I17" s="347">
        <v>0</v>
      </c>
      <c r="J17" s="347">
        <v>0</v>
      </c>
      <c r="K17" s="347">
        <v>0</v>
      </c>
      <c r="L17" s="347">
        <v>0</v>
      </c>
      <c r="M17" s="347">
        <v>0</v>
      </c>
      <c r="N17" s="347">
        <v>0</v>
      </c>
      <c r="O17" s="347">
        <v>0</v>
      </c>
      <c r="P17" s="347">
        <v>0</v>
      </c>
      <c r="Q17" s="347">
        <v>0</v>
      </c>
      <c r="R17" s="347">
        <v>48</v>
      </c>
      <c r="S17" s="347">
        <v>0</v>
      </c>
      <c r="T17" s="347">
        <v>0</v>
      </c>
      <c r="U17" s="347">
        <v>0</v>
      </c>
      <c r="V17" s="347"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7">
        <v>0</v>
      </c>
      <c r="AD17" s="347">
        <v>0</v>
      </c>
      <c r="AE17" s="347">
        <v>0</v>
      </c>
      <c r="AF17" s="347">
        <v>0</v>
      </c>
      <c r="AG17" s="347">
        <v>0</v>
      </c>
      <c r="AH17" s="347">
        <v>0</v>
      </c>
      <c r="AI17" s="347">
        <v>0</v>
      </c>
      <c r="AJ17" s="347">
        <v>0</v>
      </c>
      <c r="AK17" s="347">
        <v>0</v>
      </c>
      <c r="AL17" s="347">
        <v>0</v>
      </c>
      <c r="AM17" s="347">
        <v>0</v>
      </c>
      <c r="AN17" s="347">
        <v>0</v>
      </c>
      <c r="AO17" s="347">
        <v>0</v>
      </c>
      <c r="AP17" s="347">
        <v>0</v>
      </c>
      <c r="AQ17" s="347">
        <v>0</v>
      </c>
      <c r="AR17" s="347">
        <v>0</v>
      </c>
      <c r="AS17" s="347">
        <v>0</v>
      </c>
      <c r="AT17" s="347">
        <v>0</v>
      </c>
      <c r="AU17" s="347">
        <v>0</v>
      </c>
      <c r="AV17" s="347">
        <v>0</v>
      </c>
      <c r="AW17" s="347">
        <v>0</v>
      </c>
    </row>
    <row r="18" spans="3:49" x14ac:dyDescent="0.3">
      <c r="C18" s="347">
        <v>59</v>
      </c>
      <c r="D18" s="347">
        <v>2</v>
      </c>
      <c r="E18" s="347">
        <v>6</v>
      </c>
      <c r="F18" s="347">
        <v>2582123</v>
      </c>
      <c r="G18" s="347">
        <v>0</v>
      </c>
      <c r="H18" s="347">
        <v>0</v>
      </c>
      <c r="I18" s="347">
        <v>28110</v>
      </c>
      <c r="J18" s="347">
        <v>0</v>
      </c>
      <c r="K18" s="347">
        <v>52503</v>
      </c>
      <c r="L18" s="347">
        <v>677722</v>
      </c>
      <c r="M18" s="347">
        <v>0</v>
      </c>
      <c r="N18" s="347">
        <v>0</v>
      </c>
      <c r="O18" s="347">
        <v>0</v>
      </c>
      <c r="P18" s="347">
        <v>0</v>
      </c>
      <c r="Q18" s="347">
        <v>563550</v>
      </c>
      <c r="R18" s="347">
        <v>750619</v>
      </c>
      <c r="S18" s="347">
        <v>342093</v>
      </c>
      <c r="T18" s="347">
        <v>0</v>
      </c>
      <c r="U18" s="347">
        <v>0</v>
      </c>
      <c r="V18" s="347">
        <v>0</v>
      </c>
      <c r="W18" s="347">
        <v>0</v>
      </c>
      <c r="X18" s="347">
        <v>0</v>
      </c>
      <c r="Y18" s="347">
        <v>0</v>
      </c>
      <c r="Z18" s="347">
        <v>0</v>
      </c>
      <c r="AA18" s="347">
        <v>0</v>
      </c>
      <c r="AB18" s="347">
        <v>0</v>
      </c>
      <c r="AC18" s="347">
        <v>0</v>
      </c>
      <c r="AD18" s="347">
        <v>0</v>
      </c>
      <c r="AE18" s="347">
        <v>0</v>
      </c>
      <c r="AF18" s="347">
        <v>0</v>
      </c>
      <c r="AG18" s="347">
        <v>0</v>
      </c>
      <c r="AH18" s="347">
        <v>0</v>
      </c>
      <c r="AI18" s="347">
        <v>0</v>
      </c>
      <c r="AJ18" s="347">
        <v>0</v>
      </c>
      <c r="AK18" s="347">
        <v>0</v>
      </c>
      <c r="AL18" s="347">
        <v>0</v>
      </c>
      <c r="AM18" s="347">
        <v>0</v>
      </c>
      <c r="AN18" s="347">
        <v>0</v>
      </c>
      <c r="AO18" s="347">
        <v>0</v>
      </c>
      <c r="AP18" s="347">
        <v>0</v>
      </c>
      <c r="AQ18" s="347">
        <v>85119</v>
      </c>
      <c r="AR18" s="347">
        <v>0</v>
      </c>
      <c r="AS18" s="347">
        <v>0</v>
      </c>
      <c r="AT18" s="347">
        <v>82407</v>
      </c>
      <c r="AU18" s="347">
        <v>0</v>
      </c>
      <c r="AV18" s="347">
        <v>0</v>
      </c>
      <c r="AW18" s="347">
        <v>0</v>
      </c>
    </row>
    <row r="19" spans="3:49" x14ac:dyDescent="0.3">
      <c r="C19" s="347">
        <v>59</v>
      </c>
      <c r="D19" s="347">
        <v>2</v>
      </c>
      <c r="E19" s="347">
        <v>9</v>
      </c>
      <c r="F19" s="347">
        <v>10576</v>
      </c>
      <c r="G19" s="347">
        <v>0</v>
      </c>
      <c r="H19" s="347">
        <v>0</v>
      </c>
      <c r="I19" s="347">
        <v>0</v>
      </c>
      <c r="J19" s="347">
        <v>0</v>
      </c>
      <c r="K19" s="347">
        <v>0</v>
      </c>
      <c r="L19" s="347">
        <v>0</v>
      </c>
      <c r="M19" s="347">
        <v>0</v>
      </c>
      <c r="N19" s="347">
        <v>0</v>
      </c>
      <c r="O19" s="347">
        <v>0</v>
      </c>
      <c r="P19" s="347">
        <v>0</v>
      </c>
      <c r="Q19" s="347">
        <v>6576</v>
      </c>
      <c r="R19" s="347">
        <v>0</v>
      </c>
      <c r="S19" s="347">
        <v>4000</v>
      </c>
      <c r="T19" s="347">
        <v>0</v>
      </c>
      <c r="U19" s="347">
        <v>0</v>
      </c>
      <c r="V19" s="347">
        <v>0</v>
      </c>
      <c r="W19" s="347">
        <v>0</v>
      </c>
      <c r="X19" s="347">
        <v>0</v>
      </c>
      <c r="Y19" s="347">
        <v>0</v>
      </c>
      <c r="Z19" s="347">
        <v>0</v>
      </c>
      <c r="AA19" s="347">
        <v>0</v>
      </c>
      <c r="AB19" s="347">
        <v>0</v>
      </c>
      <c r="AC19" s="347">
        <v>0</v>
      </c>
      <c r="AD19" s="347">
        <v>0</v>
      </c>
      <c r="AE19" s="347">
        <v>0</v>
      </c>
      <c r="AF19" s="347">
        <v>0</v>
      </c>
      <c r="AG19" s="347">
        <v>0</v>
      </c>
      <c r="AH19" s="347">
        <v>0</v>
      </c>
      <c r="AI19" s="347">
        <v>0</v>
      </c>
      <c r="AJ19" s="347">
        <v>0</v>
      </c>
      <c r="AK19" s="347">
        <v>0</v>
      </c>
      <c r="AL19" s="347">
        <v>0</v>
      </c>
      <c r="AM19" s="347">
        <v>0</v>
      </c>
      <c r="AN19" s="347">
        <v>0</v>
      </c>
      <c r="AO19" s="347">
        <v>0</v>
      </c>
      <c r="AP19" s="347">
        <v>0</v>
      </c>
      <c r="AQ19" s="347">
        <v>0</v>
      </c>
      <c r="AR19" s="347">
        <v>0</v>
      </c>
      <c r="AS19" s="347">
        <v>0</v>
      </c>
      <c r="AT19" s="347">
        <v>0</v>
      </c>
      <c r="AU19" s="347">
        <v>0</v>
      </c>
      <c r="AV19" s="347">
        <v>0</v>
      </c>
      <c r="AW19" s="347">
        <v>0</v>
      </c>
    </row>
    <row r="20" spans="3:49" x14ac:dyDescent="0.3">
      <c r="C20" s="347">
        <v>59</v>
      </c>
      <c r="D20" s="347">
        <v>2</v>
      </c>
      <c r="E20" s="347">
        <v>10</v>
      </c>
      <c r="F20" s="347">
        <v>11648</v>
      </c>
      <c r="G20" s="347">
        <v>0</v>
      </c>
      <c r="H20" s="347">
        <v>0</v>
      </c>
      <c r="I20" s="347">
        <v>0</v>
      </c>
      <c r="J20" s="347">
        <v>0</v>
      </c>
      <c r="K20" s="347">
        <v>0</v>
      </c>
      <c r="L20" s="347">
        <v>0</v>
      </c>
      <c r="M20" s="347">
        <v>0</v>
      </c>
      <c r="N20" s="347">
        <v>0</v>
      </c>
      <c r="O20" s="347">
        <v>0</v>
      </c>
      <c r="P20" s="347">
        <v>11648</v>
      </c>
      <c r="Q20" s="347">
        <v>0</v>
      </c>
      <c r="R20" s="347">
        <v>0</v>
      </c>
      <c r="S20" s="347">
        <v>0</v>
      </c>
      <c r="T20" s="347">
        <v>0</v>
      </c>
      <c r="U20" s="347">
        <v>0</v>
      </c>
      <c r="V20" s="347">
        <v>0</v>
      </c>
      <c r="W20" s="347">
        <v>0</v>
      </c>
      <c r="X20" s="347">
        <v>0</v>
      </c>
      <c r="Y20" s="347">
        <v>0</v>
      </c>
      <c r="Z20" s="347">
        <v>0</v>
      </c>
      <c r="AA20" s="347">
        <v>0</v>
      </c>
      <c r="AB20" s="347">
        <v>0</v>
      </c>
      <c r="AC20" s="347">
        <v>0</v>
      </c>
      <c r="AD20" s="347">
        <v>0</v>
      </c>
      <c r="AE20" s="347">
        <v>0</v>
      </c>
      <c r="AF20" s="347">
        <v>0</v>
      </c>
      <c r="AG20" s="347">
        <v>0</v>
      </c>
      <c r="AH20" s="347">
        <v>0</v>
      </c>
      <c r="AI20" s="347">
        <v>0</v>
      </c>
      <c r="AJ20" s="347">
        <v>0</v>
      </c>
      <c r="AK20" s="347">
        <v>0</v>
      </c>
      <c r="AL20" s="347">
        <v>0</v>
      </c>
      <c r="AM20" s="347">
        <v>0</v>
      </c>
      <c r="AN20" s="347">
        <v>0</v>
      </c>
      <c r="AO20" s="347">
        <v>0</v>
      </c>
      <c r="AP20" s="347">
        <v>0</v>
      </c>
      <c r="AQ20" s="347">
        <v>0</v>
      </c>
      <c r="AR20" s="347">
        <v>0</v>
      </c>
      <c r="AS20" s="347">
        <v>0</v>
      </c>
      <c r="AT20" s="347">
        <v>0</v>
      </c>
      <c r="AU20" s="347">
        <v>0</v>
      </c>
      <c r="AV20" s="347">
        <v>0</v>
      </c>
      <c r="AW20" s="347">
        <v>0</v>
      </c>
    </row>
    <row r="21" spans="3:49" x14ac:dyDescent="0.3">
      <c r="C21" s="347">
        <v>59</v>
      </c>
      <c r="D21" s="347">
        <v>2</v>
      </c>
      <c r="E21" s="347">
        <v>11</v>
      </c>
      <c r="F21" s="347">
        <v>10483.491687055021</v>
      </c>
      <c r="G21" s="347">
        <v>0</v>
      </c>
      <c r="H21" s="347">
        <v>0</v>
      </c>
      <c r="I21" s="347">
        <v>0</v>
      </c>
      <c r="J21" s="347">
        <v>0</v>
      </c>
      <c r="K21" s="347">
        <v>2150.158353721687</v>
      </c>
      <c r="L21" s="347">
        <v>0</v>
      </c>
      <c r="M21" s="347">
        <v>0</v>
      </c>
      <c r="N21" s="347">
        <v>0</v>
      </c>
      <c r="O21" s="347">
        <v>0</v>
      </c>
      <c r="P21" s="347">
        <v>8333.3333333333339</v>
      </c>
      <c r="Q21" s="347">
        <v>0</v>
      </c>
      <c r="R21" s="347">
        <v>0</v>
      </c>
      <c r="S21" s="347">
        <v>0</v>
      </c>
      <c r="T21" s="347">
        <v>0</v>
      </c>
      <c r="U21" s="347">
        <v>0</v>
      </c>
      <c r="V21" s="347">
        <v>0</v>
      </c>
      <c r="W21" s="347">
        <v>0</v>
      </c>
      <c r="X21" s="347">
        <v>0</v>
      </c>
      <c r="Y21" s="347">
        <v>0</v>
      </c>
      <c r="Z21" s="347">
        <v>0</v>
      </c>
      <c r="AA21" s="347">
        <v>0</v>
      </c>
      <c r="AB21" s="347">
        <v>0</v>
      </c>
      <c r="AC21" s="347">
        <v>0</v>
      </c>
      <c r="AD21" s="347">
        <v>0</v>
      </c>
      <c r="AE21" s="347">
        <v>0</v>
      </c>
      <c r="AF21" s="347">
        <v>0</v>
      </c>
      <c r="AG21" s="347">
        <v>0</v>
      </c>
      <c r="AH21" s="347">
        <v>0</v>
      </c>
      <c r="AI21" s="347">
        <v>0</v>
      </c>
      <c r="AJ21" s="347">
        <v>0</v>
      </c>
      <c r="AK21" s="347">
        <v>0</v>
      </c>
      <c r="AL21" s="347">
        <v>0</v>
      </c>
      <c r="AM21" s="347">
        <v>0</v>
      </c>
      <c r="AN21" s="347">
        <v>0</v>
      </c>
      <c r="AO21" s="347">
        <v>0</v>
      </c>
      <c r="AP21" s="347">
        <v>0</v>
      </c>
      <c r="AQ21" s="347">
        <v>0</v>
      </c>
      <c r="AR21" s="347">
        <v>0</v>
      </c>
      <c r="AS21" s="347">
        <v>0</v>
      </c>
      <c r="AT21" s="347">
        <v>0</v>
      </c>
      <c r="AU21" s="347">
        <v>0</v>
      </c>
      <c r="AV21" s="347">
        <v>0</v>
      </c>
      <c r="AW21" s="34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500" t="s">
        <v>140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</row>
    <row r="2" spans="1:19" ht="14.4" customHeight="1" thickBot="1" x14ac:dyDescent="0.35">
      <c r="A2" s="351" t="s">
        <v>322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142</v>
      </c>
      <c r="B3" s="320">
        <f>SUBTOTAL(9,B6:B1048576)</f>
        <v>4485434</v>
      </c>
      <c r="C3" s="321">
        <f t="shared" ref="C3:R3" si="0">SUBTOTAL(9,C6:C1048576)</f>
        <v>0.68558997218776352</v>
      </c>
      <c r="D3" s="321">
        <f t="shared" si="0"/>
        <v>6542444</v>
      </c>
      <c r="E3" s="321">
        <f t="shared" si="0"/>
        <v>1</v>
      </c>
      <c r="F3" s="321">
        <f t="shared" si="0"/>
        <v>7528576</v>
      </c>
      <c r="G3" s="324">
        <f>IF(D3&lt;&gt;0,F3/D3,"")</f>
        <v>1.1507283822375858</v>
      </c>
      <c r="H3" s="320">
        <f t="shared" si="0"/>
        <v>585873.56000000006</v>
      </c>
      <c r="I3" s="321">
        <f t="shared" si="0"/>
        <v>0.63710169695927066</v>
      </c>
      <c r="J3" s="321">
        <f t="shared" si="0"/>
        <v>919591.90000000014</v>
      </c>
      <c r="K3" s="321">
        <f t="shared" si="0"/>
        <v>1</v>
      </c>
      <c r="L3" s="321">
        <f t="shared" si="0"/>
        <v>1564899.1400000001</v>
      </c>
      <c r="M3" s="322">
        <f>IF(J3&lt;&gt;0,L3/J3,"")</f>
        <v>1.7017321922909499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47" t="s">
        <v>116</v>
      </c>
      <c r="B4" s="548" t="s">
        <v>110</v>
      </c>
      <c r="C4" s="549"/>
      <c r="D4" s="549"/>
      <c r="E4" s="549"/>
      <c r="F4" s="549"/>
      <c r="G4" s="551"/>
      <c r="H4" s="548" t="s">
        <v>111</v>
      </c>
      <c r="I4" s="549"/>
      <c r="J4" s="549"/>
      <c r="K4" s="549"/>
      <c r="L4" s="549"/>
      <c r="M4" s="551"/>
      <c r="N4" s="548" t="s">
        <v>112</v>
      </c>
      <c r="O4" s="549"/>
      <c r="P4" s="549"/>
      <c r="Q4" s="549"/>
      <c r="R4" s="549"/>
      <c r="S4" s="551"/>
    </row>
    <row r="5" spans="1:19" ht="14.4" customHeight="1" thickBot="1" x14ac:dyDescent="0.35">
      <c r="A5" s="745"/>
      <c r="B5" s="746">
        <v>2015</v>
      </c>
      <c r="C5" s="747"/>
      <c r="D5" s="747">
        <v>2016</v>
      </c>
      <c r="E5" s="747"/>
      <c r="F5" s="747">
        <v>2017</v>
      </c>
      <c r="G5" s="748" t="s">
        <v>2</v>
      </c>
      <c r="H5" s="746">
        <v>2015</v>
      </c>
      <c r="I5" s="747"/>
      <c r="J5" s="747">
        <v>2016</v>
      </c>
      <c r="K5" s="747"/>
      <c r="L5" s="747">
        <v>2017</v>
      </c>
      <c r="M5" s="748" t="s">
        <v>2</v>
      </c>
      <c r="N5" s="746">
        <v>2015</v>
      </c>
      <c r="O5" s="747"/>
      <c r="P5" s="747">
        <v>2016</v>
      </c>
      <c r="Q5" s="747"/>
      <c r="R5" s="747">
        <v>2017</v>
      </c>
      <c r="S5" s="748" t="s">
        <v>2</v>
      </c>
    </row>
    <row r="6" spans="1:19" ht="14.4" customHeight="1" thickBot="1" x14ac:dyDescent="0.35">
      <c r="A6" s="751" t="s">
        <v>1554</v>
      </c>
      <c r="B6" s="749">
        <v>4485434</v>
      </c>
      <c r="C6" s="750">
        <v>0.68558997218776352</v>
      </c>
      <c r="D6" s="749">
        <v>6542444</v>
      </c>
      <c r="E6" s="750">
        <v>1</v>
      </c>
      <c r="F6" s="749">
        <v>7528576</v>
      </c>
      <c r="G6" s="426">
        <v>1.1507283822375858</v>
      </c>
      <c r="H6" s="749">
        <v>585873.56000000006</v>
      </c>
      <c r="I6" s="750">
        <v>0.63710169695927066</v>
      </c>
      <c r="J6" s="749">
        <v>919591.90000000014</v>
      </c>
      <c r="K6" s="750">
        <v>1</v>
      </c>
      <c r="L6" s="749">
        <v>1564899.1400000001</v>
      </c>
      <c r="M6" s="426">
        <v>1.7017321922909499</v>
      </c>
      <c r="N6" s="749"/>
      <c r="O6" s="750"/>
      <c r="P6" s="749"/>
      <c r="Q6" s="750"/>
      <c r="R6" s="749"/>
      <c r="S6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1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8" t="s">
        <v>2332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</row>
    <row r="2" spans="1:17" ht="14.4" customHeight="1" thickBot="1" x14ac:dyDescent="0.35">
      <c r="A2" s="351" t="s">
        <v>322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142</v>
      </c>
      <c r="F3" s="191">
        <f t="shared" ref="F3:O3" si="0">SUBTOTAL(9,F6:F1048576)</f>
        <v>1570.6499999999999</v>
      </c>
      <c r="G3" s="192">
        <f t="shared" si="0"/>
        <v>5071307.5600000005</v>
      </c>
      <c r="H3" s="192"/>
      <c r="I3" s="192"/>
      <c r="J3" s="192">
        <f t="shared" si="0"/>
        <v>2148.7200000000003</v>
      </c>
      <c r="K3" s="192">
        <f t="shared" si="0"/>
        <v>7462035.9000000004</v>
      </c>
      <c r="L3" s="192"/>
      <c r="M3" s="192"/>
      <c r="N3" s="192">
        <f t="shared" si="0"/>
        <v>2705.21</v>
      </c>
      <c r="O3" s="192">
        <f t="shared" si="0"/>
        <v>9093475.1400000006</v>
      </c>
      <c r="P3" s="70">
        <f>IF(K3=0,0,O3/K3)</f>
        <v>1.2186319205459732</v>
      </c>
      <c r="Q3" s="193">
        <f>IF(N3=0,0,O3/N3)</f>
        <v>3361.4673685222219</v>
      </c>
    </row>
    <row r="4" spans="1:17" ht="14.4" customHeight="1" x14ac:dyDescent="0.3">
      <c r="A4" s="554" t="s">
        <v>61</v>
      </c>
      <c r="B4" s="552" t="s">
        <v>106</v>
      </c>
      <c r="C4" s="554" t="s">
        <v>107</v>
      </c>
      <c r="D4" s="558" t="s">
        <v>108</v>
      </c>
      <c r="E4" s="555" t="s">
        <v>68</v>
      </c>
      <c r="F4" s="556">
        <v>2015</v>
      </c>
      <c r="G4" s="557"/>
      <c r="H4" s="194"/>
      <c r="I4" s="194"/>
      <c r="J4" s="556">
        <v>2016</v>
      </c>
      <c r="K4" s="557"/>
      <c r="L4" s="194"/>
      <c r="M4" s="194"/>
      <c r="N4" s="556">
        <v>2017</v>
      </c>
      <c r="O4" s="557"/>
      <c r="P4" s="559" t="s">
        <v>2</v>
      </c>
      <c r="Q4" s="553" t="s">
        <v>109</v>
      </c>
    </row>
    <row r="5" spans="1:17" ht="14.4" customHeight="1" thickBot="1" x14ac:dyDescent="0.35">
      <c r="A5" s="752"/>
      <c r="B5" s="753"/>
      <c r="C5" s="752"/>
      <c r="D5" s="754"/>
      <c r="E5" s="755"/>
      <c r="F5" s="756" t="s">
        <v>78</v>
      </c>
      <c r="G5" s="757" t="s">
        <v>14</v>
      </c>
      <c r="H5" s="758"/>
      <c r="I5" s="758"/>
      <c r="J5" s="756" t="s">
        <v>78</v>
      </c>
      <c r="K5" s="757" t="s">
        <v>14</v>
      </c>
      <c r="L5" s="758"/>
      <c r="M5" s="758"/>
      <c r="N5" s="756" t="s">
        <v>78</v>
      </c>
      <c r="O5" s="757" t="s">
        <v>14</v>
      </c>
      <c r="P5" s="759"/>
      <c r="Q5" s="760"/>
    </row>
    <row r="6" spans="1:17" ht="14.4" customHeight="1" x14ac:dyDescent="0.3">
      <c r="A6" s="655" t="s">
        <v>512</v>
      </c>
      <c r="B6" s="656" t="s">
        <v>1954</v>
      </c>
      <c r="C6" s="656" t="s">
        <v>1955</v>
      </c>
      <c r="D6" s="656" t="s">
        <v>1956</v>
      </c>
      <c r="E6" s="656" t="s">
        <v>1957</v>
      </c>
      <c r="F6" s="659">
        <v>2</v>
      </c>
      <c r="G6" s="659">
        <v>6976</v>
      </c>
      <c r="H6" s="659"/>
      <c r="I6" s="659">
        <v>3488</v>
      </c>
      <c r="J6" s="659"/>
      <c r="K6" s="659"/>
      <c r="L6" s="659"/>
      <c r="M6" s="659"/>
      <c r="N6" s="659"/>
      <c r="O6" s="659"/>
      <c r="P6" s="678"/>
      <c r="Q6" s="660"/>
    </row>
    <row r="7" spans="1:17" ht="14.4" customHeight="1" x14ac:dyDescent="0.3">
      <c r="A7" s="661" t="s">
        <v>512</v>
      </c>
      <c r="B7" s="662" t="s">
        <v>1954</v>
      </c>
      <c r="C7" s="662" t="s">
        <v>1955</v>
      </c>
      <c r="D7" s="662" t="s">
        <v>1958</v>
      </c>
      <c r="E7" s="662" t="s">
        <v>1959</v>
      </c>
      <c r="F7" s="665">
        <v>9</v>
      </c>
      <c r="G7" s="665">
        <v>24282</v>
      </c>
      <c r="H7" s="665">
        <v>2.1915162454873647</v>
      </c>
      <c r="I7" s="665">
        <v>2698</v>
      </c>
      <c r="J7" s="665">
        <v>4</v>
      </c>
      <c r="K7" s="665">
        <v>11080</v>
      </c>
      <c r="L7" s="665">
        <v>1</v>
      </c>
      <c r="M7" s="665">
        <v>2770</v>
      </c>
      <c r="N7" s="665">
        <v>8</v>
      </c>
      <c r="O7" s="665">
        <v>22167</v>
      </c>
      <c r="P7" s="686">
        <v>2.0006317689530686</v>
      </c>
      <c r="Q7" s="666">
        <v>2770.875</v>
      </c>
    </row>
    <row r="8" spans="1:17" ht="14.4" customHeight="1" x14ac:dyDescent="0.3">
      <c r="A8" s="661" t="s">
        <v>512</v>
      </c>
      <c r="B8" s="662" t="s">
        <v>1954</v>
      </c>
      <c r="C8" s="662" t="s">
        <v>1955</v>
      </c>
      <c r="D8" s="662" t="s">
        <v>1960</v>
      </c>
      <c r="E8" s="662" t="s">
        <v>1961</v>
      </c>
      <c r="F8" s="665">
        <v>1</v>
      </c>
      <c r="G8" s="665">
        <v>5989</v>
      </c>
      <c r="H8" s="665">
        <v>0.97066450567260942</v>
      </c>
      <c r="I8" s="665">
        <v>5989</v>
      </c>
      <c r="J8" s="665">
        <v>1</v>
      </c>
      <c r="K8" s="665">
        <v>6170</v>
      </c>
      <c r="L8" s="665">
        <v>1</v>
      </c>
      <c r="M8" s="665">
        <v>6170</v>
      </c>
      <c r="N8" s="665">
        <v>2</v>
      </c>
      <c r="O8" s="665">
        <v>12346</v>
      </c>
      <c r="P8" s="686">
        <v>2.0009724473257697</v>
      </c>
      <c r="Q8" s="666">
        <v>6173</v>
      </c>
    </row>
    <row r="9" spans="1:17" ht="14.4" customHeight="1" x14ac:dyDescent="0.3">
      <c r="A9" s="661" t="s">
        <v>512</v>
      </c>
      <c r="B9" s="662" t="s">
        <v>1954</v>
      </c>
      <c r="C9" s="662" t="s">
        <v>1955</v>
      </c>
      <c r="D9" s="662" t="s">
        <v>1962</v>
      </c>
      <c r="E9" s="662" t="s">
        <v>1963</v>
      </c>
      <c r="F9" s="665">
        <v>1</v>
      </c>
      <c r="G9" s="665">
        <v>3123</v>
      </c>
      <c r="H9" s="665"/>
      <c r="I9" s="665">
        <v>3123</v>
      </c>
      <c r="J9" s="665"/>
      <c r="K9" s="665"/>
      <c r="L9" s="665"/>
      <c r="M9" s="665"/>
      <c r="N9" s="665"/>
      <c r="O9" s="665"/>
      <c r="P9" s="686"/>
      <c r="Q9" s="666"/>
    </row>
    <row r="10" spans="1:17" ht="14.4" customHeight="1" x14ac:dyDescent="0.3">
      <c r="A10" s="661" t="s">
        <v>512</v>
      </c>
      <c r="B10" s="662" t="s">
        <v>1954</v>
      </c>
      <c r="C10" s="662" t="s">
        <v>1955</v>
      </c>
      <c r="D10" s="662" t="s">
        <v>1964</v>
      </c>
      <c r="E10" s="662" t="s">
        <v>1965</v>
      </c>
      <c r="F10" s="665">
        <v>4</v>
      </c>
      <c r="G10" s="665">
        <v>8292</v>
      </c>
      <c r="H10" s="665">
        <v>1.932867132867133</v>
      </c>
      <c r="I10" s="665">
        <v>2073</v>
      </c>
      <c r="J10" s="665">
        <v>2</v>
      </c>
      <c r="K10" s="665">
        <v>4290</v>
      </c>
      <c r="L10" s="665">
        <v>1</v>
      </c>
      <c r="M10" s="665">
        <v>2145</v>
      </c>
      <c r="N10" s="665">
        <v>7</v>
      </c>
      <c r="O10" s="665">
        <v>15022</v>
      </c>
      <c r="P10" s="686">
        <v>3.5016317016317018</v>
      </c>
      <c r="Q10" s="666">
        <v>2146</v>
      </c>
    </row>
    <row r="11" spans="1:17" ht="14.4" customHeight="1" x14ac:dyDescent="0.3">
      <c r="A11" s="661" t="s">
        <v>512</v>
      </c>
      <c r="B11" s="662" t="s">
        <v>1954</v>
      </c>
      <c r="C11" s="662" t="s">
        <v>1955</v>
      </c>
      <c r="D11" s="662" t="s">
        <v>1966</v>
      </c>
      <c r="E11" s="662" t="s">
        <v>1967</v>
      </c>
      <c r="F11" s="665">
        <v>1</v>
      </c>
      <c r="G11" s="665">
        <v>1630</v>
      </c>
      <c r="H11" s="665"/>
      <c r="I11" s="665">
        <v>1630</v>
      </c>
      <c r="J11" s="665"/>
      <c r="K11" s="665"/>
      <c r="L11" s="665"/>
      <c r="M11" s="665"/>
      <c r="N11" s="665"/>
      <c r="O11" s="665"/>
      <c r="P11" s="686"/>
      <c r="Q11" s="666"/>
    </row>
    <row r="12" spans="1:17" ht="14.4" customHeight="1" x14ac:dyDescent="0.3">
      <c r="A12" s="661" t="s">
        <v>512</v>
      </c>
      <c r="B12" s="662" t="s">
        <v>1954</v>
      </c>
      <c r="C12" s="662" t="s">
        <v>1955</v>
      </c>
      <c r="D12" s="662" t="s">
        <v>1968</v>
      </c>
      <c r="E12" s="662" t="s">
        <v>1969</v>
      </c>
      <c r="F12" s="665">
        <v>2</v>
      </c>
      <c r="G12" s="665">
        <v>4484</v>
      </c>
      <c r="H12" s="665">
        <v>0.32296168251224433</v>
      </c>
      <c r="I12" s="665">
        <v>2242</v>
      </c>
      <c r="J12" s="665">
        <v>6</v>
      </c>
      <c r="K12" s="665">
        <v>13884</v>
      </c>
      <c r="L12" s="665">
        <v>1</v>
      </c>
      <c r="M12" s="665">
        <v>2314</v>
      </c>
      <c r="N12" s="665">
        <v>2</v>
      </c>
      <c r="O12" s="665">
        <v>4629</v>
      </c>
      <c r="P12" s="686">
        <v>0.33340535868625754</v>
      </c>
      <c r="Q12" s="666">
        <v>2314.5</v>
      </c>
    </row>
    <row r="13" spans="1:17" ht="14.4" customHeight="1" x14ac:dyDescent="0.3">
      <c r="A13" s="661" t="s">
        <v>512</v>
      </c>
      <c r="B13" s="662" t="s">
        <v>1954</v>
      </c>
      <c r="C13" s="662" t="s">
        <v>1955</v>
      </c>
      <c r="D13" s="662" t="s">
        <v>1970</v>
      </c>
      <c r="E13" s="662" t="s">
        <v>1971</v>
      </c>
      <c r="F13" s="665"/>
      <c r="G13" s="665"/>
      <c r="H13" s="665"/>
      <c r="I13" s="665"/>
      <c r="J13" s="665">
        <v>1</v>
      </c>
      <c r="K13" s="665">
        <v>2769</v>
      </c>
      <c r="L13" s="665">
        <v>1</v>
      </c>
      <c r="M13" s="665">
        <v>2769</v>
      </c>
      <c r="N13" s="665">
        <v>17</v>
      </c>
      <c r="O13" s="665">
        <v>47089</v>
      </c>
      <c r="P13" s="686">
        <v>17.005778259299387</v>
      </c>
      <c r="Q13" s="666">
        <v>2769.9411764705883</v>
      </c>
    </row>
    <row r="14" spans="1:17" ht="14.4" customHeight="1" x14ac:dyDescent="0.3">
      <c r="A14" s="661" t="s">
        <v>512</v>
      </c>
      <c r="B14" s="662" t="s">
        <v>1954</v>
      </c>
      <c r="C14" s="662" t="s">
        <v>1955</v>
      </c>
      <c r="D14" s="662" t="s">
        <v>1972</v>
      </c>
      <c r="E14" s="662" t="s">
        <v>1973</v>
      </c>
      <c r="F14" s="665"/>
      <c r="G14" s="665"/>
      <c r="H14" s="665"/>
      <c r="I14" s="665"/>
      <c r="J14" s="665"/>
      <c r="K14" s="665"/>
      <c r="L14" s="665"/>
      <c r="M14" s="665"/>
      <c r="N14" s="665">
        <v>1</v>
      </c>
      <c r="O14" s="665">
        <v>5148</v>
      </c>
      <c r="P14" s="686"/>
      <c r="Q14" s="666">
        <v>5148</v>
      </c>
    </row>
    <row r="15" spans="1:17" ht="14.4" customHeight="1" x14ac:dyDescent="0.3">
      <c r="A15" s="661" t="s">
        <v>512</v>
      </c>
      <c r="B15" s="662" t="s">
        <v>1954</v>
      </c>
      <c r="C15" s="662" t="s">
        <v>1955</v>
      </c>
      <c r="D15" s="662" t="s">
        <v>1974</v>
      </c>
      <c r="E15" s="662" t="s">
        <v>1975</v>
      </c>
      <c r="F15" s="665">
        <v>1</v>
      </c>
      <c r="G15" s="665">
        <v>4901</v>
      </c>
      <c r="H15" s="665"/>
      <c r="I15" s="665">
        <v>4901</v>
      </c>
      <c r="J15" s="665"/>
      <c r="K15" s="665"/>
      <c r="L15" s="665"/>
      <c r="M15" s="665"/>
      <c r="N15" s="665"/>
      <c r="O15" s="665"/>
      <c r="P15" s="686"/>
      <c r="Q15" s="666"/>
    </row>
    <row r="16" spans="1:17" ht="14.4" customHeight="1" x14ac:dyDescent="0.3">
      <c r="A16" s="661" t="s">
        <v>512</v>
      </c>
      <c r="B16" s="662" t="s">
        <v>1954</v>
      </c>
      <c r="C16" s="662" t="s">
        <v>1955</v>
      </c>
      <c r="D16" s="662" t="s">
        <v>1976</v>
      </c>
      <c r="E16" s="662" t="s">
        <v>1977</v>
      </c>
      <c r="F16" s="665">
        <v>2</v>
      </c>
      <c r="G16" s="665">
        <v>1638</v>
      </c>
      <c r="H16" s="665">
        <v>0.97966507177033491</v>
      </c>
      <c r="I16" s="665">
        <v>819</v>
      </c>
      <c r="J16" s="665">
        <v>2</v>
      </c>
      <c r="K16" s="665">
        <v>1672</v>
      </c>
      <c r="L16" s="665">
        <v>1</v>
      </c>
      <c r="M16" s="665">
        <v>836</v>
      </c>
      <c r="N16" s="665">
        <v>2</v>
      </c>
      <c r="O16" s="665">
        <v>1674</v>
      </c>
      <c r="P16" s="686">
        <v>1.0011961722488039</v>
      </c>
      <c r="Q16" s="666">
        <v>837</v>
      </c>
    </row>
    <row r="17" spans="1:17" ht="14.4" customHeight="1" x14ac:dyDescent="0.3">
      <c r="A17" s="661" t="s">
        <v>512</v>
      </c>
      <c r="B17" s="662" t="s">
        <v>1954</v>
      </c>
      <c r="C17" s="662" t="s">
        <v>1955</v>
      </c>
      <c r="D17" s="662" t="s">
        <v>1978</v>
      </c>
      <c r="E17" s="662" t="s">
        <v>1979</v>
      </c>
      <c r="F17" s="665">
        <v>2</v>
      </c>
      <c r="G17" s="665">
        <v>0</v>
      </c>
      <c r="H17" s="665"/>
      <c r="I17" s="665">
        <v>0</v>
      </c>
      <c r="J17" s="665"/>
      <c r="K17" s="665"/>
      <c r="L17" s="665"/>
      <c r="M17" s="665"/>
      <c r="N17" s="665">
        <v>2</v>
      </c>
      <c r="O17" s="665">
        <v>0</v>
      </c>
      <c r="P17" s="686"/>
      <c r="Q17" s="666">
        <v>0</v>
      </c>
    </row>
    <row r="18" spans="1:17" ht="14.4" customHeight="1" x14ac:dyDescent="0.3">
      <c r="A18" s="661" t="s">
        <v>512</v>
      </c>
      <c r="B18" s="662" t="s">
        <v>1954</v>
      </c>
      <c r="C18" s="662" t="s">
        <v>1955</v>
      </c>
      <c r="D18" s="662" t="s">
        <v>1980</v>
      </c>
      <c r="E18" s="662" t="s">
        <v>1981</v>
      </c>
      <c r="F18" s="665">
        <v>1</v>
      </c>
      <c r="G18" s="665">
        <v>0</v>
      </c>
      <c r="H18" s="665"/>
      <c r="I18" s="665">
        <v>0</v>
      </c>
      <c r="J18" s="665"/>
      <c r="K18" s="665"/>
      <c r="L18" s="665"/>
      <c r="M18" s="665"/>
      <c r="N18" s="665">
        <v>1</v>
      </c>
      <c r="O18" s="665">
        <v>0</v>
      </c>
      <c r="P18" s="686"/>
      <c r="Q18" s="666">
        <v>0</v>
      </c>
    </row>
    <row r="19" spans="1:17" ht="14.4" customHeight="1" x14ac:dyDescent="0.3">
      <c r="A19" s="661" t="s">
        <v>512</v>
      </c>
      <c r="B19" s="662" t="s">
        <v>1954</v>
      </c>
      <c r="C19" s="662" t="s">
        <v>1955</v>
      </c>
      <c r="D19" s="662" t="s">
        <v>1982</v>
      </c>
      <c r="E19" s="662" t="s">
        <v>1983</v>
      </c>
      <c r="F19" s="665">
        <v>1</v>
      </c>
      <c r="G19" s="665">
        <v>0</v>
      </c>
      <c r="H19" s="665"/>
      <c r="I19" s="665">
        <v>0</v>
      </c>
      <c r="J19" s="665"/>
      <c r="K19" s="665"/>
      <c r="L19" s="665"/>
      <c r="M19" s="665"/>
      <c r="N19" s="665">
        <v>1</v>
      </c>
      <c r="O19" s="665">
        <v>0</v>
      </c>
      <c r="P19" s="686"/>
      <c r="Q19" s="666">
        <v>0</v>
      </c>
    </row>
    <row r="20" spans="1:17" ht="14.4" customHeight="1" x14ac:dyDescent="0.3">
      <c r="A20" s="661" t="s">
        <v>512</v>
      </c>
      <c r="B20" s="662" t="s">
        <v>1954</v>
      </c>
      <c r="C20" s="662" t="s">
        <v>1955</v>
      </c>
      <c r="D20" s="662" t="s">
        <v>1984</v>
      </c>
      <c r="E20" s="662" t="s">
        <v>1985</v>
      </c>
      <c r="F20" s="665">
        <v>1</v>
      </c>
      <c r="G20" s="665">
        <v>0</v>
      </c>
      <c r="H20" s="665"/>
      <c r="I20" s="665">
        <v>0</v>
      </c>
      <c r="J20" s="665"/>
      <c r="K20" s="665"/>
      <c r="L20" s="665"/>
      <c r="M20" s="665"/>
      <c r="N20" s="665"/>
      <c r="O20" s="665"/>
      <c r="P20" s="686"/>
      <c r="Q20" s="666"/>
    </row>
    <row r="21" spans="1:17" ht="14.4" customHeight="1" x14ac:dyDescent="0.3">
      <c r="A21" s="661" t="s">
        <v>512</v>
      </c>
      <c r="B21" s="662" t="s">
        <v>1954</v>
      </c>
      <c r="C21" s="662" t="s">
        <v>1955</v>
      </c>
      <c r="D21" s="662" t="s">
        <v>1986</v>
      </c>
      <c r="E21" s="662" t="s">
        <v>1987</v>
      </c>
      <c r="F21" s="665">
        <v>1</v>
      </c>
      <c r="G21" s="665">
        <v>0</v>
      </c>
      <c r="H21" s="665"/>
      <c r="I21" s="665">
        <v>0</v>
      </c>
      <c r="J21" s="665"/>
      <c r="K21" s="665"/>
      <c r="L21" s="665"/>
      <c r="M21" s="665"/>
      <c r="N21" s="665"/>
      <c r="O21" s="665"/>
      <c r="P21" s="686"/>
      <c r="Q21" s="666"/>
    </row>
    <row r="22" spans="1:17" ht="14.4" customHeight="1" x14ac:dyDescent="0.3">
      <c r="A22" s="661" t="s">
        <v>512</v>
      </c>
      <c r="B22" s="662" t="s">
        <v>1954</v>
      </c>
      <c r="C22" s="662" t="s">
        <v>1955</v>
      </c>
      <c r="D22" s="662" t="s">
        <v>1988</v>
      </c>
      <c r="E22" s="662" t="s">
        <v>1989</v>
      </c>
      <c r="F22" s="665">
        <v>1</v>
      </c>
      <c r="G22" s="665">
        <v>0</v>
      </c>
      <c r="H22" s="665"/>
      <c r="I22" s="665">
        <v>0</v>
      </c>
      <c r="J22" s="665"/>
      <c r="K22" s="665"/>
      <c r="L22" s="665"/>
      <c r="M22" s="665"/>
      <c r="N22" s="665"/>
      <c r="O22" s="665"/>
      <c r="P22" s="686"/>
      <c r="Q22" s="666"/>
    </row>
    <row r="23" spans="1:17" ht="14.4" customHeight="1" x14ac:dyDescent="0.3">
      <c r="A23" s="661" t="s">
        <v>512</v>
      </c>
      <c r="B23" s="662" t="s">
        <v>1954</v>
      </c>
      <c r="C23" s="662" t="s">
        <v>1955</v>
      </c>
      <c r="D23" s="662" t="s">
        <v>1990</v>
      </c>
      <c r="E23" s="662" t="s">
        <v>1991</v>
      </c>
      <c r="F23" s="665"/>
      <c r="G23" s="665"/>
      <c r="H23" s="665"/>
      <c r="I23" s="665"/>
      <c r="J23" s="665"/>
      <c r="K23" s="665"/>
      <c r="L23" s="665"/>
      <c r="M23" s="665"/>
      <c r="N23" s="665">
        <v>1</v>
      </c>
      <c r="O23" s="665">
        <v>0</v>
      </c>
      <c r="P23" s="686"/>
      <c r="Q23" s="666">
        <v>0</v>
      </c>
    </row>
    <row r="24" spans="1:17" ht="14.4" customHeight="1" x14ac:dyDescent="0.3">
      <c r="A24" s="661" t="s">
        <v>512</v>
      </c>
      <c r="B24" s="662" t="s">
        <v>1954</v>
      </c>
      <c r="C24" s="662" t="s">
        <v>1955</v>
      </c>
      <c r="D24" s="662" t="s">
        <v>1992</v>
      </c>
      <c r="E24" s="662" t="s">
        <v>1993</v>
      </c>
      <c r="F24" s="665">
        <v>1</v>
      </c>
      <c r="G24" s="665">
        <v>0</v>
      </c>
      <c r="H24" s="665"/>
      <c r="I24" s="665">
        <v>0</v>
      </c>
      <c r="J24" s="665"/>
      <c r="K24" s="665"/>
      <c r="L24" s="665"/>
      <c r="M24" s="665"/>
      <c r="N24" s="665">
        <v>2</v>
      </c>
      <c r="O24" s="665">
        <v>0</v>
      </c>
      <c r="P24" s="686"/>
      <c r="Q24" s="666">
        <v>0</v>
      </c>
    </row>
    <row r="25" spans="1:17" ht="14.4" customHeight="1" x14ac:dyDescent="0.3">
      <c r="A25" s="661" t="s">
        <v>512</v>
      </c>
      <c r="B25" s="662" t="s">
        <v>1954</v>
      </c>
      <c r="C25" s="662" t="s">
        <v>1955</v>
      </c>
      <c r="D25" s="662" t="s">
        <v>1994</v>
      </c>
      <c r="E25" s="662" t="s">
        <v>1995</v>
      </c>
      <c r="F25" s="665">
        <v>1</v>
      </c>
      <c r="G25" s="665">
        <v>755</v>
      </c>
      <c r="H25" s="665"/>
      <c r="I25" s="665">
        <v>755</v>
      </c>
      <c r="J25" s="665"/>
      <c r="K25" s="665"/>
      <c r="L25" s="665"/>
      <c r="M25" s="665"/>
      <c r="N25" s="665"/>
      <c r="O25" s="665"/>
      <c r="P25" s="686"/>
      <c r="Q25" s="666"/>
    </row>
    <row r="26" spans="1:17" ht="14.4" customHeight="1" x14ac:dyDescent="0.3">
      <c r="A26" s="661" t="s">
        <v>512</v>
      </c>
      <c r="B26" s="662" t="s">
        <v>1954</v>
      </c>
      <c r="C26" s="662" t="s">
        <v>1955</v>
      </c>
      <c r="D26" s="662" t="s">
        <v>1996</v>
      </c>
      <c r="E26" s="662" t="s">
        <v>1997</v>
      </c>
      <c r="F26" s="665">
        <v>1</v>
      </c>
      <c r="G26" s="665">
        <v>815</v>
      </c>
      <c r="H26" s="665"/>
      <c r="I26" s="665">
        <v>815</v>
      </c>
      <c r="J26" s="665"/>
      <c r="K26" s="665"/>
      <c r="L26" s="665"/>
      <c r="M26" s="665"/>
      <c r="N26" s="665">
        <v>1</v>
      </c>
      <c r="O26" s="665">
        <v>840</v>
      </c>
      <c r="P26" s="686"/>
      <c r="Q26" s="666">
        <v>840</v>
      </c>
    </row>
    <row r="27" spans="1:17" ht="14.4" customHeight="1" x14ac:dyDescent="0.3">
      <c r="A27" s="661" t="s">
        <v>512</v>
      </c>
      <c r="B27" s="662" t="s">
        <v>1954</v>
      </c>
      <c r="C27" s="662" t="s">
        <v>1955</v>
      </c>
      <c r="D27" s="662" t="s">
        <v>1998</v>
      </c>
      <c r="E27" s="662" t="s">
        <v>1999</v>
      </c>
      <c r="F27" s="665">
        <v>1</v>
      </c>
      <c r="G27" s="665">
        <v>9123</v>
      </c>
      <c r="H27" s="665">
        <v>0.97666202762016918</v>
      </c>
      <c r="I27" s="665">
        <v>9123</v>
      </c>
      <c r="J27" s="665">
        <v>1</v>
      </c>
      <c r="K27" s="665">
        <v>9341</v>
      </c>
      <c r="L27" s="665">
        <v>1</v>
      </c>
      <c r="M27" s="665">
        <v>9341</v>
      </c>
      <c r="N27" s="665"/>
      <c r="O27" s="665"/>
      <c r="P27" s="686"/>
      <c r="Q27" s="666"/>
    </row>
    <row r="28" spans="1:17" ht="14.4" customHeight="1" x14ac:dyDescent="0.3">
      <c r="A28" s="661" t="s">
        <v>512</v>
      </c>
      <c r="B28" s="662" t="s">
        <v>1954</v>
      </c>
      <c r="C28" s="662" t="s">
        <v>1955</v>
      </c>
      <c r="D28" s="662" t="s">
        <v>2000</v>
      </c>
      <c r="E28" s="662" t="s">
        <v>2001</v>
      </c>
      <c r="F28" s="665">
        <v>1</v>
      </c>
      <c r="G28" s="665">
        <v>436</v>
      </c>
      <c r="H28" s="665"/>
      <c r="I28" s="665">
        <v>436</v>
      </c>
      <c r="J28" s="665"/>
      <c r="K28" s="665"/>
      <c r="L28" s="665"/>
      <c r="M28" s="665"/>
      <c r="N28" s="665"/>
      <c r="O28" s="665"/>
      <c r="P28" s="686"/>
      <c r="Q28" s="666"/>
    </row>
    <row r="29" spans="1:17" ht="14.4" customHeight="1" x14ac:dyDescent="0.3">
      <c r="A29" s="661" t="s">
        <v>512</v>
      </c>
      <c r="B29" s="662" t="s">
        <v>1954</v>
      </c>
      <c r="C29" s="662" t="s">
        <v>1955</v>
      </c>
      <c r="D29" s="662" t="s">
        <v>2002</v>
      </c>
      <c r="E29" s="662" t="s">
        <v>2003</v>
      </c>
      <c r="F29" s="665"/>
      <c r="G29" s="665"/>
      <c r="H29" s="665"/>
      <c r="I29" s="665"/>
      <c r="J29" s="665"/>
      <c r="K29" s="665"/>
      <c r="L29" s="665"/>
      <c r="M29" s="665"/>
      <c r="N29" s="665">
        <v>7</v>
      </c>
      <c r="O29" s="665">
        <v>6055</v>
      </c>
      <c r="P29" s="686"/>
      <c r="Q29" s="666">
        <v>865</v>
      </c>
    </row>
    <row r="30" spans="1:17" ht="14.4" customHeight="1" x14ac:dyDescent="0.3">
      <c r="A30" s="661" t="s">
        <v>512</v>
      </c>
      <c r="B30" s="662" t="s">
        <v>1954</v>
      </c>
      <c r="C30" s="662" t="s">
        <v>1955</v>
      </c>
      <c r="D30" s="662" t="s">
        <v>2004</v>
      </c>
      <c r="E30" s="662" t="s">
        <v>2005</v>
      </c>
      <c r="F30" s="665">
        <v>3</v>
      </c>
      <c r="G30" s="665">
        <v>10476</v>
      </c>
      <c r="H30" s="665">
        <v>1.4501661129568106</v>
      </c>
      <c r="I30" s="665">
        <v>3492</v>
      </c>
      <c r="J30" s="665">
        <v>2</v>
      </c>
      <c r="K30" s="665">
        <v>7224</v>
      </c>
      <c r="L30" s="665">
        <v>1</v>
      </c>
      <c r="M30" s="665">
        <v>3612</v>
      </c>
      <c r="N30" s="665"/>
      <c r="O30" s="665"/>
      <c r="P30" s="686"/>
      <c r="Q30" s="666"/>
    </row>
    <row r="31" spans="1:17" ht="14.4" customHeight="1" x14ac:dyDescent="0.3">
      <c r="A31" s="661" t="s">
        <v>512</v>
      </c>
      <c r="B31" s="662" t="s">
        <v>1954</v>
      </c>
      <c r="C31" s="662" t="s">
        <v>1955</v>
      </c>
      <c r="D31" s="662" t="s">
        <v>2006</v>
      </c>
      <c r="E31" s="662" t="s">
        <v>2007</v>
      </c>
      <c r="F31" s="665">
        <v>3</v>
      </c>
      <c r="G31" s="665">
        <v>1905</v>
      </c>
      <c r="H31" s="665"/>
      <c r="I31" s="665">
        <v>635</v>
      </c>
      <c r="J31" s="665"/>
      <c r="K31" s="665"/>
      <c r="L31" s="665"/>
      <c r="M31" s="665"/>
      <c r="N31" s="665"/>
      <c r="O31" s="665"/>
      <c r="P31" s="686"/>
      <c r="Q31" s="666"/>
    </row>
    <row r="32" spans="1:17" ht="14.4" customHeight="1" x14ac:dyDescent="0.3">
      <c r="A32" s="661" t="s">
        <v>512</v>
      </c>
      <c r="B32" s="662" t="s">
        <v>1954</v>
      </c>
      <c r="C32" s="662" t="s">
        <v>1955</v>
      </c>
      <c r="D32" s="662" t="s">
        <v>2008</v>
      </c>
      <c r="E32" s="662" t="s">
        <v>2009</v>
      </c>
      <c r="F32" s="665"/>
      <c r="G32" s="665"/>
      <c r="H32" s="665"/>
      <c r="I32" s="665"/>
      <c r="J32" s="665">
        <v>1</v>
      </c>
      <c r="K32" s="665">
        <v>16075</v>
      </c>
      <c r="L32" s="665">
        <v>1</v>
      </c>
      <c r="M32" s="665">
        <v>16075</v>
      </c>
      <c r="N32" s="665">
        <v>1</v>
      </c>
      <c r="O32" s="665">
        <v>16084</v>
      </c>
      <c r="P32" s="686">
        <v>1.0005598755832037</v>
      </c>
      <c r="Q32" s="666">
        <v>16084</v>
      </c>
    </row>
    <row r="33" spans="1:17" ht="14.4" customHeight="1" x14ac:dyDescent="0.3">
      <c r="A33" s="661" t="s">
        <v>512</v>
      </c>
      <c r="B33" s="662" t="s">
        <v>1954</v>
      </c>
      <c r="C33" s="662" t="s">
        <v>1955</v>
      </c>
      <c r="D33" s="662" t="s">
        <v>2010</v>
      </c>
      <c r="E33" s="662" t="s">
        <v>2011</v>
      </c>
      <c r="F33" s="665">
        <v>2</v>
      </c>
      <c r="G33" s="665">
        <v>0</v>
      </c>
      <c r="H33" s="665"/>
      <c r="I33" s="665">
        <v>0</v>
      </c>
      <c r="J33" s="665"/>
      <c r="K33" s="665"/>
      <c r="L33" s="665"/>
      <c r="M33" s="665"/>
      <c r="N33" s="665">
        <v>2</v>
      </c>
      <c r="O33" s="665">
        <v>0</v>
      </c>
      <c r="P33" s="686"/>
      <c r="Q33" s="666">
        <v>0</v>
      </c>
    </row>
    <row r="34" spans="1:17" ht="14.4" customHeight="1" x14ac:dyDescent="0.3">
      <c r="A34" s="661" t="s">
        <v>512</v>
      </c>
      <c r="B34" s="662" t="s">
        <v>1954</v>
      </c>
      <c r="C34" s="662" t="s">
        <v>1955</v>
      </c>
      <c r="D34" s="662" t="s">
        <v>2012</v>
      </c>
      <c r="E34" s="662" t="s">
        <v>2013</v>
      </c>
      <c r="F34" s="665"/>
      <c r="G34" s="665"/>
      <c r="H34" s="665"/>
      <c r="I34" s="665"/>
      <c r="J34" s="665"/>
      <c r="K34" s="665"/>
      <c r="L34" s="665"/>
      <c r="M34" s="665"/>
      <c r="N34" s="665">
        <v>1</v>
      </c>
      <c r="O34" s="665">
        <v>4570</v>
      </c>
      <c r="P34" s="686"/>
      <c r="Q34" s="666">
        <v>4570</v>
      </c>
    </row>
    <row r="35" spans="1:17" ht="14.4" customHeight="1" x14ac:dyDescent="0.3">
      <c r="A35" s="661" t="s">
        <v>512</v>
      </c>
      <c r="B35" s="662" t="s">
        <v>1954</v>
      </c>
      <c r="C35" s="662" t="s">
        <v>1955</v>
      </c>
      <c r="D35" s="662" t="s">
        <v>2014</v>
      </c>
      <c r="E35" s="662" t="s">
        <v>2015</v>
      </c>
      <c r="F35" s="665">
        <v>3</v>
      </c>
      <c r="G35" s="665">
        <v>9675</v>
      </c>
      <c r="H35" s="665">
        <v>1.4672429481346678</v>
      </c>
      <c r="I35" s="665">
        <v>3225</v>
      </c>
      <c r="J35" s="665">
        <v>2</v>
      </c>
      <c r="K35" s="665">
        <v>6594</v>
      </c>
      <c r="L35" s="665">
        <v>1</v>
      </c>
      <c r="M35" s="665">
        <v>3297</v>
      </c>
      <c r="N35" s="665">
        <v>3</v>
      </c>
      <c r="O35" s="665">
        <v>9894</v>
      </c>
      <c r="P35" s="686">
        <v>1.5004549590536851</v>
      </c>
      <c r="Q35" s="666">
        <v>3298</v>
      </c>
    </row>
    <row r="36" spans="1:17" ht="14.4" customHeight="1" x14ac:dyDescent="0.3">
      <c r="A36" s="661" t="s">
        <v>512</v>
      </c>
      <c r="B36" s="662" t="s">
        <v>1954</v>
      </c>
      <c r="C36" s="662" t="s">
        <v>1955</v>
      </c>
      <c r="D36" s="662" t="s">
        <v>2016</v>
      </c>
      <c r="E36" s="662" t="s">
        <v>2017</v>
      </c>
      <c r="F36" s="665"/>
      <c r="G36" s="665"/>
      <c r="H36" s="665"/>
      <c r="I36" s="665"/>
      <c r="J36" s="665"/>
      <c r="K36" s="665"/>
      <c r="L36" s="665"/>
      <c r="M36" s="665"/>
      <c r="N36" s="665">
        <v>1</v>
      </c>
      <c r="O36" s="665">
        <v>9265</v>
      </c>
      <c r="P36" s="686"/>
      <c r="Q36" s="666">
        <v>9265</v>
      </c>
    </row>
    <row r="37" spans="1:17" ht="14.4" customHeight="1" x14ac:dyDescent="0.3">
      <c r="A37" s="661" t="s">
        <v>512</v>
      </c>
      <c r="B37" s="662" t="s">
        <v>1954</v>
      </c>
      <c r="C37" s="662" t="s">
        <v>1955</v>
      </c>
      <c r="D37" s="662" t="s">
        <v>2018</v>
      </c>
      <c r="E37" s="662" t="s">
        <v>2019</v>
      </c>
      <c r="F37" s="665"/>
      <c r="G37" s="665"/>
      <c r="H37" s="665"/>
      <c r="I37" s="665"/>
      <c r="J37" s="665"/>
      <c r="K37" s="665"/>
      <c r="L37" s="665"/>
      <c r="M37" s="665"/>
      <c r="N37" s="665">
        <v>1</v>
      </c>
      <c r="O37" s="665">
        <v>0</v>
      </c>
      <c r="P37" s="686"/>
      <c r="Q37" s="666">
        <v>0</v>
      </c>
    </row>
    <row r="38" spans="1:17" ht="14.4" customHeight="1" x14ac:dyDescent="0.3">
      <c r="A38" s="661" t="s">
        <v>512</v>
      </c>
      <c r="B38" s="662" t="s">
        <v>1954</v>
      </c>
      <c r="C38" s="662" t="s">
        <v>1955</v>
      </c>
      <c r="D38" s="662" t="s">
        <v>2020</v>
      </c>
      <c r="E38" s="662" t="s">
        <v>2021</v>
      </c>
      <c r="F38" s="665">
        <v>1</v>
      </c>
      <c r="G38" s="665">
        <v>0</v>
      </c>
      <c r="H38" s="665"/>
      <c r="I38" s="665">
        <v>0</v>
      </c>
      <c r="J38" s="665"/>
      <c r="K38" s="665"/>
      <c r="L38" s="665"/>
      <c r="M38" s="665"/>
      <c r="N38" s="665">
        <v>2</v>
      </c>
      <c r="O38" s="665">
        <v>0</v>
      </c>
      <c r="P38" s="686"/>
      <c r="Q38" s="666">
        <v>0</v>
      </c>
    </row>
    <row r="39" spans="1:17" ht="14.4" customHeight="1" x14ac:dyDescent="0.3">
      <c r="A39" s="661" t="s">
        <v>512</v>
      </c>
      <c r="B39" s="662" t="s">
        <v>1954</v>
      </c>
      <c r="C39" s="662" t="s">
        <v>1955</v>
      </c>
      <c r="D39" s="662" t="s">
        <v>2022</v>
      </c>
      <c r="E39" s="662" t="s">
        <v>2023</v>
      </c>
      <c r="F39" s="665">
        <v>1</v>
      </c>
      <c r="G39" s="665">
        <v>4675</v>
      </c>
      <c r="H39" s="665"/>
      <c r="I39" s="665">
        <v>4675</v>
      </c>
      <c r="J39" s="665"/>
      <c r="K39" s="665"/>
      <c r="L39" s="665"/>
      <c r="M39" s="665"/>
      <c r="N39" s="665">
        <v>1</v>
      </c>
      <c r="O39" s="665">
        <v>4732</v>
      </c>
      <c r="P39" s="686"/>
      <c r="Q39" s="666">
        <v>4732</v>
      </c>
    </row>
    <row r="40" spans="1:17" ht="14.4" customHeight="1" x14ac:dyDescent="0.3">
      <c r="A40" s="661" t="s">
        <v>512</v>
      </c>
      <c r="B40" s="662" t="s">
        <v>1954</v>
      </c>
      <c r="C40" s="662" t="s">
        <v>1955</v>
      </c>
      <c r="D40" s="662" t="s">
        <v>2024</v>
      </c>
      <c r="E40" s="662" t="s">
        <v>2025</v>
      </c>
      <c r="F40" s="665">
        <v>1</v>
      </c>
      <c r="G40" s="665">
        <v>4557</v>
      </c>
      <c r="H40" s="665"/>
      <c r="I40" s="665">
        <v>4557</v>
      </c>
      <c r="J40" s="665"/>
      <c r="K40" s="665"/>
      <c r="L40" s="665"/>
      <c r="M40" s="665"/>
      <c r="N40" s="665"/>
      <c r="O40" s="665"/>
      <c r="P40" s="686"/>
      <c r="Q40" s="666"/>
    </row>
    <row r="41" spans="1:17" ht="14.4" customHeight="1" x14ac:dyDescent="0.3">
      <c r="A41" s="661" t="s">
        <v>512</v>
      </c>
      <c r="B41" s="662" t="s">
        <v>1954</v>
      </c>
      <c r="C41" s="662" t="s">
        <v>1955</v>
      </c>
      <c r="D41" s="662" t="s">
        <v>2026</v>
      </c>
      <c r="E41" s="662" t="s">
        <v>2027</v>
      </c>
      <c r="F41" s="665"/>
      <c r="G41" s="665"/>
      <c r="H41" s="665"/>
      <c r="I41" s="665"/>
      <c r="J41" s="665">
        <v>2</v>
      </c>
      <c r="K41" s="665">
        <v>10564</v>
      </c>
      <c r="L41" s="665">
        <v>1</v>
      </c>
      <c r="M41" s="665">
        <v>5282</v>
      </c>
      <c r="N41" s="665"/>
      <c r="O41" s="665"/>
      <c r="P41" s="686"/>
      <c r="Q41" s="666"/>
    </row>
    <row r="42" spans="1:17" ht="14.4" customHeight="1" x14ac:dyDescent="0.3">
      <c r="A42" s="661" t="s">
        <v>512</v>
      </c>
      <c r="B42" s="662" t="s">
        <v>1954</v>
      </c>
      <c r="C42" s="662" t="s">
        <v>1955</v>
      </c>
      <c r="D42" s="662" t="s">
        <v>2028</v>
      </c>
      <c r="E42" s="662" t="s">
        <v>2029</v>
      </c>
      <c r="F42" s="665">
        <v>1</v>
      </c>
      <c r="G42" s="665">
        <v>0</v>
      </c>
      <c r="H42" s="665"/>
      <c r="I42" s="665">
        <v>0</v>
      </c>
      <c r="J42" s="665"/>
      <c r="K42" s="665"/>
      <c r="L42" s="665"/>
      <c r="M42" s="665"/>
      <c r="N42" s="665"/>
      <c r="O42" s="665"/>
      <c r="P42" s="686"/>
      <c r="Q42" s="666"/>
    </row>
    <row r="43" spans="1:17" ht="14.4" customHeight="1" x14ac:dyDescent="0.3">
      <c r="A43" s="661" t="s">
        <v>512</v>
      </c>
      <c r="B43" s="662" t="s">
        <v>1954</v>
      </c>
      <c r="C43" s="662" t="s">
        <v>1955</v>
      </c>
      <c r="D43" s="662" t="s">
        <v>2030</v>
      </c>
      <c r="E43" s="662" t="s">
        <v>2031</v>
      </c>
      <c r="F43" s="665"/>
      <c r="G43" s="665"/>
      <c r="H43" s="665"/>
      <c r="I43" s="665"/>
      <c r="J43" s="665"/>
      <c r="K43" s="665"/>
      <c r="L43" s="665"/>
      <c r="M43" s="665"/>
      <c r="N43" s="665">
        <v>1</v>
      </c>
      <c r="O43" s="665">
        <v>11010</v>
      </c>
      <c r="P43" s="686"/>
      <c r="Q43" s="666">
        <v>11010</v>
      </c>
    </row>
    <row r="44" spans="1:17" ht="14.4" customHeight="1" x14ac:dyDescent="0.3">
      <c r="A44" s="661" t="s">
        <v>512</v>
      </c>
      <c r="B44" s="662" t="s">
        <v>1954</v>
      </c>
      <c r="C44" s="662" t="s">
        <v>1955</v>
      </c>
      <c r="D44" s="662" t="s">
        <v>2032</v>
      </c>
      <c r="E44" s="662" t="s">
        <v>2033</v>
      </c>
      <c r="F44" s="665"/>
      <c r="G44" s="665"/>
      <c r="H44" s="665"/>
      <c r="I44" s="665"/>
      <c r="J44" s="665">
        <v>1</v>
      </c>
      <c r="K44" s="665">
        <v>4114</v>
      </c>
      <c r="L44" s="665">
        <v>1</v>
      </c>
      <c r="M44" s="665">
        <v>4114</v>
      </c>
      <c r="N44" s="665"/>
      <c r="O44" s="665"/>
      <c r="P44" s="686"/>
      <c r="Q44" s="666"/>
    </row>
    <row r="45" spans="1:17" ht="14.4" customHeight="1" x14ac:dyDescent="0.3">
      <c r="A45" s="661" t="s">
        <v>512</v>
      </c>
      <c r="B45" s="662" t="s">
        <v>1954</v>
      </c>
      <c r="C45" s="662" t="s">
        <v>1955</v>
      </c>
      <c r="D45" s="662" t="s">
        <v>2034</v>
      </c>
      <c r="E45" s="662" t="s">
        <v>2035</v>
      </c>
      <c r="F45" s="665"/>
      <c r="G45" s="665"/>
      <c r="H45" s="665"/>
      <c r="I45" s="665"/>
      <c r="J45" s="665"/>
      <c r="K45" s="665"/>
      <c r="L45" s="665"/>
      <c r="M45" s="665"/>
      <c r="N45" s="665">
        <v>1</v>
      </c>
      <c r="O45" s="665">
        <v>0</v>
      </c>
      <c r="P45" s="686"/>
      <c r="Q45" s="666">
        <v>0</v>
      </c>
    </row>
    <row r="46" spans="1:17" ht="14.4" customHeight="1" x14ac:dyDescent="0.3">
      <c r="A46" s="661" t="s">
        <v>512</v>
      </c>
      <c r="B46" s="662" t="s">
        <v>1954</v>
      </c>
      <c r="C46" s="662" t="s">
        <v>1955</v>
      </c>
      <c r="D46" s="662" t="s">
        <v>2036</v>
      </c>
      <c r="E46" s="662" t="s">
        <v>2037</v>
      </c>
      <c r="F46" s="665"/>
      <c r="G46" s="665"/>
      <c r="H46" s="665"/>
      <c r="I46" s="665"/>
      <c r="J46" s="665"/>
      <c r="K46" s="665"/>
      <c r="L46" s="665"/>
      <c r="M46" s="665"/>
      <c r="N46" s="665">
        <v>1</v>
      </c>
      <c r="O46" s="665">
        <v>0</v>
      </c>
      <c r="P46" s="686"/>
      <c r="Q46" s="666">
        <v>0</v>
      </c>
    </row>
    <row r="47" spans="1:17" ht="14.4" customHeight="1" x14ac:dyDescent="0.3">
      <c r="A47" s="661" t="s">
        <v>512</v>
      </c>
      <c r="B47" s="662" t="s">
        <v>2038</v>
      </c>
      <c r="C47" s="662" t="s">
        <v>1955</v>
      </c>
      <c r="D47" s="662" t="s">
        <v>2039</v>
      </c>
      <c r="E47" s="662" t="s">
        <v>2040</v>
      </c>
      <c r="F47" s="665"/>
      <c r="G47" s="665"/>
      <c r="H47" s="665"/>
      <c r="I47" s="665"/>
      <c r="J47" s="665"/>
      <c r="K47" s="665"/>
      <c r="L47" s="665"/>
      <c r="M47" s="665"/>
      <c r="N47" s="665">
        <v>2</v>
      </c>
      <c r="O47" s="665">
        <v>1420</v>
      </c>
      <c r="P47" s="686"/>
      <c r="Q47" s="666">
        <v>710</v>
      </c>
    </row>
    <row r="48" spans="1:17" ht="14.4" customHeight="1" x14ac:dyDescent="0.3">
      <c r="A48" s="661" t="s">
        <v>512</v>
      </c>
      <c r="B48" s="662" t="s">
        <v>2038</v>
      </c>
      <c r="C48" s="662" t="s">
        <v>1955</v>
      </c>
      <c r="D48" s="662" t="s">
        <v>2041</v>
      </c>
      <c r="E48" s="662" t="s">
        <v>2042</v>
      </c>
      <c r="F48" s="665"/>
      <c r="G48" s="665"/>
      <c r="H48" s="665"/>
      <c r="I48" s="665"/>
      <c r="J48" s="665">
        <v>1</v>
      </c>
      <c r="K48" s="665">
        <v>5507</v>
      </c>
      <c r="L48" s="665">
        <v>1</v>
      </c>
      <c r="M48" s="665">
        <v>5507</v>
      </c>
      <c r="N48" s="665"/>
      <c r="O48" s="665"/>
      <c r="P48" s="686"/>
      <c r="Q48" s="666"/>
    </row>
    <row r="49" spans="1:17" ht="14.4" customHeight="1" x14ac:dyDescent="0.3">
      <c r="A49" s="661" t="s">
        <v>512</v>
      </c>
      <c r="B49" s="662" t="s">
        <v>2038</v>
      </c>
      <c r="C49" s="662" t="s">
        <v>1955</v>
      </c>
      <c r="D49" s="662" t="s">
        <v>2043</v>
      </c>
      <c r="E49" s="662" t="s">
        <v>2044</v>
      </c>
      <c r="F49" s="665"/>
      <c r="G49" s="665"/>
      <c r="H49" s="665"/>
      <c r="I49" s="665"/>
      <c r="J49" s="665">
        <v>1</v>
      </c>
      <c r="K49" s="665">
        <v>4263</v>
      </c>
      <c r="L49" s="665">
        <v>1</v>
      </c>
      <c r="M49" s="665">
        <v>4263</v>
      </c>
      <c r="N49" s="665"/>
      <c r="O49" s="665"/>
      <c r="P49" s="686"/>
      <c r="Q49" s="666"/>
    </row>
    <row r="50" spans="1:17" ht="14.4" customHeight="1" x14ac:dyDescent="0.3">
      <c r="A50" s="661" t="s">
        <v>512</v>
      </c>
      <c r="B50" s="662" t="s">
        <v>2038</v>
      </c>
      <c r="C50" s="662" t="s">
        <v>1955</v>
      </c>
      <c r="D50" s="662" t="s">
        <v>1976</v>
      </c>
      <c r="E50" s="662" t="s">
        <v>1977</v>
      </c>
      <c r="F50" s="665"/>
      <c r="G50" s="665"/>
      <c r="H50" s="665"/>
      <c r="I50" s="665"/>
      <c r="J50" s="665">
        <v>1</v>
      </c>
      <c r="K50" s="665">
        <v>836</v>
      </c>
      <c r="L50" s="665">
        <v>1</v>
      </c>
      <c r="M50" s="665">
        <v>836</v>
      </c>
      <c r="N50" s="665"/>
      <c r="O50" s="665"/>
      <c r="P50" s="686"/>
      <c r="Q50" s="666"/>
    </row>
    <row r="51" spans="1:17" ht="14.4" customHeight="1" x14ac:dyDescent="0.3">
      <c r="A51" s="661" t="s">
        <v>512</v>
      </c>
      <c r="B51" s="662" t="s">
        <v>2038</v>
      </c>
      <c r="C51" s="662" t="s">
        <v>1955</v>
      </c>
      <c r="D51" s="662" t="s">
        <v>2002</v>
      </c>
      <c r="E51" s="662" t="s">
        <v>2003</v>
      </c>
      <c r="F51" s="665"/>
      <c r="G51" s="665"/>
      <c r="H51" s="665"/>
      <c r="I51" s="665"/>
      <c r="J51" s="665"/>
      <c r="K51" s="665"/>
      <c r="L51" s="665"/>
      <c r="M51" s="665"/>
      <c r="N51" s="665">
        <v>2</v>
      </c>
      <c r="O51" s="665">
        <v>1730</v>
      </c>
      <c r="P51" s="686"/>
      <c r="Q51" s="666">
        <v>865</v>
      </c>
    </row>
    <row r="52" spans="1:17" ht="14.4" customHeight="1" x14ac:dyDescent="0.3">
      <c r="A52" s="661" t="s">
        <v>512</v>
      </c>
      <c r="B52" s="662" t="s">
        <v>2038</v>
      </c>
      <c r="C52" s="662" t="s">
        <v>1955</v>
      </c>
      <c r="D52" s="662" t="s">
        <v>2045</v>
      </c>
      <c r="E52" s="662" t="s">
        <v>2046</v>
      </c>
      <c r="F52" s="665"/>
      <c r="G52" s="665"/>
      <c r="H52" s="665"/>
      <c r="I52" s="665"/>
      <c r="J52" s="665">
        <v>1</v>
      </c>
      <c r="K52" s="665">
        <v>120</v>
      </c>
      <c r="L52" s="665">
        <v>1</v>
      </c>
      <c r="M52" s="665">
        <v>120</v>
      </c>
      <c r="N52" s="665">
        <v>1</v>
      </c>
      <c r="O52" s="665">
        <v>120</v>
      </c>
      <c r="P52" s="686">
        <v>1</v>
      </c>
      <c r="Q52" s="666">
        <v>120</v>
      </c>
    </row>
    <row r="53" spans="1:17" ht="14.4" customHeight="1" x14ac:dyDescent="0.3">
      <c r="A53" s="661" t="s">
        <v>512</v>
      </c>
      <c r="B53" s="662" t="s">
        <v>2038</v>
      </c>
      <c r="C53" s="662" t="s">
        <v>1955</v>
      </c>
      <c r="D53" s="662" t="s">
        <v>2047</v>
      </c>
      <c r="E53" s="662" t="s">
        <v>2048</v>
      </c>
      <c r="F53" s="665"/>
      <c r="G53" s="665"/>
      <c r="H53" s="665"/>
      <c r="I53" s="665"/>
      <c r="J53" s="665">
        <v>1</v>
      </c>
      <c r="K53" s="665">
        <v>5706</v>
      </c>
      <c r="L53" s="665">
        <v>1</v>
      </c>
      <c r="M53" s="665">
        <v>5706</v>
      </c>
      <c r="N53" s="665">
        <v>1</v>
      </c>
      <c r="O53" s="665">
        <v>5711</v>
      </c>
      <c r="P53" s="686">
        <v>1.0008762705923588</v>
      </c>
      <c r="Q53" s="666">
        <v>5711</v>
      </c>
    </row>
    <row r="54" spans="1:17" ht="14.4" customHeight="1" x14ac:dyDescent="0.3">
      <c r="A54" s="661" t="s">
        <v>512</v>
      </c>
      <c r="B54" s="662" t="s">
        <v>2038</v>
      </c>
      <c r="C54" s="662" t="s">
        <v>1955</v>
      </c>
      <c r="D54" s="662" t="s">
        <v>2049</v>
      </c>
      <c r="E54" s="662" t="s">
        <v>2050</v>
      </c>
      <c r="F54" s="665"/>
      <c r="G54" s="665"/>
      <c r="H54" s="665"/>
      <c r="I54" s="665"/>
      <c r="J54" s="665">
        <v>1</v>
      </c>
      <c r="K54" s="665">
        <v>1109</v>
      </c>
      <c r="L54" s="665">
        <v>1</v>
      </c>
      <c r="M54" s="665">
        <v>1109</v>
      </c>
      <c r="N54" s="665"/>
      <c r="O54" s="665"/>
      <c r="P54" s="686"/>
      <c r="Q54" s="666"/>
    </row>
    <row r="55" spans="1:17" ht="14.4" customHeight="1" x14ac:dyDescent="0.3">
      <c r="A55" s="661" t="s">
        <v>512</v>
      </c>
      <c r="B55" s="662" t="s">
        <v>2051</v>
      </c>
      <c r="C55" s="662" t="s">
        <v>2052</v>
      </c>
      <c r="D55" s="662" t="s">
        <v>2053</v>
      </c>
      <c r="E55" s="662" t="s">
        <v>1240</v>
      </c>
      <c r="F55" s="665"/>
      <c r="G55" s="665"/>
      <c r="H55" s="665"/>
      <c r="I55" s="665"/>
      <c r="J55" s="665"/>
      <c r="K55" s="665"/>
      <c r="L55" s="665"/>
      <c r="M55" s="665"/>
      <c r="N55" s="665">
        <v>0.2</v>
      </c>
      <c r="O55" s="665">
        <v>2258.7600000000002</v>
      </c>
      <c r="P55" s="686"/>
      <c r="Q55" s="666">
        <v>11293.800000000001</v>
      </c>
    </row>
    <row r="56" spans="1:17" ht="14.4" customHeight="1" x14ac:dyDescent="0.3">
      <c r="A56" s="661" t="s">
        <v>512</v>
      </c>
      <c r="B56" s="662" t="s">
        <v>2051</v>
      </c>
      <c r="C56" s="662" t="s">
        <v>2052</v>
      </c>
      <c r="D56" s="662" t="s">
        <v>2054</v>
      </c>
      <c r="E56" s="662" t="s">
        <v>2055</v>
      </c>
      <c r="F56" s="665">
        <v>1</v>
      </c>
      <c r="G56" s="665">
        <v>79.680000000000007</v>
      </c>
      <c r="H56" s="665">
        <v>5.319447226116563E-2</v>
      </c>
      <c r="I56" s="665">
        <v>79.680000000000007</v>
      </c>
      <c r="J56" s="665">
        <v>30</v>
      </c>
      <c r="K56" s="665">
        <v>1497.9</v>
      </c>
      <c r="L56" s="665">
        <v>1</v>
      </c>
      <c r="M56" s="665">
        <v>49.93</v>
      </c>
      <c r="N56" s="665"/>
      <c r="O56" s="665"/>
      <c r="P56" s="686"/>
      <c r="Q56" s="666"/>
    </row>
    <row r="57" spans="1:17" ht="14.4" customHeight="1" x14ac:dyDescent="0.3">
      <c r="A57" s="661" t="s">
        <v>512</v>
      </c>
      <c r="B57" s="662" t="s">
        <v>2051</v>
      </c>
      <c r="C57" s="662" t="s">
        <v>2052</v>
      </c>
      <c r="D57" s="662" t="s">
        <v>2056</v>
      </c>
      <c r="E57" s="662" t="s">
        <v>2057</v>
      </c>
      <c r="F57" s="665"/>
      <c r="G57" s="665"/>
      <c r="H57" s="665"/>
      <c r="I57" s="665"/>
      <c r="J57" s="665">
        <v>1</v>
      </c>
      <c r="K57" s="665">
        <v>4988.09</v>
      </c>
      <c r="L57" s="665">
        <v>1</v>
      </c>
      <c r="M57" s="665">
        <v>4988.09</v>
      </c>
      <c r="N57" s="665">
        <v>10</v>
      </c>
      <c r="O57" s="665">
        <v>49881.18</v>
      </c>
      <c r="P57" s="686">
        <v>10.000056133710498</v>
      </c>
      <c r="Q57" s="666">
        <v>4988.1180000000004</v>
      </c>
    </row>
    <row r="58" spans="1:17" ht="14.4" customHeight="1" x14ac:dyDescent="0.3">
      <c r="A58" s="661" t="s">
        <v>512</v>
      </c>
      <c r="B58" s="662" t="s">
        <v>2051</v>
      </c>
      <c r="C58" s="662" t="s">
        <v>2052</v>
      </c>
      <c r="D58" s="662" t="s">
        <v>2058</v>
      </c>
      <c r="E58" s="662" t="s">
        <v>2059</v>
      </c>
      <c r="F58" s="665">
        <v>9</v>
      </c>
      <c r="G58" s="665">
        <v>1015.47</v>
      </c>
      <c r="H58" s="665"/>
      <c r="I58" s="665">
        <v>112.83</v>
      </c>
      <c r="J58" s="665"/>
      <c r="K58" s="665"/>
      <c r="L58" s="665"/>
      <c r="M58" s="665"/>
      <c r="N58" s="665"/>
      <c r="O58" s="665"/>
      <c r="P58" s="686"/>
      <c r="Q58" s="666"/>
    </row>
    <row r="59" spans="1:17" ht="14.4" customHeight="1" x14ac:dyDescent="0.3">
      <c r="A59" s="661" t="s">
        <v>512</v>
      </c>
      <c r="B59" s="662" t="s">
        <v>2051</v>
      </c>
      <c r="C59" s="662" t="s">
        <v>2052</v>
      </c>
      <c r="D59" s="662" t="s">
        <v>2060</v>
      </c>
      <c r="E59" s="662" t="s">
        <v>2061</v>
      </c>
      <c r="F59" s="665">
        <v>12.8</v>
      </c>
      <c r="G59" s="665">
        <v>7750.47</v>
      </c>
      <c r="H59" s="665"/>
      <c r="I59" s="665">
        <v>605.50546874999998</v>
      </c>
      <c r="J59" s="665"/>
      <c r="K59" s="665"/>
      <c r="L59" s="665"/>
      <c r="M59" s="665"/>
      <c r="N59" s="665"/>
      <c r="O59" s="665"/>
      <c r="P59" s="686"/>
      <c r="Q59" s="666"/>
    </row>
    <row r="60" spans="1:17" ht="14.4" customHeight="1" x14ac:dyDescent="0.3">
      <c r="A60" s="661" t="s">
        <v>512</v>
      </c>
      <c r="B60" s="662" t="s">
        <v>2051</v>
      </c>
      <c r="C60" s="662" t="s">
        <v>2052</v>
      </c>
      <c r="D60" s="662" t="s">
        <v>2062</v>
      </c>
      <c r="E60" s="662" t="s">
        <v>2063</v>
      </c>
      <c r="F60" s="665">
        <v>3</v>
      </c>
      <c r="G60" s="665">
        <v>241.29</v>
      </c>
      <c r="H60" s="665">
        <v>0.37499999999999994</v>
      </c>
      <c r="I60" s="665">
        <v>80.429999999999993</v>
      </c>
      <c r="J60" s="665">
        <v>8</v>
      </c>
      <c r="K60" s="665">
        <v>643.44000000000005</v>
      </c>
      <c r="L60" s="665">
        <v>1</v>
      </c>
      <c r="M60" s="665">
        <v>80.430000000000007</v>
      </c>
      <c r="N60" s="665"/>
      <c r="O60" s="665"/>
      <c r="P60" s="686"/>
      <c r="Q60" s="666"/>
    </row>
    <row r="61" spans="1:17" ht="14.4" customHeight="1" x14ac:dyDescent="0.3">
      <c r="A61" s="661" t="s">
        <v>512</v>
      </c>
      <c r="B61" s="662" t="s">
        <v>2051</v>
      </c>
      <c r="C61" s="662" t="s">
        <v>2052</v>
      </c>
      <c r="D61" s="662" t="s">
        <v>2064</v>
      </c>
      <c r="E61" s="662" t="s">
        <v>1248</v>
      </c>
      <c r="F61" s="665">
        <v>74</v>
      </c>
      <c r="G61" s="665">
        <v>4321.6000000000004</v>
      </c>
      <c r="H61" s="665">
        <v>1.4230769230769234</v>
      </c>
      <c r="I61" s="665">
        <v>58.400000000000006</v>
      </c>
      <c r="J61" s="665">
        <v>52</v>
      </c>
      <c r="K61" s="665">
        <v>3036.7999999999997</v>
      </c>
      <c r="L61" s="665">
        <v>1</v>
      </c>
      <c r="M61" s="665">
        <v>58.399999999999991</v>
      </c>
      <c r="N61" s="665">
        <v>68</v>
      </c>
      <c r="O61" s="665">
        <v>3971.2000000000003</v>
      </c>
      <c r="P61" s="686">
        <v>1.3076923076923079</v>
      </c>
      <c r="Q61" s="666">
        <v>58.400000000000006</v>
      </c>
    </row>
    <row r="62" spans="1:17" ht="14.4" customHeight="1" x14ac:dyDescent="0.3">
      <c r="A62" s="661" t="s">
        <v>512</v>
      </c>
      <c r="B62" s="662" t="s">
        <v>2051</v>
      </c>
      <c r="C62" s="662" t="s">
        <v>2052</v>
      </c>
      <c r="D62" s="662" t="s">
        <v>2065</v>
      </c>
      <c r="E62" s="662" t="s">
        <v>2066</v>
      </c>
      <c r="F62" s="665">
        <v>1.7</v>
      </c>
      <c r="G62" s="665">
        <v>1176.82</v>
      </c>
      <c r="H62" s="665">
        <v>0.33333427750003541</v>
      </c>
      <c r="I62" s="665">
        <v>692.24705882352941</v>
      </c>
      <c r="J62" s="665">
        <v>5.1000000000000005</v>
      </c>
      <c r="K62" s="665">
        <v>3530.45</v>
      </c>
      <c r="L62" s="665">
        <v>1</v>
      </c>
      <c r="M62" s="665">
        <v>692.24509803921558</v>
      </c>
      <c r="N62" s="665">
        <v>4.6999999999999993</v>
      </c>
      <c r="O62" s="665">
        <v>3253.56</v>
      </c>
      <c r="P62" s="686">
        <v>0.921570904558909</v>
      </c>
      <c r="Q62" s="666">
        <v>692.2468085106384</v>
      </c>
    </row>
    <row r="63" spans="1:17" ht="14.4" customHeight="1" x14ac:dyDescent="0.3">
      <c r="A63" s="661" t="s">
        <v>512</v>
      </c>
      <c r="B63" s="662" t="s">
        <v>2051</v>
      </c>
      <c r="C63" s="662" t="s">
        <v>2052</v>
      </c>
      <c r="D63" s="662" t="s">
        <v>2067</v>
      </c>
      <c r="E63" s="662" t="s">
        <v>1476</v>
      </c>
      <c r="F63" s="665">
        <v>2.6</v>
      </c>
      <c r="G63" s="665">
        <v>31234.84</v>
      </c>
      <c r="H63" s="665">
        <v>0.56521739130434778</v>
      </c>
      <c r="I63" s="665">
        <v>12013.4</v>
      </c>
      <c r="J63" s="665">
        <v>4.5999999999999996</v>
      </c>
      <c r="K63" s="665">
        <v>55261.64</v>
      </c>
      <c r="L63" s="665">
        <v>1</v>
      </c>
      <c r="M63" s="665">
        <v>12013.400000000001</v>
      </c>
      <c r="N63" s="665">
        <v>29.799999999999997</v>
      </c>
      <c r="O63" s="665">
        <v>357999.32</v>
      </c>
      <c r="P63" s="686">
        <v>6.4782608695652177</v>
      </c>
      <c r="Q63" s="666">
        <v>12013.400000000001</v>
      </c>
    </row>
    <row r="64" spans="1:17" ht="14.4" customHeight="1" x14ac:dyDescent="0.3">
      <c r="A64" s="661" t="s">
        <v>512</v>
      </c>
      <c r="B64" s="662" t="s">
        <v>2051</v>
      </c>
      <c r="C64" s="662" t="s">
        <v>2052</v>
      </c>
      <c r="D64" s="662" t="s">
        <v>2068</v>
      </c>
      <c r="E64" s="662" t="s">
        <v>2069</v>
      </c>
      <c r="F64" s="665">
        <v>6</v>
      </c>
      <c r="G64" s="665">
        <v>20100.78</v>
      </c>
      <c r="H64" s="665">
        <v>0.74999999999999989</v>
      </c>
      <c r="I64" s="665">
        <v>3350.1299999999997</v>
      </c>
      <c r="J64" s="665">
        <v>8</v>
      </c>
      <c r="K64" s="665">
        <v>26801.040000000001</v>
      </c>
      <c r="L64" s="665">
        <v>1</v>
      </c>
      <c r="M64" s="665">
        <v>3350.13</v>
      </c>
      <c r="N64" s="665"/>
      <c r="O64" s="665"/>
      <c r="P64" s="686"/>
      <c r="Q64" s="666"/>
    </row>
    <row r="65" spans="1:17" ht="14.4" customHeight="1" x14ac:dyDescent="0.3">
      <c r="A65" s="661" t="s">
        <v>512</v>
      </c>
      <c r="B65" s="662" t="s">
        <v>2051</v>
      </c>
      <c r="C65" s="662" t="s">
        <v>2052</v>
      </c>
      <c r="D65" s="662" t="s">
        <v>2070</v>
      </c>
      <c r="E65" s="662" t="s">
        <v>2071</v>
      </c>
      <c r="F65" s="665">
        <v>0.1</v>
      </c>
      <c r="G65" s="665">
        <v>494.39</v>
      </c>
      <c r="H65" s="665"/>
      <c r="I65" s="665">
        <v>4943.8999999999996</v>
      </c>
      <c r="J65" s="665"/>
      <c r="K65" s="665"/>
      <c r="L65" s="665"/>
      <c r="M65" s="665"/>
      <c r="N65" s="665">
        <v>0.1</v>
      </c>
      <c r="O65" s="665">
        <v>494.39</v>
      </c>
      <c r="P65" s="686"/>
      <c r="Q65" s="666">
        <v>4943.8999999999996</v>
      </c>
    </row>
    <row r="66" spans="1:17" ht="14.4" customHeight="1" x14ac:dyDescent="0.3">
      <c r="A66" s="661" t="s">
        <v>512</v>
      </c>
      <c r="B66" s="662" t="s">
        <v>2051</v>
      </c>
      <c r="C66" s="662" t="s">
        <v>2052</v>
      </c>
      <c r="D66" s="662" t="s">
        <v>2072</v>
      </c>
      <c r="E66" s="662" t="s">
        <v>2073</v>
      </c>
      <c r="F66" s="665">
        <v>42</v>
      </c>
      <c r="G66" s="665">
        <v>1621.62</v>
      </c>
      <c r="H66" s="665">
        <v>21</v>
      </c>
      <c r="I66" s="665">
        <v>38.61</v>
      </c>
      <c r="J66" s="665">
        <v>2</v>
      </c>
      <c r="K66" s="665">
        <v>77.22</v>
      </c>
      <c r="L66" s="665">
        <v>1</v>
      </c>
      <c r="M66" s="665">
        <v>38.61</v>
      </c>
      <c r="N66" s="665"/>
      <c r="O66" s="665"/>
      <c r="P66" s="686"/>
      <c r="Q66" s="666"/>
    </row>
    <row r="67" spans="1:17" ht="14.4" customHeight="1" x14ac:dyDescent="0.3">
      <c r="A67" s="661" t="s">
        <v>512</v>
      </c>
      <c r="B67" s="662" t="s">
        <v>2051</v>
      </c>
      <c r="C67" s="662" t="s">
        <v>2052</v>
      </c>
      <c r="D67" s="662" t="s">
        <v>2074</v>
      </c>
      <c r="E67" s="662" t="s">
        <v>2075</v>
      </c>
      <c r="F67" s="665">
        <v>3.5999999999999996</v>
      </c>
      <c r="G67" s="665">
        <v>1391.77</v>
      </c>
      <c r="H67" s="665">
        <v>36.00025866528712</v>
      </c>
      <c r="I67" s="665">
        <v>386.60277777777782</v>
      </c>
      <c r="J67" s="665">
        <v>0.1</v>
      </c>
      <c r="K67" s="665">
        <v>38.659999999999997</v>
      </c>
      <c r="L67" s="665">
        <v>1</v>
      </c>
      <c r="M67" s="665">
        <v>386.59999999999997</v>
      </c>
      <c r="N67" s="665"/>
      <c r="O67" s="665"/>
      <c r="P67" s="686"/>
      <c r="Q67" s="666"/>
    </row>
    <row r="68" spans="1:17" ht="14.4" customHeight="1" x14ac:dyDescent="0.3">
      <c r="A68" s="661" t="s">
        <v>512</v>
      </c>
      <c r="B68" s="662" t="s">
        <v>2051</v>
      </c>
      <c r="C68" s="662" t="s">
        <v>2052</v>
      </c>
      <c r="D68" s="662" t="s">
        <v>1337</v>
      </c>
      <c r="E68" s="662" t="s">
        <v>2076</v>
      </c>
      <c r="F68" s="665"/>
      <c r="G68" s="665"/>
      <c r="H68" s="665"/>
      <c r="I68" s="665"/>
      <c r="J68" s="665">
        <v>8</v>
      </c>
      <c r="K68" s="665">
        <v>65881.2</v>
      </c>
      <c r="L68" s="665">
        <v>1</v>
      </c>
      <c r="M68" s="665">
        <v>8235.15</v>
      </c>
      <c r="N68" s="665">
        <v>12</v>
      </c>
      <c r="O68" s="665">
        <v>108862.46</v>
      </c>
      <c r="P68" s="686">
        <v>1.6524055420969868</v>
      </c>
      <c r="Q68" s="666">
        <v>9071.8716666666678</v>
      </c>
    </row>
    <row r="69" spans="1:17" ht="14.4" customHeight="1" x14ac:dyDescent="0.3">
      <c r="A69" s="661" t="s">
        <v>512</v>
      </c>
      <c r="B69" s="662" t="s">
        <v>2051</v>
      </c>
      <c r="C69" s="662" t="s">
        <v>2052</v>
      </c>
      <c r="D69" s="662" t="s">
        <v>2077</v>
      </c>
      <c r="E69" s="662" t="s">
        <v>2078</v>
      </c>
      <c r="F69" s="665">
        <v>104.5</v>
      </c>
      <c r="G69" s="665">
        <v>4747.43</v>
      </c>
      <c r="H69" s="665"/>
      <c r="I69" s="665">
        <v>45.429952153110051</v>
      </c>
      <c r="J69" s="665"/>
      <c r="K69" s="665"/>
      <c r="L69" s="665"/>
      <c r="M69" s="665"/>
      <c r="N69" s="665"/>
      <c r="O69" s="665"/>
      <c r="P69" s="686"/>
      <c r="Q69" s="666"/>
    </row>
    <row r="70" spans="1:17" ht="14.4" customHeight="1" x14ac:dyDescent="0.3">
      <c r="A70" s="661" t="s">
        <v>512</v>
      </c>
      <c r="B70" s="662" t="s">
        <v>2051</v>
      </c>
      <c r="C70" s="662" t="s">
        <v>2052</v>
      </c>
      <c r="D70" s="662" t="s">
        <v>2079</v>
      </c>
      <c r="E70" s="662" t="s">
        <v>2080</v>
      </c>
      <c r="F70" s="665">
        <v>1</v>
      </c>
      <c r="G70" s="665">
        <v>77.22</v>
      </c>
      <c r="H70" s="665"/>
      <c r="I70" s="665">
        <v>77.22</v>
      </c>
      <c r="J70" s="665"/>
      <c r="K70" s="665"/>
      <c r="L70" s="665"/>
      <c r="M70" s="665"/>
      <c r="N70" s="665">
        <v>3</v>
      </c>
      <c r="O70" s="665">
        <v>231.66</v>
      </c>
      <c r="P70" s="686"/>
      <c r="Q70" s="666">
        <v>77.22</v>
      </c>
    </row>
    <row r="71" spans="1:17" ht="14.4" customHeight="1" x14ac:dyDescent="0.3">
      <c r="A71" s="661" t="s">
        <v>512</v>
      </c>
      <c r="B71" s="662" t="s">
        <v>2051</v>
      </c>
      <c r="C71" s="662" t="s">
        <v>2052</v>
      </c>
      <c r="D71" s="662" t="s">
        <v>2081</v>
      </c>
      <c r="E71" s="662" t="s">
        <v>2082</v>
      </c>
      <c r="F71" s="665">
        <v>72.959999999999994</v>
      </c>
      <c r="G71" s="665">
        <v>26502.720000000001</v>
      </c>
      <c r="H71" s="665">
        <v>1.2346664343557965</v>
      </c>
      <c r="I71" s="665">
        <v>363.25000000000006</v>
      </c>
      <c r="J71" s="665">
        <v>79.000000000000014</v>
      </c>
      <c r="K71" s="665">
        <v>21465.489999999998</v>
      </c>
      <c r="L71" s="665">
        <v>1</v>
      </c>
      <c r="M71" s="665">
        <v>271.71506329113919</v>
      </c>
      <c r="N71" s="665">
        <v>80.2</v>
      </c>
      <c r="O71" s="665">
        <v>21791.54</v>
      </c>
      <c r="P71" s="686">
        <v>1.0151894971882778</v>
      </c>
      <c r="Q71" s="666">
        <v>271.71496259351619</v>
      </c>
    </row>
    <row r="72" spans="1:17" ht="14.4" customHeight="1" x14ac:dyDescent="0.3">
      <c r="A72" s="661" t="s">
        <v>512</v>
      </c>
      <c r="B72" s="662" t="s">
        <v>2051</v>
      </c>
      <c r="C72" s="662" t="s">
        <v>2052</v>
      </c>
      <c r="D72" s="662" t="s">
        <v>2083</v>
      </c>
      <c r="E72" s="662" t="s">
        <v>2084</v>
      </c>
      <c r="F72" s="665"/>
      <c r="G72" s="665"/>
      <c r="H72" s="665"/>
      <c r="I72" s="665"/>
      <c r="J72" s="665">
        <v>0.6</v>
      </c>
      <c r="K72" s="665">
        <v>81.510000000000005</v>
      </c>
      <c r="L72" s="665">
        <v>1</v>
      </c>
      <c r="M72" s="665">
        <v>135.85000000000002</v>
      </c>
      <c r="N72" s="665"/>
      <c r="O72" s="665"/>
      <c r="P72" s="686"/>
      <c r="Q72" s="666"/>
    </row>
    <row r="73" spans="1:17" ht="14.4" customHeight="1" x14ac:dyDescent="0.3">
      <c r="A73" s="661" t="s">
        <v>512</v>
      </c>
      <c r="B73" s="662" t="s">
        <v>2051</v>
      </c>
      <c r="C73" s="662" t="s">
        <v>2052</v>
      </c>
      <c r="D73" s="662" t="s">
        <v>2085</v>
      </c>
      <c r="E73" s="662" t="s">
        <v>2086</v>
      </c>
      <c r="F73" s="665">
        <v>3</v>
      </c>
      <c r="G73" s="665">
        <v>17957.13</v>
      </c>
      <c r="H73" s="665"/>
      <c r="I73" s="665">
        <v>5985.71</v>
      </c>
      <c r="J73" s="665"/>
      <c r="K73" s="665"/>
      <c r="L73" s="665"/>
      <c r="M73" s="665"/>
      <c r="N73" s="665"/>
      <c r="O73" s="665"/>
      <c r="P73" s="686"/>
      <c r="Q73" s="666"/>
    </row>
    <row r="74" spans="1:17" ht="14.4" customHeight="1" x14ac:dyDescent="0.3">
      <c r="A74" s="661" t="s">
        <v>512</v>
      </c>
      <c r="B74" s="662" t="s">
        <v>2051</v>
      </c>
      <c r="C74" s="662" t="s">
        <v>2052</v>
      </c>
      <c r="D74" s="662" t="s">
        <v>2087</v>
      </c>
      <c r="E74" s="662" t="s">
        <v>2088</v>
      </c>
      <c r="F74" s="665">
        <v>11</v>
      </c>
      <c r="G74" s="665">
        <v>517.79999999999995</v>
      </c>
      <c r="H74" s="665"/>
      <c r="I74" s="665">
        <v>47.072727272727271</v>
      </c>
      <c r="J74" s="665"/>
      <c r="K74" s="665"/>
      <c r="L74" s="665"/>
      <c r="M74" s="665"/>
      <c r="N74" s="665"/>
      <c r="O74" s="665"/>
      <c r="P74" s="686"/>
      <c r="Q74" s="666"/>
    </row>
    <row r="75" spans="1:17" ht="14.4" customHeight="1" x14ac:dyDescent="0.3">
      <c r="A75" s="661" t="s">
        <v>512</v>
      </c>
      <c r="B75" s="662" t="s">
        <v>2051</v>
      </c>
      <c r="C75" s="662" t="s">
        <v>2052</v>
      </c>
      <c r="D75" s="662" t="s">
        <v>2089</v>
      </c>
      <c r="E75" s="662" t="s">
        <v>2090</v>
      </c>
      <c r="F75" s="665">
        <v>0.2</v>
      </c>
      <c r="G75" s="665">
        <v>885.4</v>
      </c>
      <c r="H75" s="665">
        <v>1</v>
      </c>
      <c r="I75" s="665">
        <v>4427</v>
      </c>
      <c r="J75" s="665">
        <v>0.2</v>
      </c>
      <c r="K75" s="665">
        <v>885.4</v>
      </c>
      <c r="L75" s="665">
        <v>1</v>
      </c>
      <c r="M75" s="665">
        <v>4427</v>
      </c>
      <c r="N75" s="665"/>
      <c r="O75" s="665"/>
      <c r="P75" s="686"/>
      <c r="Q75" s="666"/>
    </row>
    <row r="76" spans="1:17" ht="14.4" customHeight="1" x14ac:dyDescent="0.3">
      <c r="A76" s="661" t="s">
        <v>512</v>
      </c>
      <c r="B76" s="662" t="s">
        <v>2051</v>
      </c>
      <c r="C76" s="662" t="s">
        <v>2052</v>
      </c>
      <c r="D76" s="662" t="s">
        <v>2091</v>
      </c>
      <c r="E76" s="662" t="s">
        <v>2092</v>
      </c>
      <c r="F76" s="665">
        <v>1.2</v>
      </c>
      <c r="G76" s="665">
        <v>4506.24</v>
      </c>
      <c r="H76" s="665"/>
      <c r="I76" s="665">
        <v>3755.2</v>
      </c>
      <c r="J76" s="665"/>
      <c r="K76" s="665"/>
      <c r="L76" s="665"/>
      <c r="M76" s="665"/>
      <c r="N76" s="665"/>
      <c r="O76" s="665"/>
      <c r="P76" s="686"/>
      <c r="Q76" s="666"/>
    </row>
    <row r="77" spans="1:17" ht="14.4" customHeight="1" x14ac:dyDescent="0.3">
      <c r="A77" s="661" t="s">
        <v>512</v>
      </c>
      <c r="B77" s="662" t="s">
        <v>2051</v>
      </c>
      <c r="C77" s="662" t="s">
        <v>2052</v>
      </c>
      <c r="D77" s="662" t="s">
        <v>2093</v>
      </c>
      <c r="E77" s="662" t="s">
        <v>2094</v>
      </c>
      <c r="F77" s="665"/>
      <c r="G77" s="665"/>
      <c r="H77" s="665"/>
      <c r="I77" s="665"/>
      <c r="J77" s="665">
        <v>0.8</v>
      </c>
      <c r="K77" s="665">
        <v>309.27999999999997</v>
      </c>
      <c r="L77" s="665">
        <v>1</v>
      </c>
      <c r="M77" s="665">
        <v>386.59999999999997</v>
      </c>
      <c r="N77" s="665"/>
      <c r="O77" s="665"/>
      <c r="P77" s="686"/>
      <c r="Q77" s="666"/>
    </row>
    <row r="78" spans="1:17" ht="14.4" customHeight="1" x14ac:dyDescent="0.3">
      <c r="A78" s="661" t="s">
        <v>512</v>
      </c>
      <c r="B78" s="662" t="s">
        <v>2051</v>
      </c>
      <c r="C78" s="662" t="s">
        <v>2052</v>
      </c>
      <c r="D78" s="662" t="s">
        <v>2095</v>
      </c>
      <c r="E78" s="662" t="s">
        <v>2096</v>
      </c>
      <c r="F78" s="665">
        <v>27</v>
      </c>
      <c r="G78" s="665">
        <v>5918.4000000000005</v>
      </c>
      <c r="H78" s="665"/>
      <c r="I78" s="665">
        <v>219.20000000000002</v>
      </c>
      <c r="J78" s="665"/>
      <c r="K78" s="665"/>
      <c r="L78" s="665"/>
      <c r="M78" s="665"/>
      <c r="N78" s="665"/>
      <c r="O78" s="665"/>
      <c r="P78" s="686"/>
      <c r="Q78" s="666"/>
    </row>
    <row r="79" spans="1:17" ht="14.4" customHeight="1" x14ac:dyDescent="0.3">
      <c r="A79" s="661" t="s">
        <v>512</v>
      </c>
      <c r="B79" s="662" t="s">
        <v>2051</v>
      </c>
      <c r="C79" s="662" t="s">
        <v>2052</v>
      </c>
      <c r="D79" s="662" t="s">
        <v>2097</v>
      </c>
      <c r="E79" s="662" t="s">
        <v>1485</v>
      </c>
      <c r="F79" s="665">
        <v>2.6</v>
      </c>
      <c r="G79" s="665">
        <v>539.61</v>
      </c>
      <c r="H79" s="665"/>
      <c r="I79" s="665">
        <v>207.5423076923077</v>
      </c>
      <c r="J79" s="665"/>
      <c r="K79" s="665"/>
      <c r="L79" s="665"/>
      <c r="M79" s="665"/>
      <c r="N79" s="665">
        <v>1</v>
      </c>
      <c r="O79" s="665">
        <v>429.2</v>
      </c>
      <c r="P79" s="686"/>
      <c r="Q79" s="666">
        <v>429.2</v>
      </c>
    </row>
    <row r="80" spans="1:17" ht="14.4" customHeight="1" x14ac:dyDescent="0.3">
      <c r="A80" s="661" t="s">
        <v>512</v>
      </c>
      <c r="B80" s="662" t="s">
        <v>2051</v>
      </c>
      <c r="C80" s="662" t="s">
        <v>2052</v>
      </c>
      <c r="D80" s="662" t="s">
        <v>2098</v>
      </c>
      <c r="E80" s="662" t="s">
        <v>1479</v>
      </c>
      <c r="F80" s="665">
        <v>5</v>
      </c>
      <c r="G80" s="665">
        <v>328.75</v>
      </c>
      <c r="H80" s="665">
        <v>1</v>
      </c>
      <c r="I80" s="665">
        <v>65.75</v>
      </c>
      <c r="J80" s="665">
        <v>5</v>
      </c>
      <c r="K80" s="665">
        <v>328.75</v>
      </c>
      <c r="L80" s="665">
        <v>1</v>
      </c>
      <c r="M80" s="665">
        <v>65.75</v>
      </c>
      <c r="N80" s="665">
        <v>8</v>
      </c>
      <c r="O80" s="665">
        <v>473.36</v>
      </c>
      <c r="P80" s="686">
        <v>1.4398783269961977</v>
      </c>
      <c r="Q80" s="666">
        <v>59.17</v>
      </c>
    </row>
    <row r="81" spans="1:17" ht="14.4" customHeight="1" x14ac:dyDescent="0.3">
      <c r="A81" s="661" t="s">
        <v>512</v>
      </c>
      <c r="B81" s="662" t="s">
        <v>2051</v>
      </c>
      <c r="C81" s="662" t="s">
        <v>2052</v>
      </c>
      <c r="D81" s="662" t="s">
        <v>2099</v>
      </c>
      <c r="E81" s="662" t="s">
        <v>1229</v>
      </c>
      <c r="F81" s="665">
        <v>1.2000000000000002</v>
      </c>
      <c r="G81" s="665">
        <v>111.30000000000001</v>
      </c>
      <c r="H81" s="665">
        <v>0.29425761421319802</v>
      </c>
      <c r="I81" s="665">
        <v>92.75</v>
      </c>
      <c r="J81" s="665">
        <v>4.8</v>
      </c>
      <c r="K81" s="665">
        <v>378.24</v>
      </c>
      <c r="L81" s="665">
        <v>1</v>
      </c>
      <c r="M81" s="665">
        <v>78.800000000000011</v>
      </c>
      <c r="N81" s="665">
        <v>2.2000000000000002</v>
      </c>
      <c r="O81" s="665">
        <v>173.36</v>
      </c>
      <c r="P81" s="686">
        <v>0.45833333333333337</v>
      </c>
      <c r="Q81" s="666">
        <v>78.8</v>
      </c>
    </row>
    <row r="82" spans="1:17" ht="14.4" customHeight="1" x14ac:dyDescent="0.3">
      <c r="A82" s="661" t="s">
        <v>512</v>
      </c>
      <c r="B82" s="662" t="s">
        <v>2051</v>
      </c>
      <c r="C82" s="662" t="s">
        <v>2052</v>
      </c>
      <c r="D82" s="662" t="s">
        <v>2100</v>
      </c>
      <c r="E82" s="662" t="s">
        <v>1492</v>
      </c>
      <c r="F82" s="665"/>
      <c r="G82" s="665"/>
      <c r="H82" s="665"/>
      <c r="I82" s="665"/>
      <c r="J82" s="665">
        <v>129</v>
      </c>
      <c r="K82" s="665">
        <v>9049.35</v>
      </c>
      <c r="L82" s="665">
        <v>1</v>
      </c>
      <c r="M82" s="665">
        <v>70.150000000000006</v>
      </c>
      <c r="N82" s="665">
        <v>300</v>
      </c>
      <c r="O82" s="665">
        <v>20030.22</v>
      </c>
      <c r="P82" s="686">
        <v>2.213442954466343</v>
      </c>
      <c r="Q82" s="666">
        <v>66.767400000000009</v>
      </c>
    </row>
    <row r="83" spans="1:17" ht="14.4" customHeight="1" x14ac:dyDescent="0.3">
      <c r="A83" s="661" t="s">
        <v>512</v>
      </c>
      <c r="B83" s="662" t="s">
        <v>2051</v>
      </c>
      <c r="C83" s="662" t="s">
        <v>2052</v>
      </c>
      <c r="D83" s="662" t="s">
        <v>2101</v>
      </c>
      <c r="E83" s="662" t="s">
        <v>2102</v>
      </c>
      <c r="F83" s="665">
        <v>1</v>
      </c>
      <c r="G83" s="665">
        <v>1287.3599999999999</v>
      </c>
      <c r="H83" s="665"/>
      <c r="I83" s="665">
        <v>1287.3599999999999</v>
      </c>
      <c r="J83" s="665"/>
      <c r="K83" s="665"/>
      <c r="L83" s="665"/>
      <c r="M83" s="665"/>
      <c r="N83" s="665"/>
      <c r="O83" s="665"/>
      <c r="P83" s="686"/>
      <c r="Q83" s="666"/>
    </row>
    <row r="84" spans="1:17" ht="14.4" customHeight="1" x14ac:dyDescent="0.3">
      <c r="A84" s="661" t="s">
        <v>512</v>
      </c>
      <c r="B84" s="662" t="s">
        <v>2051</v>
      </c>
      <c r="C84" s="662" t="s">
        <v>2052</v>
      </c>
      <c r="D84" s="662" t="s">
        <v>2103</v>
      </c>
      <c r="E84" s="662" t="s">
        <v>2104</v>
      </c>
      <c r="F84" s="665">
        <v>2.4500000000000002</v>
      </c>
      <c r="G84" s="665">
        <v>1874.74</v>
      </c>
      <c r="H84" s="665">
        <v>1.1136363636363635</v>
      </c>
      <c r="I84" s="665">
        <v>765.19999999999993</v>
      </c>
      <c r="J84" s="665">
        <v>2.2199999999999998</v>
      </c>
      <c r="K84" s="665">
        <v>1683.44</v>
      </c>
      <c r="L84" s="665">
        <v>1</v>
      </c>
      <c r="M84" s="665">
        <v>758.3063063063064</v>
      </c>
      <c r="N84" s="665">
        <v>2.2000000000000002</v>
      </c>
      <c r="O84" s="665">
        <v>1683.4399999999998</v>
      </c>
      <c r="P84" s="686">
        <v>0.99999999999999989</v>
      </c>
      <c r="Q84" s="666">
        <v>765.19999999999982</v>
      </c>
    </row>
    <row r="85" spans="1:17" ht="14.4" customHeight="1" x14ac:dyDescent="0.3">
      <c r="A85" s="661" t="s">
        <v>512</v>
      </c>
      <c r="B85" s="662" t="s">
        <v>2051</v>
      </c>
      <c r="C85" s="662" t="s">
        <v>2052</v>
      </c>
      <c r="D85" s="662" t="s">
        <v>2105</v>
      </c>
      <c r="E85" s="662" t="s">
        <v>2104</v>
      </c>
      <c r="F85" s="665"/>
      <c r="G85" s="665"/>
      <c r="H85" s="665"/>
      <c r="I85" s="665"/>
      <c r="J85" s="665"/>
      <c r="K85" s="665"/>
      <c r="L85" s="665"/>
      <c r="M85" s="665"/>
      <c r="N85" s="665">
        <v>0.2</v>
      </c>
      <c r="O85" s="665">
        <v>76.36</v>
      </c>
      <c r="P85" s="686"/>
      <c r="Q85" s="666">
        <v>381.79999999999995</v>
      </c>
    </row>
    <row r="86" spans="1:17" ht="14.4" customHeight="1" x14ac:dyDescent="0.3">
      <c r="A86" s="661" t="s">
        <v>512</v>
      </c>
      <c r="B86" s="662" t="s">
        <v>2051</v>
      </c>
      <c r="C86" s="662" t="s">
        <v>2052</v>
      </c>
      <c r="D86" s="662" t="s">
        <v>2106</v>
      </c>
      <c r="E86" s="662" t="s">
        <v>2107</v>
      </c>
      <c r="F86" s="665"/>
      <c r="G86" s="665"/>
      <c r="H86" s="665"/>
      <c r="I86" s="665"/>
      <c r="J86" s="665"/>
      <c r="K86" s="665"/>
      <c r="L86" s="665"/>
      <c r="M86" s="665"/>
      <c r="N86" s="665">
        <v>0.4</v>
      </c>
      <c r="O86" s="665">
        <v>353.58</v>
      </c>
      <c r="P86" s="686"/>
      <c r="Q86" s="666">
        <v>883.94999999999993</v>
      </c>
    </row>
    <row r="87" spans="1:17" ht="14.4" customHeight="1" x14ac:dyDescent="0.3">
      <c r="A87" s="661" t="s">
        <v>512</v>
      </c>
      <c r="B87" s="662" t="s">
        <v>2051</v>
      </c>
      <c r="C87" s="662" t="s">
        <v>2052</v>
      </c>
      <c r="D87" s="662" t="s">
        <v>2108</v>
      </c>
      <c r="E87" s="662" t="s">
        <v>2109</v>
      </c>
      <c r="F87" s="665"/>
      <c r="G87" s="665"/>
      <c r="H87" s="665"/>
      <c r="I87" s="665"/>
      <c r="J87" s="665"/>
      <c r="K87" s="665"/>
      <c r="L87" s="665"/>
      <c r="M87" s="665"/>
      <c r="N87" s="665">
        <v>0.8</v>
      </c>
      <c r="O87" s="665">
        <v>479.84</v>
      </c>
      <c r="P87" s="686"/>
      <c r="Q87" s="666">
        <v>599.79999999999995</v>
      </c>
    </row>
    <row r="88" spans="1:17" ht="14.4" customHeight="1" x14ac:dyDescent="0.3">
      <c r="A88" s="661" t="s">
        <v>512</v>
      </c>
      <c r="B88" s="662" t="s">
        <v>2051</v>
      </c>
      <c r="C88" s="662" t="s">
        <v>2052</v>
      </c>
      <c r="D88" s="662" t="s">
        <v>2110</v>
      </c>
      <c r="E88" s="662" t="s">
        <v>2109</v>
      </c>
      <c r="F88" s="665">
        <v>2</v>
      </c>
      <c r="G88" s="665">
        <v>1599.5</v>
      </c>
      <c r="H88" s="665">
        <v>0.76921967124816049</v>
      </c>
      <c r="I88" s="665">
        <v>799.75</v>
      </c>
      <c r="J88" s="665">
        <v>2.6</v>
      </c>
      <c r="K88" s="665">
        <v>2079.38</v>
      </c>
      <c r="L88" s="665">
        <v>1</v>
      </c>
      <c r="M88" s="665">
        <v>799.76153846153852</v>
      </c>
      <c r="N88" s="665">
        <v>0.4</v>
      </c>
      <c r="O88" s="665">
        <v>319.89</v>
      </c>
      <c r="P88" s="686">
        <v>0.15383912512383496</v>
      </c>
      <c r="Q88" s="666">
        <v>799.72499999999991</v>
      </c>
    </row>
    <row r="89" spans="1:17" ht="14.4" customHeight="1" x14ac:dyDescent="0.3">
      <c r="A89" s="661" t="s">
        <v>512</v>
      </c>
      <c r="B89" s="662" t="s">
        <v>2051</v>
      </c>
      <c r="C89" s="662" t="s">
        <v>2052</v>
      </c>
      <c r="D89" s="662" t="s">
        <v>1339</v>
      </c>
      <c r="E89" s="662" t="s">
        <v>1340</v>
      </c>
      <c r="F89" s="665"/>
      <c r="G89" s="665"/>
      <c r="H89" s="665"/>
      <c r="I89" s="665"/>
      <c r="J89" s="665">
        <v>7</v>
      </c>
      <c r="K89" s="665">
        <v>9011.5199999999986</v>
      </c>
      <c r="L89" s="665">
        <v>1</v>
      </c>
      <c r="M89" s="665">
        <v>1287.3599999999999</v>
      </c>
      <c r="N89" s="665">
        <v>36</v>
      </c>
      <c r="O89" s="665">
        <v>46344.959999999999</v>
      </c>
      <c r="P89" s="686">
        <v>5.1428571428571432</v>
      </c>
      <c r="Q89" s="666">
        <v>1287.3599999999999</v>
      </c>
    </row>
    <row r="90" spans="1:17" ht="14.4" customHeight="1" x14ac:dyDescent="0.3">
      <c r="A90" s="661" t="s">
        <v>512</v>
      </c>
      <c r="B90" s="662" t="s">
        <v>2051</v>
      </c>
      <c r="C90" s="662" t="s">
        <v>2052</v>
      </c>
      <c r="D90" s="662" t="s">
        <v>2111</v>
      </c>
      <c r="E90" s="662" t="s">
        <v>2112</v>
      </c>
      <c r="F90" s="665">
        <v>15.6</v>
      </c>
      <c r="G90" s="665">
        <v>32210.35</v>
      </c>
      <c r="H90" s="665"/>
      <c r="I90" s="665">
        <v>2064.7660256410254</v>
      </c>
      <c r="J90" s="665"/>
      <c r="K90" s="665"/>
      <c r="L90" s="665"/>
      <c r="M90" s="665"/>
      <c r="N90" s="665"/>
      <c r="O90" s="665"/>
      <c r="P90" s="686"/>
      <c r="Q90" s="666"/>
    </row>
    <row r="91" spans="1:17" ht="14.4" customHeight="1" x14ac:dyDescent="0.3">
      <c r="A91" s="661" t="s">
        <v>512</v>
      </c>
      <c r="B91" s="662" t="s">
        <v>2051</v>
      </c>
      <c r="C91" s="662" t="s">
        <v>2052</v>
      </c>
      <c r="D91" s="662" t="s">
        <v>2113</v>
      </c>
      <c r="E91" s="662" t="s">
        <v>2114</v>
      </c>
      <c r="F91" s="665"/>
      <c r="G91" s="665"/>
      <c r="H91" s="665"/>
      <c r="I91" s="665"/>
      <c r="J91" s="665">
        <v>0.89999999999999991</v>
      </c>
      <c r="K91" s="665">
        <v>352.62</v>
      </c>
      <c r="L91" s="665">
        <v>1</v>
      </c>
      <c r="M91" s="665">
        <v>391.80000000000007</v>
      </c>
      <c r="N91" s="665">
        <v>0.7</v>
      </c>
      <c r="O91" s="665">
        <v>274.26</v>
      </c>
      <c r="P91" s="686">
        <v>0.77777777777777779</v>
      </c>
      <c r="Q91" s="666">
        <v>391.8</v>
      </c>
    </row>
    <row r="92" spans="1:17" ht="14.4" customHeight="1" x14ac:dyDescent="0.3">
      <c r="A92" s="661" t="s">
        <v>512</v>
      </c>
      <c r="B92" s="662" t="s">
        <v>2051</v>
      </c>
      <c r="C92" s="662" t="s">
        <v>2052</v>
      </c>
      <c r="D92" s="662" t="s">
        <v>2115</v>
      </c>
      <c r="E92" s="662" t="s">
        <v>2116</v>
      </c>
      <c r="F92" s="665"/>
      <c r="G92" s="665"/>
      <c r="H92" s="665"/>
      <c r="I92" s="665"/>
      <c r="J92" s="665">
        <v>0.1</v>
      </c>
      <c r="K92" s="665">
        <v>38.6</v>
      </c>
      <c r="L92" s="665">
        <v>1</v>
      </c>
      <c r="M92" s="665">
        <v>386</v>
      </c>
      <c r="N92" s="665">
        <v>0.3</v>
      </c>
      <c r="O92" s="665">
        <v>115.81</v>
      </c>
      <c r="P92" s="686">
        <v>3.0002590673575127</v>
      </c>
      <c r="Q92" s="666">
        <v>386.03333333333336</v>
      </c>
    </row>
    <row r="93" spans="1:17" ht="14.4" customHeight="1" x14ac:dyDescent="0.3">
      <c r="A93" s="661" t="s">
        <v>512</v>
      </c>
      <c r="B93" s="662" t="s">
        <v>2051</v>
      </c>
      <c r="C93" s="662" t="s">
        <v>2052</v>
      </c>
      <c r="D93" s="662" t="s">
        <v>2117</v>
      </c>
      <c r="E93" s="662" t="s">
        <v>1281</v>
      </c>
      <c r="F93" s="665">
        <v>2.2000000000000002</v>
      </c>
      <c r="G93" s="665">
        <v>1698.71</v>
      </c>
      <c r="H93" s="665">
        <v>0.45833783025384217</v>
      </c>
      <c r="I93" s="665">
        <v>772.14090909090908</v>
      </c>
      <c r="J93" s="665">
        <v>4.8</v>
      </c>
      <c r="K93" s="665">
        <v>3706.2400000000002</v>
      </c>
      <c r="L93" s="665">
        <v>1</v>
      </c>
      <c r="M93" s="665">
        <v>772.13333333333344</v>
      </c>
      <c r="N93" s="665">
        <v>13.61</v>
      </c>
      <c r="O93" s="665">
        <v>10509.02</v>
      </c>
      <c r="P93" s="686">
        <v>2.835493653945778</v>
      </c>
      <c r="Q93" s="666">
        <v>772.15429831006622</v>
      </c>
    </row>
    <row r="94" spans="1:17" ht="14.4" customHeight="1" x14ac:dyDescent="0.3">
      <c r="A94" s="661" t="s">
        <v>512</v>
      </c>
      <c r="B94" s="662" t="s">
        <v>2051</v>
      </c>
      <c r="C94" s="662" t="s">
        <v>2052</v>
      </c>
      <c r="D94" s="662" t="s">
        <v>2118</v>
      </c>
      <c r="E94" s="662" t="s">
        <v>2119</v>
      </c>
      <c r="F94" s="665"/>
      <c r="G94" s="665"/>
      <c r="H94" s="665"/>
      <c r="I94" s="665"/>
      <c r="J94" s="665">
        <v>1</v>
      </c>
      <c r="K94" s="665">
        <v>863.17</v>
      </c>
      <c r="L94" s="665">
        <v>1</v>
      </c>
      <c r="M94" s="665">
        <v>863.17</v>
      </c>
      <c r="N94" s="665"/>
      <c r="O94" s="665"/>
      <c r="P94" s="686"/>
      <c r="Q94" s="666"/>
    </row>
    <row r="95" spans="1:17" ht="14.4" customHeight="1" x14ac:dyDescent="0.3">
      <c r="A95" s="661" t="s">
        <v>512</v>
      </c>
      <c r="B95" s="662" t="s">
        <v>2051</v>
      </c>
      <c r="C95" s="662" t="s">
        <v>2052</v>
      </c>
      <c r="D95" s="662" t="s">
        <v>2120</v>
      </c>
      <c r="E95" s="662" t="s">
        <v>2121</v>
      </c>
      <c r="F95" s="665">
        <v>6.34</v>
      </c>
      <c r="G95" s="665">
        <v>19033.189999999999</v>
      </c>
      <c r="H95" s="665"/>
      <c r="I95" s="665">
        <v>3002.0804416403785</v>
      </c>
      <c r="J95" s="665"/>
      <c r="K95" s="665"/>
      <c r="L95" s="665"/>
      <c r="M95" s="665"/>
      <c r="N95" s="665"/>
      <c r="O95" s="665"/>
      <c r="P95" s="686"/>
      <c r="Q95" s="666"/>
    </row>
    <row r="96" spans="1:17" ht="14.4" customHeight="1" x14ac:dyDescent="0.3">
      <c r="A96" s="661" t="s">
        <v>512</v>
      </c>
      <c r="B96" s="662" t="s">
        <v>2051</v>
      </c>
      <c r="C96" s="662" t="s">
        <v>2052</v>
      </c>
      <c r="D96" s="662" t="s">
        <v>2122</v>
      </c>
      <c r="E96" s="662" t="s">
        <v>1495</v>
      </c>
      <c r="F96" s="665">
        <v>1.8</v>
      </c>
      <c r="G96" s="665">
        <v>771.74</v>
      </c>
      <c r="H96" s="665">
        <v>8.8668852730243275E-2</v>
      </c>
      <c r="I96" s="665">
        <v>428.74444444444441</v>
      </c>
      <c r="J96" s="665">
        <v>20.299999999999997</v>
      </c>
      <c r="K96" s="665">
        <v>8703.6200000000008</v>
      </c>
      <c r="L96" s="665">
        <v>1</v>
      </c>
      <c r="M96" s="665">
        <v>428.74975369458139</v>
      </c>
      <c r="N96" s="665">
        <v>17.399999999999999</v>
      </c>
      <c r="O96" s="665">
        <v>7220.2900000000009</v>
      </c>
      <c r="P96" s="686">
        <v>0.82957321206578416</v>
      </c>
      <c r="Q96" s="666">
        <v>414.95919540229892</v>
      </c>
    </row>
    <row r="97" spans="1:17" ht="14.4" customHeight="1" x14ac:dyDescent="0.3">
      <c r="A97" s="661" t="s">
        <v>512</v>
      </c>
      <c r="B97" s="662" t="s">
        <v>2051</v>
      </c>
      <c r="C97" s="662" t="s">
        <v>2052</v>
      </c>
      <c r="D97" s="662" t="s">
        <v>2123</v>
      </c>
      <c r="E97" s="662" t="s">
        <v>1488</v>
      </c>
      <c r="F97" s="665">
        <v>11.5</v>
      </c>
      <c r="G97" s="665">
        <v>2520.8000000000002</v>
      </c>
      <c r="H97" s="665">
        <v>0.23469387755102045</v>
      </c>
      <c r="I97" s="665">
        <v>219.20000000000002</v>
      </c>
      <c r="J97" s="665">
        <v>49</v>
      </c>
      <c r="K97" s="665">
        <v>10740.8</v>
      </c>
      <c r="L97" s="665">
        <v>1</v>
      </c>
      <c r="M97" s="665">
        <v>219.2</v>
      </c>
      <c r="N97" s="665">
        <v>14</v>
      </c>
      <c r="O97" s="665">
        <v>3068.8</v>
      </c>
      <c r="P97" s="686">
        <v>0.28571428571428575</v>
      </c>
      <c r="Q97" s="666">
        <v>219.20000000000002</v>
      </c>
    </row>
    <row r="98" spans="1:17" ht="14.4" customHeight="1" x14ac:dyDescent="0.3">
      <c r="A98" s="661" t="s">
        <v>512</v>
      </c>
      <c r="B98" s="662" t="s">
        <v>2051</v>
      </c>
      <c r="C98" s="662" t="s">
        <v>2052</v>
      </c>
      <c r="D98" s="662" t="s">
        <v>2124</v>
      </c>
      <c r="E98" s="662" t="s">
        <v>2125</v>
      </c>
      <c r="F98" s="665"/>
      <c r="G98" s="665"/>
      <c r="H98" s="665"/>
      <c r="I98" s="665"/>
      <c r="J98" s="665">
        <v>6</v>
      </c>
      <c r="K98" s="665">
        <v>61976.94</v>
      </c>
      <c r="L98" s="665">
        <v>1</v>
      </c>
      <c r="M98" s="665">
        <v>10329.49</v>
      </c>
      <c r="N98" s="665">
        <v>1</v>
      </c>
      <c r="O98" s="665">
        <v>10329.49</v>
      </c>
      <c r="P98" s="686">
        <v>0.16666666666666666</v>
      </c>
      <c r="Q98" s="666">
        <v>10329.49</v>
      </c>
    </row>
    <row r="99" spans="1:17" ht="14.4" customHeight="1" x14ac:dyDescent="0.3">
      <c r="A99" s="661" t="s">
        <v>512</v>
      </c>
      <c r="B99" s="662" t="s">
        <v>2051</v>
      </c>
      <c r="C99" s="662" t="s">
        <v>2052</v>
      </c>
      <c r="D99" s="662" t="s">
        <v>1344</v>
      </c>
      <c r="E99" s="662" t="s">
        <v>1347</v>
      </c>
      <c r="F99" s="665"/>
      <c r="G99" s="665"/>
      <c r="H99" s="665"/>
      <c r="I99" s="665"/>
      <c r="J99" s="665"/>
      <c r="K99" s="665"/>
      <c r="L99" s="665"/>
      <c r="M99" s="665"/>
      <c r="N99" s="665">
        <v>9</v>
      </c>
      <c r="O99" s="665">
        <v>28555.02</v>
      </c>
      <c r="P99" s="686"/>
      <c r="Q99" s="666">
        <v>3172.78</v>
      </c>
    </row>
    <row r="100" spans="1:17" ht="14.4" customHeight="1" x14ac:dyDescent="0.3">
      <c r="A100" s="661" t="s">
        <v>512</v>
      </c>
      <c r="B100" s="662" t="s">
        <v>2051</v>
      </c>
      <c r="C100" s="662" t="s">
        <v>2052</v>
      </c>
      <c r="D100" s="662" t="s">
        <v>2126</v>
      </c>
      <c r="E100" s="662" t="s">
        <v>1495</v>
      </c>
      <c r="F100" s="665"/>
      <c r="G100" s="665"/>
      <c r="H100" s="665"/>
      <c r="I100" s="665"/>
      <c r="J100" s="665"/>
      <c r="K100" s="665"/>
      <c r="L100" s="665"/>
      <c r="M100" s="665"/>
      <c r="N100" s="665">
        <v>5.9</v>
      </c>
      <c r="O100" s="665">
        <v>4533.1500000000005</v>
      </c>
      <c r="P100" s="686"/>
      <c r="Q100" s="666">
        <v>768.33050847457628</v>
      </c>
    </row>
    <row r="101" spans="1:17" ht="14.4" customHeight="1" x14ac:dyDescent="0.3">
      <c r="A101" s="661" t="s">
        <v>512</v>
      </c>
      <c r="B101" s="662" t="s">
        <v>2051</v>
      </c>
      <c r="C101" s="662" t="s">
        <v>2052</v>
      </c>
      <c r="D101" s="662" t="s">
        <v>2127</v>
      </c>
      <c r="E101" s="662" t="s">
        <v>2128</v>
      </c>
      <c r="F101" s="665"/>
      <c r="G101" s="665"/>
      <c r="H101" s="665"/>
      <c r="I101" s="665"/>
      <c r="J101" s="665">
        <v>54</v>
      </c>
      <c r="K101" s="665">
        <v>3550.5</v>
      </c>
      <c r="L101" s="665">
        <v>1</v>
      </c>
      <c r="M101" s="665">
        <v>65.75</v>
      </c>
      <c r="N101" s="665"/>
      <c r="O101" s="665"/>
      <c r="P101" s="686"/>
      <c r="Q101" s="666"/>
    </row>
    <row r="102" spans="1:17" ht="14.4" customHeight="1" x14ac:dyDescent="0.3">
      <c r="A102" s="661" t="s">
        <v>512</v>
      </c>
      <c r="B102" s="662" t="s">
        <v>2051</v>
      </c>
      <c r="C102" s="662" t="s">
        <v>2052</v>
      </c>
      <c r="D102" s="662" t="s">
        <v>1346</v>
      </c>
      <c r="E102" s="662" t="s">
        <v>1347</v>
      </c>
      <c r="F102" s="665"/>
      <c r="G102" s="665"/>
      <c r="H102" s="665"/>
      <c r="I102" s="665"/>
      <c r="J102" s="665"/>
      <c r="K102" s="665"/>
      <c r="L102" s="665"/>
      <c r="M102" s="665"/>
      <c r="N102" s="665">
        <v>4</v>
      </c>
      <c r="O102" s="665">
        <v>25382.28</v>
      </c>
      <c r="P102" s="686"/>
      <c r="Q102" s="666">
        <v>6345.57</v>
      </c>
    </row>
    <row r="103" spans="1:17" ht="14.4" customHeight="1" x14ac:dyDescent="0.3">
      <c r="A103" s="661" t="s">
        <v>512</v>
      </c>
      <c r="B103" s="662" t="s">
        <v>2051</v>
      </c>
      <c r="C103" s="662" t="s">
        <v>2052</v>
      </c>
      <c r="D103" s="662" t="s">
        <v>2129</v>
      </c>
      <c r="E103" s="662" t="s">
        <v>2130</v>
      </c>
      <c r="F103" s="665">
        <v>3</v>
      </c>
      <c r="G103" s="665">
        <v>20292.66</v>
      </c>
      <c r="H103" s="665"/>
      <c r="I103" s="665">
        <v>6764.22</v>
      </c>
      <c r="J103" s="665"/>
      <c r="K103" s="665"/>
      <c r="L103" s="665"/>
      <c r="M103" s="665"/>
      <c r="N103" s="665"/>
      <c r="O103" s="665"/>
      <c r="P103" s="686"/>
      <c r="Q103" s="666"/>
    </row>
    <row r="104" spans="1:17" ht="14.4" customHeight="1" x14ac:dyDescent="0.3">
      <c r="A104" s="661" t="s">
        <v>512</v>
      </c>
      <c r="B104" s="662" t="s">
        <v>2051</v>
      </c>
      <c r="C104" s="662" t="s">
        <v>2052</v>
      </c>
      <c r="D104" s="662" t="s">
        <v>2131</v>
      </c>
      <c r="E104" s="662" t="s">
        <v>2132</v>
      </c>
      <c r="F104" s="665">
        <v>1.7</v>
      </c>
      <c r="G104" s="665">
        <v>4776.32</v>
      </c>
      <c r="H104" s="665"/>
      <c r="I104" s="665">
        <v>2809.6</v>
      </c>
      <c r="J104" s="665"/>
      <c r="K104" s="665"/>
      <c r="L104" s="665"/>
      <c r="M104" s="665"/>
      <c r="N104" s="665"/>
      <c r="O104" s="665"/>
      <c r="P104" s="686"/>
      <c r="Q104" s="666"/>
    </row>
    <row r="105" spans="1:17" ht="14.4" customHeight="1" x14ac:dyDescent="0.3">
      <c r="A105" s="661" t="s">
        <v>512</v>
      </c>
      <c r="B105" s="662" t="s">
        <v>2051</v>
      </c>
      <c r="C105" s="662" t="s">
        <v>2052</v>
      </c>
      <c r="D105" s="662" t="s">
        <v>2133</v>
      </c>
      <c r="E105" s="662" t="s">
        <v>2134</v>
      </c>
      <c r="F105" s="665">
        <v>1.3</v>
      </c>
      <c r="G105" s="665">
        <v>2763.2799999999997</v>
      </c>
      <c r="H105" s="665">
        <v>6.7010309278350513E-2</v>
      </c>
      <c r="I105" s="665">
        <v>2125.6</v>
      </c>
      <c r="J105" s="665">
        <v>19.399999999999999</v>
      </c>
      <c r="K105" s="665">
        <v>41236.639999999999</v>
      </c>
      <c r="L105" s="665">
        <v>1</v>
      </c>
      <c r="M105" s="665">
        <v>2125.6</v>
      </c>
      <c r="N105" s="665">
        <v>39.800000000000004</v>
      </c>
      <c r="O105" s="665">
        <v>84598.88</v>
      </c>
      <c r="P105" s="686">
        <v>2.0515463917525776</v>
      </c>
      <c r="Q105" s="666">
        <v>2125.6</v>
      </c>
    </row>
    <row r="106" spans="1:17" ht="14.4" customHeight="1" x14ac:dyDescent="0.3">
      <c r="A106" s="661" t="s">
        <v>512</v>
      </c>
      <c r="B106" s="662" t="s">
        <v>2051</v>
      </c>
      <c r="C106" s="662" t="s">
        <v>2052</v>
      </c>
      <c r="D106" s="662" t="s">
        <v>2135</v>
      </c>
      <c r="E106" s="662" t="s">
        <v>2136</v>
      </c>
      <c r="F106" s="665"/>
      <c r="G106" s="665"/>
      <c r="H106" s="665"/>
      <c r="I106" s="665"/>
      <c r="J106" s="665"/>
      <c r="K106" s="665"/>
      <c r="L106" s="665"/>
      <c r="M106" s="665"/>
      <c r="N106" s="665">
        <v>7</v>
      </c>
      <c r="O106" s="665">
        <v>72746.45</v>
      </c>
      <c r="P106" s="686"/>
      <c r="Q106" s="666">
        <v>10392.35</v>
      </c>
    </row>
    <row r="107" spans="1:17" ht="14.4" customHeight="1" x14ac:dyDescent="0.3">
      <c r="A107" s="661" t="s">
        <v>512</v>
      </c>
      <c r="B107" s="662" t="s">
        <v>2051</v>
      </c>
      <c r="C107" s="662" t="s">
        <v>2052</v>
      </c>
      <c r="D107" s="662" t="s">
        <v>2137</v>
      </c>
      <c r="E107" s="662" t="s">
        <v>2138</v>
      </c>
      <c r="F107" s="665">
        <v>1.3</v>
      </c>
      <c r="G107" s="665">
        <v>4881.76</v>
      </c>
      <c r="H107" s="665"/>
      <c r="I107" s="665">
        <v>3755.2</v>
      </c>
      <c r="J107" s="665"/>
      <c r="K107" s="665"/>
      <c r="L107" s="665"/>
      <c r="M107" s="665"/>
      <c r="N107" s="665"/>
      <c r="O107" s="665"/>
      <c r="P107" s="686"/>
      <c r="Q107" s="666"/>
    </row>
    <row r="108" spans="1:17" ht="14.4" customHeight="1" x14ac:dyDescent="0.3">
      <c r="A108" s="661" t="s">
        <v>512</v>
      </c>
      <c r="B108" s="662" t="s">
        <v>2051</v>
      </c>
      <c r="C108" s="662" t="s">
        <v>2052</v>
      </c>
      <c r="D108" s="662" t="s">
        <v>2139</v>
      </c>
      <c r="E108" s="662" t="s">
        <v>2114</v>
      </c>
      <c r="F108" s="665"/>
      <c r="G108" s="665"/>
      <c r="H108" s="665"/>
      <c r="I108" s="665"/>
      <c r="J108" s="665">
        <v>0.3</v>
      </c>
      <c r="K108" s="665">
        <v>58.77</v>
      </c>
      <c r="L108" s="665">
        <v>1</v>
      </c>
      <c r="M108" s="665">
        <v>195.9</v>
      </c>
      <c r="N108" s="665"/>
      <c r="O108" s="665"/>
      <c r="P108" s="686"/>
      <c r="Q108" s="666"/>
    </row>
    <row r="109" spans="1:17" ht="14.4" customHeight="1" x14ac:dyDescent="0.3">
      <c r="A109" s="661" t="s">
        <v>512</v>
      </c>
      <c r="B109" s="662" t="s">
        <v>2051</v>
      </c>
      <c r="C109" s="662" t="s">
        <v>2052</v>
      </c>
      <c r="D109" s="662" t="s">
        <v>2140</v>
      </c>
      <c r="E109" s="662" t="s">
        <v>2141</v>
      </c>
      <c r="F109" s="665"/>
      <c r="G109" s="665"/>
      <c r="H109" s="665"/>
      <c r="I109" s="665"/>
      <c r="J109" s="665">
        <v>0.3</v>
      </c>
      <c r="K109" s="665">
        <v>189</v>
      </c>
      <c r="L109" s="665">
        <v>1</v>
      </c>
      <c r="M109" s="665">
        <v>630</v>
      </c>
      <c r="N109" s="665">
        <v>0.5</v>
      </c>
      <c r="O109" s="665">
        <v>200.2</v>
      </c>
      <c r="P109" s="686">
        <v>1.0592592592592591</v>
      </c>
      <c r="Q109" s="666">
        <v>400.4</v>
      </c>
    </row>
    <row r="110" spans="1:17" ht="14.4" customHeight="1" x14ac:dyDescent="0.3">
      <c r="A110" s="661" t="s">
        <v>512</v>
      </c>
      <c r="B110" s="662" t="s">
        <v>2051</v>
      </c>
      <c r="C110" s="662" t="s">
        <v>2052</v>
      </c>
      <c r="D110" s="662" t="s">
        <v>2142</v>
      </c>
      <c r="E110" s="662" t="s">
        <v>2141</v>
      </c>
      <c r="F110" s="665"/>
      <c r="G110" s="665"/>
      <c r="H110" s="665"/>
      <c r="I110" s="665"/>
      <c r="J110" s="665">
        <v>4.7</v>
      </c>
      <c r="K110" s="665">
        <v>5381.68</v>
      </c>
      <c r="L110" s="665">
        <v>1</v>
      </c>
      <c r="M110" s="665">
        <v>1145.0382978723405</v>
      </c>
      <c r="N110" s="665">
        <v>2.5</v>
      </c>
      <c r="O110" s="665">
        <v>2002</v>
      </c>
      <c r="P110" s="686">
        <v>0.3720027946663495</v>
      </c>
      <c r="Q110" s="666">
        <v>800.8</v>
      </c>
    </row>
    <row r="111" spans="1:17" ht="14.4" customHeight="1" x14ac:dyDescent="0.3">
      <c r="A111" s="661" t="s">
        <v>512</v>
      </c>
      <c r="B111" s="662" t="s">
        <v>2051</v>
      </c>
      <c r="C111" s="662" t="s">
        <v>2052</v>
      </c>
      <c r="D111" s="662" t="s">
        <v>2143</v>
      </c>
      <c r="E111" s="662" t="s">
        <v>1488</v>
      </c>
      <c r="F111" s="665"/>
      <c r="G111" s="665"/>
      <c r="H111" s="665"/>
      <c r="I111" s="665"/>
      <c r="J111" s="665">
        <v>8</v>
      </c>
      <c r="K111" s="665">
        <v>876.8</v>
      </c>
      <c r="L111" s="665">
        <v>1</v>
      </c>
      <c r="M111" s="665">
        <v>109.6</v>
      </c>
      <c r="N111" s="665">
        <v>5</v>
      </c>
      <c r="O111" s="665">
        <v>548</v>
      </c>
      <c r="P111" s="686">
        <v>0.625</v>
      </c>
      <c r="Q111" s="666">
        <v>109.6</v>
      </c>
    </row>
    <row r="112" spans="1:17" ht="14.4" customHeight="1" x14ac:dyDescent="0.3">
      <c r="A112" s="661" t="s">
        <v>512</v>
      </c>
      <c r="B112" s="662" t="s">
        <v>2051</v>
      </c>
      <c r="C112" s="662" t="s">
        <v>2052</v>
      </c>
      <c r="D112" s="662" t="s">
        <v>2144</v>
      </c>
      <c r="E112" s="662" t="s">
        <v>2145</v>
      </c>
      <c r="F112" s="665"/>
      <c r="G112" s="665"/>
      <c r="H112" s="665"/>
      <c r="I112" s="665"/>
      <c r="J112" s="665">
        <v>2.3000000000000003</v>
      </c>
      <c r="K112" s="665">
        <v>762.21999999999991</v>
      </c>
      <c r="L112" s="665">
        <v>1</v>
      </c>
      <c r="M112" s="665">
        <v>331.39999999999992</v>
      </c>
      <c r="N112" s="665">
        <v>4.2</v>
      </c>
      <c r="O112" s="665">
        <v>1391.88</v>
      </c>
      <c r="P112" s="686">
        <v>1.8260869565217395</v>
      </c>
      <c r="Q112" s="666">
        <v>331.40000000000003</v>
      </c>
    </row>
    <row r="113" spans="1:17" ht="14.4" customHeight="1" x14ac:dyDescent="0.3">
      <c r="A113" s="661" t="s">
        <v>512</v>
      </c>
      <c r="B113" s="662" t="s">
        <v>2051</v>
      </c>
      <c r="C113" s="662" t="s">
        <v>2052</v>
      </c>
      <c r="D113" s="662" t="s">
        <v>2146</v>
      </c>
      <c r="E113" s="662" t="s">
        <v>1482</v>
      </c>
      <c r="F113" s="665"/>
      <c r="G113" s="665"/>
      <c r="H113" s="665"/>
      <c r="I113" s="665"/>
      <c r="J113" s="665">
        <v>10.7</v>
      </c>
      <c r="K113" s="665">
        <v>34921.96</v>
      </c>
      <c r="L113" s="665">
        <v>1</v>
      </c>
      <c r="M113" s="665">
        <v>3263.7345794392527</v>
      </c>
      <c r="N113" s="665">
        <v>20.100000000000001</v>
      </c>
      <c r="O113" s="665">
        <v>65601.23</v>
      </c>
      <c r="P113" s="686">
        <v>1.8785093963798136</v>
      </c>
      <c r="Q113" s="666">
        <v>3263.7427860696512</v>
      </c>
    </row>
    <row r="114" spans="1:17" ht="14.4" customHeight="1" x14ac:dyDescent="0.3">
      <c r="A114" s="661" t="s">
        <v>512</v>
      </c>
      <c r="B114" s="662" t="s">
        <v>2051</v>
      </c>
      <c r="C114" s="662" t="s">
        <v>2147</v>
      </c>
      <c r="D114" s="662" t="s">
        <v>2148</v>
      </c>
      <c r="E114" s="662" t="s">
        <v>2149</v>
      </c>
      <c r="F114" s="665"/>
      <c r="G114" s="665"/>
      <c r="H114" s="665"/>
      <c r="I114" s="665"/>
      <c r="J114" s="665">
        <v>1</v>
      </c>
      <c r="K114" s="665">
        <v>1306.92</v>
      </c>
      <c r="L114" s="665">
        <v>1</v>
      </c>
      <c r="M114" s="665">
        <v>1306.92</v>
      </c>
      <c r="N114" s="665"/>
      <c r="O114" s="665"/>
      <c r="P114" s="686"/>
      <c r="Q114" s="666"/>
    </row>
    <row r="115" spans="1:17" ht="14.4" customHeight="1" x14ac:dyDescent="0.3">
      <c r="A115" s="661" t="s">
        <v>512</v>
      </c>
      <c r="B115" s="662" t="s">
        <v>2051</v>
      </c>
      <c r="C115" s="662" t="s">
        <v>2147</v>
      </c>
      <c r="D115" s="662" t="s">
        <v>2150</v>
      </c>
      <c r="E115" s="662" t="s">
        <v>2151</v>
      </c>
      <c r="F115" s="665">
        <v>112</v>
      </c>
      <c r="G115" s="665">
        <v>208944.96</v>
      </c>
      <c r="H115" s="665">
        <v>0.80847020166971784</v>
      </c>
      <c r="I115" s="665">
        <v>1865.58</v>
      </c>
      <c r="J115" s="665">
        <v>129</v>
      </c>
      <c r="K115" s="665">
        <v>258444.85</v>
      </c>
      <c r="L115" s="665">
        <v>1</v>
      </c>
      <c r="M115" s="665">
        <v>2003.4484496124032</v>
      </c>
      <c r="N115" s="665">
        <v>125</v>
      </c>
      <c r="O115" s="665">
        <v>269640.13</v>
      </c>
      <c r="P115" s="686">
        <v>1.0433178683962943</v>
      </c>
      <c r="Q115" s="666">
        <v>2157.12104</v>
      </c>
    </row>
    <row r="116" spans="1:17" ht="14.4" customHeight="1" x14ac:dyDescent="0.3">
      <c r="A116" s="661" t="s">
        <v>512</v>
      </c>
      <c r="B116" s="662" t="s">
        <v>2051</v>
      </c>
      <c r="C116" s="662" t="s">
        <v>2147</v>
      </c>
      <c r="D116" s="662" t="s">
        <v>2152</v>
      </c>
      <c r="E116" s="662" t="s">
        <v>2153</v>
      </c>
      <c r="F116" s="665">
        <v>2</v>
      </c>
      <c r="G116" s="665">
        <v>5457.42</v>
      </c>
      <c r="H116" s="665">
        <v>0.12317708780042561</v>
      </c>
      <c r="I116" s="665">
        <v>2728.71</v>
      </c>
      <c r="J116" s="665">
        <v>18</v>
      </c>
      <c r="K116" s="665">
        <v>44305.479999999996</v>
      </c>
      <c r="L116" s="665">
        <v>1</v>
      </c>
      <c r="M116" s="665">
        <v>2461.4155555555553</v>
      </c>
      <c r="N116" s="665">
        <v>19</v>
      </c>
      <c r="O116" s="665">
        <v>50181.85</v>
      </c>
      <c r="P116" s="686">
        <v>1.1326330286908075</v>
      </c>
      <c r="Q116" s="666">
        <v>2641.15</v>
      </c>
    </row>
    <row r="117" spans="1:17" ht="14.4" customHeight="1" x14ac:dyDescent="0.3">
      <c r="A117" s="661" t="s">
        <v>512</v>
      </c>
      <c r="B117" s="662" t="s">
        <v>2051</v>
      </c>
      <c r="C117" s="662" t="s">
        <v>2147</v>
      </c>
      <c r="D117" s="662" t="s">
        <v>2154</v>
      </c>
      <c r="E117" s="662" t="s">
        <v>2155</v>
      </c>
      <c r="F117" s="665">
        <v>2</v>
      </c>
      <c r="G117" s="665">
        <v>16148.72</v>
      </c>
      <c r="H117" s="665">
        <v>0.64980108072698184</v>
      </c>
      <c r="I117" s="665">
        <v>8074.36</v>
      </c>
      <c r="J117" s="665">
        <v>3</v>
      </c>
      <c r="K117" s="665">
        <v>24851.79</v>
      </c>
      <c r="L117" s="665">
        <v>1</v>
      </c>
      <c r="M117" s="665">
        <v>8283.93</v>
      </c>
      <c r="N117" s="665">
        <v>7</v>
      </c>
      <c r="O117" s="665">
        <v>62316.520000000004</v>
      </c>
      <c r="P117" s="686">
        <v>2.5075264196261116</v>
      </c>
      <c r="Q117" s="666">
        <v>8902.36</v>
      </c>
    </row>
    <row r="118" spans="1:17" ht="14.4" customHeight="1" x14ac:dyDescent="0.3">
      <c r="A118" s="661" t="s">
        <v>512</v>
      </c>
      <c r="B118" s="662" t="s">
        <v>2051</v>
      </c>
      <c r="C118" s="662" t="s">
        <v>2147</v>
      </c>
      <c r="D118" s="662" t="s">
        <v>2156</v>
      </c>
      <c r="E118" s="662" t="s">
        <v>2157</v>
      </c>
      <c r="F118" s="665">
        <v>5</v>
      </c>
      <c r="G118" s="665">
        <v>48430.5</v>
      </c>
      <c r="H118" s="665">
        <v>1.2221973786748821</v>
      </c>
      <c r="I118" s="665">
        <v>9686.1</v>
      </c>
      <c r="J118" s="665">
        <v>4</v>
      </c>
      <c r="K118" s="665">
        <v>39625.760000000002</v>
      </c>
      <c r="L118" s="665">
        <v>1</v>
      </c>
      <c r="M118" s="665">
        <v>9906.44</v>
      </c>
      <c r="N118" s="665">
        <v>6</v>
      </c>
      <c r="O118" s="665">
        <v>61854.899999999994</v>
      </c>
      <c r="P118" s="686">
        <v>1.5609770008196686</v>
      </c>
      <c r="Q118" s="666">
        <v>10309.15</v>
      </c>
    </row>
    <row r="119" spans="1:17" ht="14.4" customHeight="1" x14ac:dyDescent="0.3">
      <c r="A119" s="661" t="s">
        <v>512</v>
      </c>
      <c r="B119" s="662" t="s">
        <v>2051</v>
      </c>
      <c r="C119" s="662" t="s">
        <v>2147</v>
      </c>
      <c r="D119" s="662" t="s">
        <v>2158</v>
      </c>
      <c r="E119" s="662" t="s">
        <v>2159</v>
      </c>
      <c r="F119" s="665">
        <v>56</v>
      </c>
      <c r="G119" s="665">
        <v>51831.92</v>
      </c>
      <c r="H119" s="665">
        <v>0.82709252401798561</v>
      </c>
      <c r="I119" s="665">
        <v>925.56999999999994</v>
      </c>
      <c r="J119" s="665">
        <v>59</v>
      </c>
      <c r="K119" s="665">
        <v>62667.62</v>
      </c>
      <c r="L119" s="665">
        <v>1</v>
      </c>
      <c r="M119" s="665">
        <v>1062.1630508474577</v>
      </c>
      <c r="N119" s="665">
        <v>56</v>
      </c>
      <c r="O119" s="665">
        <v>67850.16</v>
      </c>
      <c r="P119" s="686">
        <v>1.0826988483047546</v>
      </c>
      <c r="Q119" s="666">
        <v>1211.6100000000001</v>
      </c>
    </row>
    <row r="120" spans="1:17" ht="14.4" customHeight="1" x14ac:dyDescent="0.3">
      <c r="A120" s="661" t="s">
        <v>512</v>
      </c>
      <c r="B120" s="662" t="s">
        <v>2051</v>
      </c>
      <c r="C120" s="662" t="s">
        <v>2147</v>
      </c>
      <c r="D120" s="662" t="s">
        <v>2160</v>
      </c>
      <c r="E120" s="662" t="s">
        <v>2161</v>
      </c>
      <c r="F120" s="665"/>
      <c r="G120" s="665"/>
      <c r="H120" s="665"/>
      <c r="I120" s="665"/>
      <c r="J120" s="665">
        <v>6</v>
      </c>
      <c r="K120" s="665">
        <v>1448.22</v>
      </c>
      <c r="L120" s="665">
        <v>1</v>
      </c>
      <c r="M120" s="665">
        <v>241.37</v>
      </c>
      <c r="N120" s="665">
        <v>7</v>
      </c>
      <c r="O120" s="665">
        <v>1719.27</v>
      </c>
      <c r="P120" s="686">
        <v>1.1871607904876331</v>
      </c>
      <c r="Q120" s="666">
        <v>245.60999999999999</v>
      </c>
    </row>
    <row r="121" spans="1:17" ht="14.4" customHeight="1" x14ac:dyDescent="0.3">
      <c r="A121" s="661" t="s">
        <v>512</v>
      </c>
      <c r="B121" s="662" t="s">
        <v>2051</v>
      </c>
      <c r="C121" s="662" t="s">
        <v>2147</v>
      </c>
      <c r="D121" s="662" t="s">
        <v>2162</v>
      </c>
      <c r="E121" s="662" t="s">
        <v>2163</v>
      </c>
      <c r="F121" s="665"/>
      <c r="G121" s="665"/>
      <c r="H121" s="665"/>
      <c r="I121" s="665"/>
      <c r="J121" s="665"/>
      <c r="K121" s="665"/>
      <c r="L121" s="665"/>
      <c r="M121" s="665"/>
      <c r="N121" s="665">
        <v>1</v>
      </c>
      <c r="O121" s="665">
        <v>2641.15</v>
      </c>
      <c r="P121" s="686"/>
      <c r="Q121" s="666">
        <v>2641.15</v>
      </c>
    </row>
    <row r="122" spans="1:17" ht="14.4" customHeight="1" x14ac:dyDescent="0.3">
      <c r="A122" s="661" t="s">
        <v>512</v>
      </c>
      <c r="B122" s="662" t="s">
        <v>2051</v>
      </c>
      <c r="C122" s="662" t="s">
        <v>2164</v>
      </c>
      <c r="D122" s="662" t="s">
        <v>2165</v>
      </c>
      <c r="E122" s="662" t="s">
        <v>2166</v>
      </c>
      <c r="F122" s="665"/>
      <c r="G122" s="665"/>
      <c r="H122" s="665"/>
      <c r="I122" s="665"/>
      <c r="J122" s="665">
        <v>0.3</v>
      </c>
      <c r="K122" s="665">
        <v>188.87</v>
      </c>
      <c r="L122" s="665">
        <v>1</v>
      </c>
      <c r="M122" s="665">
        <v>629.56666666666672</v>
      </c>
      <c r="N122" s="665"/>
      <c r="O122" s="665"/>
      <c r="P122" s="686"/>
      <c r="Q122" s="666"/>
    </row>
    <row r="123" spans="1:17" ht="14.4" customHeight="1" x14ac:dyDescent="0.3">
      <c r="A123" s="661" t="s">
        <v>512</v>
      </c>
      <c r="B123" s="662" t="s">
        <v>2051</v>
      </c>
      <c r="C123" s="662" t="s">
        <v>2164</v>
      </c>
      <c r="D123" s="662" t="s">
        <v>2167</v>
      </c>
      <c r="E123" s="662" t="s">
        <v>2168</v>
      </c>
      <c r="F123" s="665"/>
      <c r="G123" s="665"/>
      <c r="H123" s="665"/>
      <c r="I123" s="665"/>
      <c r="J123" s="665">
        <v>1</v>
      </c>
      <c r="K123" s="665">
        <v>426.98</v>
      </c>
      <c r="L123" s="665">
        <v>1</v>
      </c>
      <c r="M123" s="665">
        <v>426.98</v>
      </c>
      <c r="N123" s="665"/>
      <c r="O123" s="665"/>
      <c r="P123" s="686"/>
      <c r="Q123" s="666"/>
    </row>
    <row r="124" spans="1:17" ht="14.4" customHeight="1" x14ac:dyDescent="0.3">
      <c r="A124" s="661" t="s">
        <v>512</v>
      </c>
      <c r="B124" s="662" t="s">
        <v>2051</v>
      </c>
      <c r="C124" s="662" t="s">
        <v>2164</v>
      </c>
      <c r="D124" s="662" t="s">
        <v>2169</v>
      </c>
      <c r="E124" s="662" t="s">
        <v>2170</v>
      </c>
      <c r="F124" s="665"/>
      <c r="G124" s="665"/>
      <c r="H124" s="665"/>
      <c r="I124" s="665"/>
      <c r="J124" s="665">
        <v>1</v>
      </c>
      <c r="K124" s="665">
        <v>6847</v>
      </c>
      <c r="L124" s="665">
        <v>1</v>
      </c>
      <c r="M124" s="665">
        <v>6847</v>
      </c>
      <c r="N124" s="665"/>
      <c r="O124" s="665"/>
      <c r="P124" s="686"/>
      <c r="Q124" s="666"/>
    </row>
    <row r="125" spans="1:17" ht="14.4" customHeight="1" x14ac:dyDescent="0.3">
      <c r="A125" s="661" t="s">
        <v>512</v>
      </c>
      <c r="B125" s="662" t="s">
        <v>2051</v>
      </c>
      <c r="C125" s="662" t="s">
        <v>2164</v>
      </c>
      <c r="D125" s="662" t="s">
        <v>2171</v>
      </c>
      <c r="E125" s="662" t="s">
        <v>2172</v>
      </c>
      <c r="F125" s="665">
        <v>1</v>
      </c>
      <c r="G125" s="665">
        <v>6832.75</v>
      </c>
      <c r="H125" s="665">
        <v>1</v>
      </c>
      <c r="I125" s="665">
        <v>6832.75</v>
      </c>
      <c r="J125" s="665">
        <v>1</v>
      </c>
      <c r="K125" s="665">
        <v>6832.75</v>
      </c>
      <c r="L125" s="665">
        <v>1</v>
      </c>
      <c r="M125" s="665">
        <v>6832.75</v>
      </c>
      <c r="N125" s="665"/>
      <c r="O125" s="665"/>
      <c r="P125" s="686"/>
      <c r="Q125" s="666"/>
    </row>
    <row r="126" spans="1:17" ht="14.4" customHeight="1" x14ac:dyDescent="0.3">
      <c r="A126" s="661" t="s">
        <v>512</v>
      </c>
      <c r="B126" s="662" t="s">
        <v>2051</v>
      </c>
      <c r="C126" s="662" t="s">
        <v>2164</v>
      </c>
      <c r="D126" s="662" t="s">
        <v>2173</v>
      </c>
      <c r="E126" s="662" t="s">
        <v>2174</v>
      </c>
      <c r="F126" s="665"/>
      <c r="G126" s="665"/>
      <c r="H126" s="665"/>
      <c r="I126" s="665"/>
      <c r="J126" s="665">
        <v>1</v>
      </c>
      <c r="K126" s="665">
        <v>6570.55</v>
      </c>
      <c r="L126" s="665">
        <v>1</v>
      </c>
      <c r="M126" s="665">
        <v>6570.55</v>
      </c>
      <c r="N126" s="665"/>
      <c r="O126" s="665"/>
      <c r="P126" s="686"/>
      <c r="Q126" s="666"/>
    </row>
    <row r="127" spans="1:17" ht="14.4" customHeight="1" x14ac:dyDescent="0.3">
      <c r="A127" s="661" t="s">
        <v>512</v>
      </c>
      <c r="B127" s="662" t="s">
        <v>2051</v>
      </c>
      <c r="C127" s="662" t="s">
        <v>2164</v>
      </c>
      <c r="D127" s="662" t="s">
        <v>2175</v>
      </c>
      <c r="E127" s="662" t="s">
        <v>2176</v>
      </c>
      <c r="F127" s="665"/>
      <c r="G127" s="665"/>
      <c r="H127" s="665"/>
      <c r="I127" s="665"/>
      <c r="J127" s="665">
        <v>3</v>
      </c>
      <c r="K127" s="665">
        <v>7875.33</v>
      </c>
      <c r="L127" s="665">
        <v>1</v>
      </c>
      <c r="M127" s="665">
        <v>2625.11</v>
      </c>
      <c r="N127" s="665"/>
      <c r="O127" s="665"/>
      <c r="P127" s="686"/>
      <c r="Q127" s="666"/>
    </row>
    <row r="128" spans="1:17" ht="14.4" customHeight="1" x14ac:dyDescent="0.3">
      <c r="A128" s="661" t="s">
        <v>512</v>
      </c>
      <c r="B128" s="662" t="s">
        <v>2051</v>
      </c>
      <c r="C128" s="662" t="s">
        <v>2164</v>
      </c>
      <c r="D128" s="662" t="s">
        <v>2177</v>
      </c>
      <c r="E128" s="662" t="s">
        <v>2178</v>
      </c>
      <c r="F128" s="665"/>
      <c r="G128" s="665"/>
      <c r="H128" s="665"/>
      <c r="I128" s="665"/>
      <c r="J128" s="665">
        <v>2</v>
      </c>
      <c r="K128" s="665">
        <v>1448.84</v>
      </c>
      <c r="L128" s="665">
        <v>1</v>
      </c>
      <c r="M128" s="665">
        <v>724.42</v>
      </c>
      <c r="N128" s="665"/>
      <c r="O128" s="665"/>
      <c r="P128" s="686"/>
      <c r="Q128" s="666"/>
    </row>
    <row r="129" spans="1:17" ht="14.4" customHeight="1" x14ac:dyDescent="0.3">
      <c r="A129" s="661" t="s">
        <v>512</v>
      </c>
      <c r="B129" s="662" t="s">
        <v>2051</v>
      </c>
      <c r="C129" s="662" t="s">
        <v>2164</v>
      </c>
      <c r="D129" s="662" t="s">
        <v>2179</v>
      </c>
      <c r="E129" s="662" t="s">
        <v>2180</v>
      </c>
      <c r="F129" s="665"/>
      <c r="G129" s="665"/>
      <c r="H129" s="665"/>
      <c r="I129" s="665"/>
      <c r="J129" s="665">
        <v>1</v>
      </c>
      <c r="K129" s="665">
        <v>239.4</v>
      </c>
      <c r="L129" s="665">
        <v>1</v>
      </c>
      <c r="M129" s="665">
        <v>239.4</v>
      </c>
      <c r="N129" s="665"/>
      <c r="O129" s="665"/>
      <c r="P129" s="686"/>
      <c r="Q129" s="666"/>
    </row>
    <row r="130" spans="1:17" ht="14.4" customHeight="1" x14ac:dyDescent="0.3">
      <c r="A130" s="661" t="s">
        <v>512</v>
      </c>
      <c r="B130" s="662" t="s">
        <v>2051</v>
      </c>
      <c r="C130" s="662" t="s">
        <v>2164</v>
      </c>
      <c r="D130" s="662" t="s">
        <v>2181</v>
      </c>
      <c r="E130" s="662" t="s">
        <v>2182</v>
      </c>
      <c r="F130" s="665"/>
      <c r="G130" s="665"/>
      <c r="H130" s="665"/>
      <c r="I130" s="665"/>
      <c r="J130" s="665">
        <v>3</v>
      </c>
      <c r="K130" s="665">
        <v>4265.67</v>
      </c>
      <c r="L130" s="665">
        <v>1</v>
      </c>
      <c r="M130" s="665">
        <v>1421.89</v>
      </c>
      <c r="N130" s="665"/>
      <c r="O130" s="665"/>
      <c r="P130" s="686"/>
      <c r="Q130" s="666"/>
    </row>
    <row r="131" spans="1:17" ht="14.4" customHeight="1" x14ac:dyDescent="0.3">
      <c r="A131" s="661" t="s">
        <v>512</v>
      </c>
      <c r="B131" s="662" t="s">
        <v>2051</v>
      </c>
      <c r="C131" s="662" t="s">
        <v>2164</v>
      </c>
      <c r="D131" s="662" t="s">
        <v>2183</v>
      </c>
      <c r="E131" s="662" t="s">
        <v>2182</v>
      </c>
      <c r="F131" s="665"/>
      <c r="G131" s="665"/>
      <c r="H131" s="665"/>
      <c r="I131" s="665"/>
      <c r="J131" s="665">
        <v>5</v>
      </c>
      <c r="K131" s="665">
        <v>8280.5499999999993</v>
      </c>
      <c r="L131" s="665">
        <v>1</v>
      </c>
      <c r="M131" s="665">
        <v>1656.11</v>
      </c>
      <c r="N131" s="665"/>
      <c r="O131" s="665"/>
      <c r="P131" s="686"/>
      <c r="Q131" s="666"/>
    </row>
    <row r="132" spans="1:17" ht="14.4" customHeight="1" x14ac:dyDescent="0.3">
      <c r="A132" s="661" t="s">
        <v>512</v>
      </c>
      <c r="B132" s="662" t="s">
        <v>2051</v>
      </c>
      <c r="C132" s="662" t="s">
        <v>2164</v>
      </c>
      <c r="D132" s="662" t="s">
        <v>2184</v>
      </c>
      <c r="E132" s="662" t="s">
        <v>2185</v>
      </c>
      <c r="F132" s="665"/>
      <c r="G132" s="665"/>
      <c r="H132" s="665"/>
      <c r="I132" s="665"/>
      <c r="J132" s="665"/>
      <c r="K132" s="665"/>
      <c r="L132" s="665"/>
      <c r="M132" s="665"/>
      <c r="N132" s="665">
        <v>3</v>
      </c>
      <c r="O132" s="665">
        <v>2367.87</v>
      </c>
      <c r="P132" s="686"/>
      <c r="Q132" s="666">
        <v>789.29</v>
      </c>
    </row>
    <row r="133" spans="1:17" ht="14.4" customHeight="1" x14ac:dyDescent="0.3">
      <c r="A133" s="661" t="s">
        <v>512</v>
      </c>
      <c r="B133" s="662" t="s">
        <v>2051</v>
      </c>
      <c r="C133" s="662" t="s">
        <v>2164</v>
      </c>
      <c r="D133" s="662" t="s">
        <v>2186</v>
      </c>
      <c r="E133" s="662" t="s">
        <v>2187</v>
      </c>
      <c r="F133" s="665"/>
      <c r="G133" s="665"/>
      <c r="H133" s="665"/>
      <c r="I133" s="665"/>
      <c r="J133" s="665">
        <v>1</v>
      </c>
      <c r="K133" s="665">
        <v>10628.95</v>
      </c>
      <c r="L133" s="665">
        <v>1</v>
      </c>
      <c r="M133" s="665">
        <v>10628.95</v>
      </c>
      <c r="N133" s="665"/>
      <c r="O133" s="665"/>
      <c r="P133" s="686"/>
      <c r="Q133" s="666"/>
    </row>
    <row r="134" spans="1:17" ht="14.4" customHeight="1" x14ac:dyDescent="0.3">
      <c r="A134" s="661" t="s">
        <v>512</v>
      </c>
      <c r="B134" s="662" t="s">
        <v>2051</v>
      </c>
      <c r="C134" s="662" t="s">
        <v>2164</v>
      </c>
      <c r="D134" s="662" t="s">
        <v>2188</v>
      </c>
      <c r="E134" s="662" t="s">
        <v>2189</v>
      </c>
      <c r="F134" s="665"/>
      <c r="G134" s="665"/>
      <c r="H134" s="665"/>
      <c r="I134" s="665"/>
      <c r="J134" s="665">
        <v>2</v>
      </c>
      <c r="K134" s="665">
        <v>1803.28</v>
      </c>
      <c r="L134" s="665">
        <v>1</v>
      </c>
      <c r="M134" s="665">
        <v>901.64</v>
      </c>
      <c r="N134" s="665"/>
      <c r="O134" s="665"/>
      <c r="P134" s="686"/>
      <c r="Q134" s="666"/>
    </row>
    <row r="135" spans="1:17" ht="14.4" customHeight="1" x14ac:dyDescent="0.3">
      <c r="A135" s="661" t="s">
        <v>512</v>
      </c>
      <c r="B135" s="662" t="s">
        <v>2051</v>
      </c>
      <c r="C135" s="662" t="s">
        <v>2164</v>
      </c>
      <c r="D135" s="662" t="s">
        <v>2190</v>
      </c>
      <c r="E135" s="662" t="s">
        <v>2191</v>
      </c>
      <c r="F135" s="665"/>
      <c r="G135" s="665"/>
      <c r="H135" s="665"/>
      <c r="I135" s="665"/>
      <c r="J135" s="665"/>
      <c r="K135" s="665"/>
      <c r="L135" s="665"/>
      <c r="M135" s="665"/>
      <c r="N135" s="665">
        <v>1</v>
      </c>
      <c r="O135" s="665">
        <v>23608.2</v>
      </c>
      <c r="P135" s="686"/>
      <c r="Q135" s="666">
        <v>23608.2</v>
      </c>
    </row>
    <row r="136" spans="1:17" ht="14.4" customHeight="1" x14ac:dyDescent="0.3">
      <c r="A136" s="661" t="s">
        <v>512</v>
      </c>
      <c r="B136" s="662" t="s">
        <v>2051</v>
      </c>
      <c r="C136" s="662" t="s">
        <v>2164</v>
      </c>
      <c r="D136" s="662" t="s">
        <v>2192</v>
      </c>
      <c r="E136" s="662" t="s">
        <v>2193</v>
      </c>
      <c r="F136" s="665"/>
      <c r="G136" s="665"/>
      <c r="H136" s="665"/>
      <c r="I136" s="665"/>
      <c r="J136" s="665">
        <v>1</v>
      </c>
      <c r="K136" s="665">
        <v>408.74</v>
      </c>
      <c r="L136" s="665">
        <v>1</v>
      </c>
      <c r="M136" s="665">
        <v>408.74</v>
      </c>
      <c r="N136" s="665"/>
      <c r="O136" s="665"/>
      <c r="P136" s="686"/>
      <c r="Q136" s="666"/>
    </row>
    <row r="137" spans="1:17" ht="14.4" customHeight="1" x14ac:dyDescent="0.3">
      <c r="A137" s="661" t="s">
        <v>512</v>
      </c>
      <c r="B137" s="662" t="s">
        <v>2051</v>
      </c>
      <c r="C137" s="662" t="s">
        <v>2164</v>
      </c>
      <c r="D137" s="662" t="s">
        <v>2194</v>
      </c>
      <c r="E137" s="662" t="s">
        <v>2195</v>
      </c>
      <c r="F137" s="665"/>
      <c r="G137" s="665"/>
      <c r="H137" s="665"/>
      <c r="I137" s="665"/>
      <c r="J137" s="665">
        <v>1</v>
      </c>
      <c r="K137" s="665">
        <v>3714.22</v>
      </c>
      <c r="L137" s="665">
        <v>1</v>
      </c>
      <c r="M137" s="665">
        <v>3714.22</v>
      </c>
      <c r="N137" s="665"/>
      <c r="O137" s="665"/>
      <c r="P137" s="686"/>
      <c r="Q137" s="666"/>
    </row>
    <row r="138" spans="1:17" ht="14.4" customHeight="1" x14ac:dyDescent="0.3">
      <c r="A138" s="661" t="s">
        <v>512</v>
      </c>
      <c r="B138" s="662" t="s">
        <v>2051</v>
      </c>
      <c r="C138" s="662" t="s">
        <v>2164</v>
      </c>
      <c r="D138" s="662" t="s">
        <v>2196</v>
      </c>
      <c r="E138" s="662" t="s">
        <v>2197</v>
      </c>
      <c r="F138" s="665"/>
      <c r="G138" s="665"/>
      <c r="H138" s="665"/>
      <c r="I138" s="665"/>
      <c r="J138" s="665">
        <v>1</v>
      </c>
      <c r="K138" s="665">
        <v>10124.24</v>
      </c>
      <c r="L138" s="665">
        <v>1</v>
      </c>
      <c r="M138" s="665">
        <v>10124.24</v>
      </c>
      <c r="N138" s="665"/>
      <c r="O138" s="665"/>
      <c r="P138" s="686"/>
      <c r="Q138" s="666"/>
    </row>
    <row r="139" spans="1:17" ht="14.4" customHeight="1" x14ac:dyDescent="0.3">
      <c r="A139" s="661" t="s">
        <v>512</v>
      </c>
      <c r="B139" s="662" t="s">
        <v>2051</v>
      </c>
      <c r="C139" s="662" t="s">
        <v>2164</v>
      </c>
      <c r="D139" s="662" t="s">
        <v>2198</v>
      </c>
      <c r="E139" s="662" t="s">
        <v>2199</v>
      </c>
      <c r="F139" s="665">
        <v>2</v>
      </c>
      <c r="G139" s="665">
        <v>1480</v>
      </c>
      <c r="H139" s="665"/>
      <c r="I139" s="665">
        <v>740</v>
      </c>
      <c r="J139" s="665"/>
      <c r="K139" s="665"/>
      <c r="L139" s="665"/>
      <c r="M139" s="665"/>
      <c r="N139" s="665"/>
      <c r="O139" s="665"/>
      <c r="P139" s="686"/>
      <c r="Q139" s="666"/>
    </row>
    <row r="140" spans="1:17" ht="14.4" customHeight="1" x14ac:dyDescent="0.3">
      <c r="A140" s="661" t="s">
        <v>512</v>
      </c>
      <c r="B140" s="662" t="s">
        <v>2051</v>
      </c>
      <c r="C140" s="662" t="s">
        <v>2164</v>
      </c>
      <c r="D140" s="662" t="s">
        <v>2200</v>
      </c>
      <c r="E140" s="662" t="s">
        <v>2201</v>
      </c>
      <c r="F140" s="665"/>
      <c r="G140" s="665"/>
      <c r="H140" s="665"/>
      <c r="I140" s="665"/>
      <c r="J140" s="665"/>
      <c r="K140" s="665"/>
      <c r="L140" s="665"/>
      <c r="M140" s="665"/>
      <c r="N140" s="665">
        <v>2</v>
      </c>
      <c r="O140" s="665">
        <v>3592</v>
      </c>
      <c r="P140" s="686"/>
      <c r="Q140" s="666">
        <v>1796</v>
      </c>
    </row>
    <row r="141" spans="1:17" ht="14.4" customHeight="1" x14ac:dyDescent="0.3">
      <c r="A141" s="661" t="s">
        <v>512</v>
      </c>
      <c r="B141" s="662" t="s">
        <v>2051</v>
      </c>
      <c r="C141" s="662" t="s">
        <v>2164</v>
      </c>
      <c r="D141" s="662" t="s">
        <v>2202</v>
      </c>
      <c r="E141" s="662" t="s">
        <v>2203</v>
      </c>
      <c r="F141" s="665">
        <v>1</v>
      </c>
      <c r="G141" s="665">
        <v>1796</v>
      </c>
      <c r="H141" s="665"/>
      <c r="I141" s="665">
        <v>1796</v>
      </c>
      <c r="J141" s="665"/>
      <c r="K141" s="665"/>
      <c r="L141" s="665"/>
      <c r="M141" s="665"/>
      <c r="N141" s="665"/>
      <c r="O141" s="665"/>
      <c r="P141" s="686"/>
      <c r="Q141" s="666"/>
    </row>
    <row r="142" spans="1:17" ht="14.4" customHeight="1" x14ac:dyDescent="0.3">
      <c r="A142" s="661" t="s">
        <v>512</v>
      </c>
      <c r="B142" s="662" t="s">
        <v>2051</v>
      </c>
      <c r="C142" s="662" t="s">
        <v>2164</v>
      </c>
      <c r="D142" s="662" t="s">
        <v>2204</v>
      </c>
      <c r="E142" s="662" t="s">
        <v>2205</v>
      </c>
      <c r="F142" s="665"/>
      <c r="G142" s="665"/>
      <c r="H142" s="665"/>
      <c r="I142" s="665"/>
      <c r="J142" s="665"/>
      <c r="K142" s="665"/>
      <c r="L142" s="665"/>
      <c r="M142" s="665"/>
      <c r="N142" s="665">
        <v>1</v>
      </c>
      <c r="O142" s="665">
        <v>3501.87</v>
      </c>
      <c r="P142" s="686"/>
      <c r="Q142" s="666">
        <v>3501.87</v>
      </c>
    </row>
    <row r="143" spans="1:17" ht="14.4" customHeight="1" x14ac:dyDescent="0.3">
      <c r="A143" s="661" t="s">
        <v>512</v>
      </c>
      <c r="B143" s="662" t="s">
        <v>2051</v>
      </c>
      <c r="C143" s="662" t="s">
        <v>2164</v>
      </c>
      <c r="D143" s="662" t="s">
        <v>2206</v>
      </c>
      <c r="E143" s="662" t="s">
        <v>2207</v>
      </c>
      <c r="F143" s="665">
        <v>2</v>
      </c>
      <c r="G143" s="665">
        <v>2793</v>
      </c>
      <c r="H143" s="665">
        <v>2</v>
      </c>
      <c r="I143" s="665">
        <v>1396.5</v>
      </c>
      <c r="J143" s="665">
        <v>1</v>
      </c>
      <c r="K143" s="665">
        <v>1396.5</v>
      </c>
      <c r="L143" s="665">
        <v>1</v>
      </c>
      <c r="M143" s="665">
        <v>1396.5</v>
      </c>
      <c r="N143" s="665"/>
      <c r="O143" s="665"/>
      <c r="P143" s="686"/>
      <c r="Q143" s="666"/>
    </row>
    <row r="144" spans="1:17" ht="14.4" customHeight="1" x14ac:dyDescent="0.3">
      <c r="A144" s="661" t="s">
        <v>512</v>
      </c>
      <c r="B144" s="662" t="s">
        <v>2051</v>
      </c>
      <c r="C144" s="662" t="s">
        <v>2164</v>
      </c>
      <c r="D144" s="662" t="s">
        <v>2208</v>
      </c>
      <c r="E144" s="662" t="s">
        <v>2209</v>
      </c>
      <c r="F144" s="665">
        <v>2</v>
      </c>
      <c r="G144" s="665">
        <v>1113</v>
      </c>
      <c r="H144" s="665">
        <v>0.5</v>
      </c>
      <c r="I144" s="665">
        <v>556.5</v>
      </c>
      <c r="J144" s="665">
        <v>4</v>
      </c>
      <c r="K144" s="665">
        <v>2226</v>
      </c>
      <c r="L144" s="665">
        <v>1</v>
      </c>
      <c r="M144" s="665">
        <v>556.5</v>
      </c>
      <c r="N144" s="665">
        <v>4</v>
      </c>
      <c r="O144" s="665">
        <v>2226</v>
      </c>
      <c r="P144" s="686">
        <v>1</v>
      </c>
      <c r="Q144" s="666">
        <v>556.5</v>
      </c>
    </row>
    <row r="145" spans="1:17" ht="14.4" customHeight="1" x14ac:dyDescent="0.3">
      <c r="A145" s="661" t="s">
        <v>512</v>
      </c>
      <c r="B145" s="662" t="s">
        <v>2051</v>
      </c>
      <c r="C145" s="662" t="s">
        <v>2164</v>
      </c>
      <c r="D145" s="662" t="s">
        <v>2210</v>
      </c>
      <c r="E145" s="662" t="s">
        <v>2211</v>
      </c>
      <c r="F145" s="665"/>
      <c r="G145" s="665"/>
      <c r="H145" s="665"/>
      <c r="I145" s="665"/>
      <c r="J145" s="665">
        <v>1</v>
      </c>
      <c r="K145" s="665">
        <v>4735.3500000000004</v>
      </c>
      <c r="L145" s="665">
        <v>1</v>
      </c>
      <c r="M145" s="665">
        <v>4735.3500000000004</v>
      </c>
      <c r="N145" s="665"/>
      <c r="O145" s="665"/>
      <c r="P145" s="686"/>
      <c r="Q145" s="666"/>
    </row>
    <row r="146" spans="1:17" ht="14.4" customHeight="1" x14ac:dyDescent="0.3">
      <c r="A146" s="661" t="s">
        <v>512</v>
      </c>
      <c r="B146" s="662" t="s">
        <v>2051</v>
      </c>
      <c r="C146" s="662" t="s">
        <v>2164</v>
      </c>
      <c r="D146" s="662" t="s">
        <v>2212</v>
      </c>
      <c r="E146" s="662" t="s">
        <v>2213</v>
      </c>
      <c r="F146" s="665"/>
      <c r="G146" s="665"/>
      <c r="H146" s="665"/>
      <c r="I146" s="665"/>
      <c r="J146" s="665">
        <v>1</v>
      </c>
      <c r="K146" s="665">
        <v>7993.16</v>
      </c>
      <c r="L146" s="665">
        <v>1</v>
      </c>
      <c r="M146" s="665">
        <v>7993.16</v>
      </c>
      <c r="N146" s="665"/>
      <c r="O146" s="665"/>
      <c r="P146" s="686"/>
      <c r="Q146" s="666"/>
    </row>
    <row r="147" spans="1:17" ht="14.4" customHeight="1" x14ac:dyDescent="0.3">
      <c r="A147" s="661" t="s">
        <v>512</v>
      </c>
      <c r="B147" s="662" t="s">
        <v>2051</v>
      </c>
      <c r="C147" s="662" t="s">
        <v>2164</v>
      </c>
      <c r="D147" s="662" t="s">
        <v>2214</v>
      </c>
      <c r="E147" s="662" t="s">
        <v>2215</v>
      </c>
      <c r="F147" s="665"/>
      <c r="G147" s="665"/>
      <c r="H147" s="665"/>
      <c r="I147" s="665"/>
      <c r="J147" s="665">
        <v>1</v>
      </c>
      <c r="K147" s="665">
        <v>2866.27</v>
      </c>
      <c r="L147" s="665">
        <v>1</v>
      </c>
      <c r="M147" s="665">
        <v>2866.27</v>
      </c>
      <c r="N147" s="665"/>
      <c r="O147" s="665"/>
      <c r="P147" s="686"/>
      <c r="Q147" s="666"/>
    </row>
    <row r="148" spans="1:17" ht="14.4" customHeight="1" x14ac:dyDescent="0.3">
      <c r="A148" s="661" t="s">
        <v>512</v>
      </c>
      <c r="B148" s="662" t="s">
        <v>2051</v>
      </c>
      <c r="C148" s="662" t="s">
        <v>2164</v>
      </c>
      <c r="D148" s="662" t="s">
        <v>2216</v>
      </c>
      <c r="E148" s="662" t="s">
        <v>2217</v>
      </c>
      <c r="F148" s="665"/>
      <c r="G148" s="665"/>
      <c r="H148" s="665"/>
      <c r="I148" s="665"/>
      <c r="J148" s="665">
        <v>0.1</v>
      </c>
      <c r="K148" s="665">
        <v>177.31</v>
      </c>
      <c r="L148" s="665">
        <v>1</v>
      </c>
      <c r="M148" s="665">
        <v>1773.1</v>
      </c>
      <c r="N148" s="665"/>
      <c r="O148" s="665"/>
      <c r="P148" s="686"/>
      <c r="Q148" s="666"/>
    </row>
    <row r="149" spans="1:17" ht="14.4" customHeight="1" x14ac:dyDescent="0.3">
      <c r="A149" s="661" t="s">
        <v>512</v>
      </c>
      <c r="B149" s="662" t="s">
        <v>2051</v>
      </c>
      <c r="C149" s="662" t="s">
        <v>2164</v>
      </c>
      <c r="D149" s="662" t="s">
        <v>2218</v>
      </c>
      <c r="E149" s="662" t="s">
        <v>2219</v>
      </c>
      <c r="F149" s="665"/>
      <c r="G149" s="665"/>
      <c r="H149" s="665"/>
      <c r="I149" s="665"/>
      <c r="J149" s="665">
        <v>0.3</v>
      </c>
      <c r="K149" s="665">
        <v>75.599999999999994</v>
      </c>
      <c r="L149" s="665">
        <v>1</v>
      </c>
      <c r="M149" s="665">
        <v>252</v>
      </c>
      <c r="N149" s="665"/>
      <c r="O149" s="665"/>
      <c r="P149" s="686"/>
      <c r="Q149" s="666"/>
    </row>
    <row r="150" spans="1:17" ht="14.4" customHeight="1" x14ac:dyDescent="0.3">
      <c r="A150" s="661" t="s">
        <v>512</v>
      </c>
      <c r="B150" s="662" t="s">
        <v>2051</v>
      </c>
      <c r="C150" s="662" t="s">
        <v>2164</v>
      </c>
      <c r="D150" s="662" t="s">
        <v>2220</v>
      </c>
      <c r="E150" s="662" t="s">
        <v>2219</v>
      </c>
      <c r="F150" s="665"/>
      <c r="G150" s="665"/>
      <c r="H150" s="665"/>
      <c r="I150" s="665"/>
      <c r="J150" s="665">
        <v>2</v>
      </c>
      <c r="K150" s="665">
        <v>3697.74</v>
      </c>
      <c r="L150" s="665">
        <v>1</v>
      </c>
      <c r="M150" s="665">
        <v>1848.87</v>
      </c>
      <c r="N150" s="665"/>
      <c r="O150" s="665"/>
      <c r="P150" s="686"/>
      <c r="Q150" s="666"/>
    </row>
    <row r="151" spans="1:17" ht="14.4" customHeight="1" x14ac:dyDescent="0.3">
      <c r="A151" s="661" t="s">
        <v>512</v>
      </c>
      <c r="B151" s="662" t="s">
        <v>2051</v>
      </c>
      <c r="C151" s="662" t="s">
        <v>2164</v>
      </c>
      <c r="D151" s="662" t="s">
        <v>2221</v>
      </c>
      <c r="E151" s="662" t="s">
        <v>2222</v>
      </c>
      <c r="F151" s="665"/>
      <c r="G151" s="665"/>
      <c r="H151" s="665"/>
      <c r="I151" s="665"/>
      <c r="J151" s="665"/>
      <c r="K151" s="665"/>
      <c r="L151" s="665"/>
      <c r="M151" s="665"/>
      <c r="N151" s="665">
        <v>1</v>
      </c>
      <c r="O151" s="665">
        <v>1512.68</v>
      </c>
      <c r="P151" s="686"/>
      <c r="Q151" s="666">
        <v>1512.68</v>
      </c>
    </row>
    <row r="152" spans="1:17" ht="14.4" customHeight="1" x14ac:dyDescent="0.3">
      <c r="A152" s="661" t="s">
        <v>512</v>
      </c>
      <c r="B152" s="662" t="s">
        <v>2051</v>
      </c>
      <c r="C152" s="662" t="s">
        <v>2164</v>
      </c>
      <c r="D152" s="662" t="s">
        <v>2223</v>
      </c>
      <c r="E152" s="662" t="s">
        <v>2224</v>
      </c>
      <c r="F152" s="665"/>
      <c r="G152" s="665"/>
      <c r="H152" s="665"/>
      <c r="I152" s="665"/>
      <c r="J152" s="665"/>
      <c r="K152" s="665"/>
      <c r="L152" s="665"/>
      <c r="M152" s="665"/>
      <c r="N152" s="665">
        <v>1</v>
      </c>
      <c r="O152" s="665">
        <v>8491.4599999999991</v>
      </c>
      <c r="P152" s="686"/>
      <c r="Q152" s="666">
        <v>8491.4599999999991</v>
      </c>
    </row>
    <row r="153" spans="1:17" ht="14.4" customHeight="1" x14ac:dyDescent="0.3">
      <c r="A153" s="661" t="s">
        <v>512</v>
      </c>
      <c r="B153" s="662" t="s">
        <v>2051</v>
      </c>
      <c r="C153" s="662" t="s">
        <v>2164</v>
      </c>
      <c r="D153" s="662" t="s">
        <v>2225</v>
      </c>
      <c r="E153" s="662" t="s">
        <v>2226</v>
      </c>
      <c r="F153" s="665"/>
      <c r="G153" s="665"/>
      <c r="H153" s="665"/>
      <c r="I153" s="665"/>
      <c r="J153" s="665"/>
      <c r="K153" s="665"/>
      <c r="L153" s="665"/>
      <c r="M153" s="665"/>
      <c r="N153" s="665">
        <v>2</v>
      </c>
      <c r="O153" s="665">
        <v>5998.48</v>
      </c>
      <c r="P153" s="686"/>
      <c r="Q153" s="666">
        <v>2999.24</v>
      </c>
    </row>
    <row r="154" spans="1:17" ht="14.4" customHeight="1" x14ac:dyDescent="0.3">
      <c r="A154" s="661" t="s">
        <v>512</v>
      </c>
      <c r="B154" s="662" t="s">
        <v>2051</v>
      </c>
      <c r="C154" s="662" t="s">
        <v>2164</v>
      </c>
      <c r="D154" s="662" t="s">
        <v>2227</v>
      </c>
      <c r="E154" s="662" t="s">
        <v>2228</v>
      </c>
      <c r="F154" s="665">
        <v>6</v>
      </c>
      <c r="G154" s="665">
        <v>579.6</v>
      </c>
      <c r="H154" s="665">
        <v>1.2</v>
      </c>
      <c r="I154" s="665">
        <v>96.600000000000009</v>
      </c>
      <c r="J154" s="665">
        <v>5</v>
      </c>
      <c r="K154" s="665">
        <v>483</v>
      </c>
      <c r="L154" s="665">
        <v>1</v>
      </c>
      <c r="M154" s="665">
        <v>96.6</v>
      </c>
      <c r="N154" s="665">
        <v>14</v>
      </c>
      <c r="O154" s="665">
        <v>1352.4</v>
      </c>
      <c r="P154" s="686">
        <v>2.8000000000000003</v>
      </c>
      <c r="Q154" s="666">
        <v>96.600000000000009</v>
      </c>
    </row>
    <row r="155" spans="1:17" ht="14.4" customHeight="1" x14ac:dyDescent="0.3">
      <c r="A155" s="661" t="s">
        <v>512</v>
      </c>
      <c r="B155" s="662" t="s">
        <v>2051</v>
      </c>
      <c r="C155" s="662" t="s">
        <v>2164</v>
      </c>
      <c r="D155" s="662" t="s">
        <v>2229</v>
      </c>
      <c r="E155" s="662" t="s">
        <v>2230</v>
      </c>
      <c r="F155" s="665"/>
      <c r="G155" s="665"/>
      <c r="H155" s="665"/>
      <c r="I155" s="665"/>
      <c r="J155" s="665"/>
      <c r="K155" s="665"/>
      <c r="L155" s="665"/>
      <c r="M155" s="665"/>
      <c r="N155" s="665">
        <v>12</v>
      </c>
      <c r="O155" s="665">
        <v>1877.88</v>
      </c>
      <c r="P155" s="686"/>
      <c r="Q155" s="666">
        <v>156.49</v>
      </c>
    </row>
    <row r="156" spans="1:17" ht="14.4" customHeight="1" x14ac:dyDescent="0.3">
      <c r="A156" s="661" t="s">
        <v>512</v>
      </c>
      <c r="B156" s="662" t="s">
        <v>2051</v>
      </c>
      <c r="C156" s="662" t="s">
        <v>2164</v>
      </c>
      <c r="D156" s="662" t="s">
        <v>2231</v>
      </c>
      <c r="E156" s="662" t="s">
        <v>2230</v>
      </c>
      <c r="F156" s="665"/>
      <c r="G156" s="665"/>
      <c r="H156" s="665"/>
      <c r="I156" s="665"/>
      <c r="J156" s="665"/>
      <c r="K156" s="665"/>
      <c r="L156" s="665"/>
      <c r="M156" s="665"/>
      <c r="N156" s="665">
        <v>14</v>
      </c>
      <c r="O156" s="665">
        <v>2408.56</v>
      </c>
      <c r="P156" s="686"/>
      <c r="Q156" s="666">
        <v>172.04</v>
      </c>
    </row>
    <row r="157" spans="1:17" ht="14.4" customHeight="1" x14ac:dyDescent="0.3">
      <c r="A157" s="661" t="s">
        <v>512</v>
      </c>
      <c r="B157" s="662" t="s">
        <v>2051</v>
      </c>
      <c r="C157" s="662" t="s">
        <v>2164</v>
      </c>
      <c r="D157" s="662" t="s">
        <v>2232</v>
      </c>
      <c r="E157" s="662" t="s">
        <v>2230</v>
      </c>
      <c r="F157" s="665"/>
      <c r="G157" s="665"/>
      <c r="H157" s="665"/>
      <c r="I157" s="665"/>
      <c r="J157" s="665"/>
      <c r="K157" s="665"/>
      <c r="L157" s="665"/>
      <c r="M157" s="665"/>
      <c r="N157" s="665">
        <v>34</v>
      </c>
      <c r="O157" s="665">
        <v>12755.44</v>
      </c>
      <c r="P157" s="686"/>
      <c r="Q157" s="666">
        <v>375.16</v>
      </c>
    </row>
    <row r="158" spans="1:17" ht="14.4" customHeight="1" x14ac:dyDescent="0.3">
      <c r="A158" s="661" t="s">
        <v>512</v>
      </c>
      <c r="B158" s="662" t="s">
        <v>2051</v>
      </c>
      <c r="C158" s="662" t="s">
        <v>2164</v>
      </c>
      <c r="D158" s="662" t="s">
        <v>2233</v>
      </c>
      <c r="E158" s="662" t="s">
        <v>2230</v>
      </c>
      <c r="F158" s="665"/>
      <c r="G158" s="665"/>
      <c r="H158" s="665"/>
      <c r="I158" s="665"/>
      <c r="J158" s="665"/>
      <c r="K158" s="665"/>
      <c r="L158" s="665"/>
      <c r="M158" s="665"/>
      <c r="N158" s="665">
        <v>14</v>
      </c>
      <c r="O158" s="665">
        <v>7515.76</v>
      </c>
      <c r="P158" s="686"/>
      <c r="Q158" s="666">
        <v>536.84</v>
      </c>
    </row>
    <row r="159" spans="1:17" ht="14.4" customHeight="1" x14ac:dyDescent="0.3">
      <c r="A159" s="661" t="s">
        <v>512</v>
      </c>
      <c r="B159" s="662" t="s">
        <v>2051</v>
      </c>
      <c r="C159" s="662" t="s">
        <v>2164</v>
      </c>
      <c r="D159" s="662" t="s">
        <v>2234</v>
      </c>
      <c r="E159" s="662" t="s">
        <v>2230</v>
      </c>
      <c r="F159" s="665"/>
      <c r="G159" s="665"/>
      <c r="H159" s="665"/>
      <c r="I159" s="665"/>
      <c r="J159" s="665"/>
      <c r="K159" s="665"/>
      <c r="L159" s="665"/>
      <c r="M159" s="665"/>
      <c r="N159" s="665">
        <v>14</v>
      </c>
      <c r="O159" s="665">
        <v>7269.08</v>
      </c>
      <c r="P159" s="686"/>
      <c r="Q159" s="666">
        <v>519.22</v>
      </c>
    </row>
    <row r="160" spans="1:17" ht="14.4" customHeight="1" x14ac:dyDescent="0.3">
      <c r="A160" s="661" t="s">
        <v>512</v>
      </c>
      <c r="B160" s="662" t="s">
        <v>2051</v>
      </c>
      <c r="C160" s="662" t="s">
        <v>2164</v>
      </c>
      <c r="D160" s="662" t="s">
        <v>2235</v>
      </c>
      <c r="E160" s="662" t="s">
        <v>2236</v>
      </c>
      <c r="F160" s="665"/>
      <c r="G160" s="665"/>
      <c r="H160" s="665"/>
      <c r="I160" s="665"/>
      <c r="J160" s="665"/>
      <c r="K160" s="665"/>
      <c r="L160" s="665"/>
      <c r="M160" s="665"/>
      <c r="N160" s="665">
        <v>1</v>
      </c>
      <c r="O160" s="665">
        <v>563</v>
      </c>
      <c r="P160" s="686"/>
      <c r="Q160" s="666">
        <v>563</v>
      </c>
    </row>
    <row r="161" spans="1:17" ht="14.4" customHeight="1" x14ac:dyDescent="0.3">
      <c r="A161" s="661" t="s">
        <v>512</v>
      </c>
      <c r="B161" s="662" t="s">
        <v>2051</v>
      </c>
      <c r="C161" s="662" t="s">
        <v>2164</v>
      </c>
      <c r="D161" s="662" t="s">
        <v>2237</v>
      </c>
      <c r="E161" s="662" t="s">
        <v>2238</v>
      </c>
      <c r="F161" s="665">
        <v>1</v>
      </c>
      <c r="G161" s="665">
        <v>15234.55</v>
      </c>
      <c r="H161" s="665"/>
      <c r="I161" s="665">
        <v>15234.55</v>
      </c>
      <c r="J161" s="665"/>
      <c r="K161" s="665"/>
      <c r="L161" s="665"/>
      <c r="M161" s="665"/>
      <c r="N161" s="665"/>
      <c r="O161" s="665"/>
      <c r="P161" s="686"/>
      <c r="Q161" s="666"/>
    </row>
    <row r="162" spans="1:17" ht="14.4" customHeight="1" x14ac:dyDescent="0.3">
      <c r="A162" s="661" t="s">
        <v>512</v>
      </c>
      <c r="B162" s="662" t="s">
        <v>2051</v>
      </c>
      <c r="C162" s="662" t="s">
        <v>2164</v>
      </c>
      <c r="D162" s="662" t="s">
        <v>2239</v>
      </c>
      <c r="E162" s="662" t="s">
        <v>2240</v>
      </c>
      <c r="F162" s="665"/>
      <c r="G162" s="665"/>
      <c r="H162" s="665"/>
      <c r="I162" s="665"/>
      <c r="J162" s="665"/>
      <c r="K162" s="665"/>
      <c r="L162" s="665"/>
      <c r="M162" s="665"/>
      <c r="N162" s="665">
        <v>7</v>
      </c>
      <c r="O162" s="665">
        <v>10011.26</v>
      </c>
      <c r="P162" s="686"/>
      <c r="Q162" s="666">
        <v>1430.18</v>
      </c>
    </row>
    <row r="163" spans="1:17" ht="14.4" customHeight="1" x14ac:dyDescent="0.3">
      <c r="A163" s="661" t="s">
        <v>512</v>
      </c>
      <c r="B163" s="662" t="s">
        <v>2051</v>
      </c>
      <c r="C163" s="662" t="s">
        <v>2164</v>
      </c>
      <c r="D163" s="662" t="s">
        <v>2241</v>
      </c>
      <c r="E163" s="662" t="s">
        <v>2242</v>
      </c>
      <c r="F163" s="665"/>
      <c r="G163" s="665"/>
      <c r="H163" s="665"/>
      <c r="I163" s="665"/>
      <c r="J163" s="665">
        <v>1</v>
      </c>
      <c r="K163" s="665">
        <v>12468.8</v>
      </c>
      <c r="L163" s="665">
        <v>1</v>
      </c>
      <c r="M163" s="665">
        <v>12468.8</v>
      </c>
      <c r="N163" s="665"/>
      <c r="O163" s="665"/>
      <c r="P163" s="686"/>
      <c r="Q163" s="666"/>
    </row>
    <row r="164" spans="1:17" ht="14.4" customHeight="1" x14ac:dyDescent="0.3">
      <c r="A164" s="661" t="s">
        <v>512</v>
      </c>
      <c r="B164" s="662" t="s">
        <v>2051</v>
      </c>
      <c r="C164" s="662" t="s">
        <v>2164</v>
      </c>
      <c r="D164" s="662" t="s">
        <v>2243</v>
      </c>
      <c r="E164" s="662" t="s">
        <v>2244</v>
      </c>
      <c r="F164" s="665"/>
      <c r="G164" s="665"/>
      <c r="H164" s="665"/>
      <c r="I164" s="665"/>
      <c r="J164" s="665"/>
      <c r="K164" s="665"/>
      <c r="L164" s="665"/>
      <c r="M164" s="665"/>
      <c r="N164" s="665">
        <v>1</v>
      </c>
      <c r="O164" s="665">
        <v>1359.71</v>
      </c>
      <c r="P164" s="686"/>
      <c r="Q164" s="666">
        <v>1359.71</v>
      </c>
    </row>
    <row r="165" spans="1:17" ht="14.4" customHeight="1" x14ac:dyDescent="0.3">
      <c r="A165" s="661" t="s">
        <v>512</v>
      </c>
      <c r="B165" s="662" t="s">
        <v>2051</v>
      </c>
      <c r="C165" s="662" t="s">
        <v>2164</v>
      </c>
      <c r="D165" s="662" t="s">
        <v>2245</v>
      </c>
      <c r="E165" s="662" t="s">
        <v>2246</v>
      </c>
      <c r="F165" s="665"/>
      <c r="G165" s="665"/>
      <c r="H165" s="665"/>
      <c r="I165" s="665"/>
      <c r="J165" s="665"/>
      <c r="K165" s="665"/>
      <c r="L165" s="665"/>
      <c r="M165" s="665"/>
      <c r="N165" s="665">
        <v>2</v>
      </c>
      <c r="O165" s="665">
        <v>2151.5</v>
      </c>
      <c r="P165" s="686"/>
      <c r="Q165" s="666">
        <v>1075.75</v>
      </c>
    </row>
    <row r="166" spans="1:17" ht="14.4" customHeight="1" x14ac:dyDescent="0.3">
      <c r="A166" s="661" t="s">
        <v>512</v>
      </c>
      <c r="B166" s="662" t="s">
        <v>2051</v>
      </c>
      <c r="C166" s="662" t="s">
        <v>2164</v>
      </c>
      <c r="D166" s="662" t="s">
        <v>2247</v>
      </c>
      <c r="E166" s="662" t="s">
        <v>2248</v>
      </c>
      <c r="F166" s="665"/>
      <c r="G166" s="665"/>
      <c r="H166" s="665"/>
      <c r="I166" s="665"/>
      <c r="J166" s="665">
        <v>1</v>
      </c>
      <c r="K166" s="665">
        <v>764.4</v>
      </c>
      <c r="L166" s="665">
        <v>1</v>
      </c>
      <c r="M166" s="665">
        <v>764.4</v>
      </c>
      <c r="N166" s="665">
        <v>1</v>
      </c>
      <c r="O166" s="665">
        <v>764.4</v>
      </c>
      <c r="P166" s="686">
        <v>1</v>
      </c>
      <c r="Q166" s="666">
        <v>764.4</v>
      </c>
    </row>
    <row r="167" spans="1:17" ht="14.4" customHeight="1" x14ac:dyDescent="0.3">
      <c r="A167" s="661" t="s">
        <v>512</v>
      </c>
      <c r="B167" s="662" t="s">
        <v>2051</v>
      </c>
      <c r="C167" s="662" t="s">
        <v>2164</v>
      </c>
      <c r="D167" s="662" t="s">
        <v>2249</v>
      </c>
      <c r="E167" s="662" t="s">
        <v>2250</v>
      </c>
      <c r="F167" s="665"/>
      <c r="G167" s="665"/>
      <c r="H167" s="665"/>
      <c r="I167" s="665"/>
      <c r="J167" s="665"/>
      <c r="K167" s="665"/>
      <c r="L167" s="665"/>
      <c r="M167" s="665"/>
      <c r="N167" s="665">
        <v>8</v>
      </c>
      <c r="O167" s="665">
        <v>12933.84</v>
      </c>
      <c r="P167" s="686"/>
      <c r="Q167" s="666">
        <v>1616.73</v>
      </c>
    </row>
    <row r="168" spans="1:17" ht="14.4" customHeight="1" x14ac:dyDescent="0.3">
      <c r="A168" s="661" t="s">
        <v>512</v>
      </c>
      <c r="B168" s="662" t="s">
        <v>2051</v>
      </c>
      <c r="C168" s="662" t="s">
        <v>2164</v>
      </c>
      <c r="D168" s="662" t="s">
        <v>2251</v>
      </c>
      <c r="E168" s="662" t="s">
        <v>2252</v>
      </c>
      <c r="F168" s="665"/>
      <c r="G168" s="665"/>
      <c r="H168" s="665"/>
      <c r="I168" s="665"/>
      <c r="J168" s="665"/>
      <c r="K168" s="665"/>
      <c r="L168" s="665"/>
      <c r="M168" s="665"/>
      <c r="N168" s="665">
        <v>1</v>
      </c>
      <c r="O168" s="665">
        <v>248.73</v>
      </c>
      <c r="P168" s="686"/>
      <c r="Q168" s="666">
        <v>248.73</v>
      </c>
    </row>
    <row r="169" spans="1:17" ht="14.4" customHeight="1" x14ac:dyDescent="0.3">
      <c r="A169" s="661" t="s">
        <v>512</v>
      </c>
      <c r="B169" s="662" t="s">
        <v>2051</v>
      </c>
      <c r="C169" s="662" t="s">
        <v>2164</v>
      </c>
      <c r="D169" s="662" t="s">
        <v>2253</v>
      </c>
      <c r="E169" s="662" t="s">
        <v>2254</v>
      </c>
      <c r="F169" s="665"/>
      <c r="G169" s="665"/>
      <c r="H169" s="665"/>
      <c r="I169" s="665"/>
      <c r="J169" s="665">
        <v>0.2</v>
      </c>
      <c r="K169" s="665">
        <v>13.4</v>
      </c>
      <c r="L169" s="665">
        <v>1</v>
      </c>
      <c r="M169" s="665">
        <v>67</v>
      </c>
      <c r="N169" s="665"/>
      <c r="O169" s="665"/>
      <c r="P169" s="686"/>
      <c r="Q169" s="666"/>
    </row>
    <row r="170" spans="1:17" ht="14.4" customHeight="1" x14ac:dyDescent="0.3">
      <c r="A170" s="661" t="s">
        <v>512</v>
      </c>
      <c r="B170" s="662" t="s">
        <v>2051</v>
      </c>
      <c r="C170" s="662" t="s">
        <v>1955</v>
      </c>
      <c r="D170" s="662" t="s">
        <v>2255</v>
      </c>
      <c r="E170" s="662" t="s">
        <v>2256</v>
      </c>
      <c r="F170" s="665">
        <v>289</v>
      </c>
      <c r="G170" s="665">
        <v>3438233</v>
      </c>
      <c r="H170" s="665">
        <v>0.67209302325581399</v>
      </c>
      <c r="I170" s="665">
        <v>11897</v>
      </c>
      <c r="J170" s="665">
        <v>430</v>
      </c>
      <c r="K170" s="665">
        <v>5115710</v>
      </c>
      <c r="L170" s="665">
        <v>1</v>
      </c>
      <c r="M170" s="665">
        <v>11897</v>
      </c>
      <c r="N170" s="665">
        <v>535</v>
      </c>
      <c r="O170" s="665">
        <v>6364895</v>
      </c>
      <c r="P170" s="686">
        <v>1.2441860465116279</v>
      </c>
      <c r="Q170" s="666">
        <v>11897</v>
      </c>
    </row>
    <row r="171" spans="1:17" ht="14.4" customHeight="1" x14ac:dyDescent="0.3">
      <c r="A171" s="661" t="s">
        <v>512</v>
      </c>
      <c r="B171" s="662" t="s">
        <v>2051</v>
      </c>
      <c r="C171" s="662" t="s">
        <v>1955</v>
      </c>
      <c r="D171" s="662" t="s">
        <v>2257</v>
      </c>
      <c r="E171" s="662" t="s">
        <v>2258</v>
      </c>
      <c r="F171" s="665">
        <v>131</v>
      </c>
      <c r="G171" s="665">
        <v>50304</v>
      </c>
      <c r="H171" s="665">
        <v>0.50582202111613872</v>
      </c>
      <c r="I171" s="665">
        <v>384</v>
      </c>
      <c r="J171" s="665">
        <v>255</v>
      </c>
      <c r="K171" s="665">
        <v>99450</v>
      </c>
      <c r="L171" s="665">
        <v>1</v>
      </c>
      <c r="M171" s="665">
        <v>390</v>
      </c>
      <c r="N171" s="665">
        <v>364</v>
      </c>
      <c r="O171" s="665">
        <v>141960</v>
      </c>
      <c r="P171" s="686">
        <v>1.4274509803921569</v>
      </c>
      <c r="Q171" s="666">
        <v>390</v>
      </c>
    </row>
    <row r="172" spans="1:17" ht="14.4" customHeight="1" x14ac:dyDescent="0.3">
      <c r="A172" s="661" t="s">
        <v>512</v>
      </c>
      <c r="B172" s="662" t="s">
        <v>2051</v>
      </c>
      <c r="C172" s="662" t="s">
        <v>1955</v>
      </c>
      <c r="D172" s="662" t="s">
        <v>2259</v>
      </c>
      <c r="E172" s="662" t="s">
        <v>2260</v>
      </c>
      <c r="F172" s="665">
        <v>162</v>
      </c>
      <c r="G172" s="665">
        <v>38070</v>
      </c>
      <c r="H172" s="665">
        <v>0.83336981743356242</v>
      </c>
      <c r="I172" s="665">
        <v>235</v>
      </c>
      <c r="J172" s="665">
        <v>182</v>
      </c>
      <c r="K172" s="665">
        <v>45682</v>
      </c>
      <c r="L172" s="665">
        <v>1</v>
      </c>
      <c r="M172" s="665">
        <v>251</v>
      </c>
      <c r="N172" s="665">
        <v>160</v>
      </c>
      <c r="O172" s="665">
        <v>40160</v>
      </c>
      <c r="P172" s="686">
        <v>0.87912087912087911</v>
      </c>
      <c r="Q172" s="666">
        <v>251</v>
      </c>
    </row>
    <row r="173" spans="1:17" ht="14.4" customHeight="1" x14ac:dyDescent="0.3">
      <c r="A173" s="661" t="s">
        <v>512</v>
      </c>
      <c r="B173" s="662" t="s">
        <v>2051</v>
      </c>
      <c r="C173" s="662" t="s">
        <v>1955</v>
      </c>
      <c r="D173" s="662" t="s">
        <v>2261</v>
      </c>
      <c r="E173" s="662" t="s">
        <v>2262</v>
      </c>
      <c r="F173" s="665">
        <v>0</v>
      </c>
      <c r="G173" s="665">
        <v>0</v>
      </c>
      <c r="H173" s="665"/>
      <c r="I173" s="665"/>
      <c r="J173" s="665">
        <v>0</v>
      </c>
      <c r="K173" s="665">
        <v>0</v>
      </c>
      <c r="L173" s="665"/>
      <c r="M173" s="665"/>
      <c r="N173" s="665">
        <v>0</v>
      </c>
      <c r="O173" s="665">
        <v>0</v>
      </c>
      <c r="P173" s="686"/>
      <c r="Q173" s="666"/>
    </row>
    <row r="174" spans="1:17" ht="14.4" customHeight="1" x14ac:dyDescent="0.3">
      <c r="A174" s="661" t="s">
        <v>512</v>
      </c>
      <c r="B174" s="662" t="s">
        <v>2051</v>
      </c>
      <c r="C174" s="662" t="s">
        <v>1955</v>
      </c>
      <c r="D174" s="662" t="s">
        <v>2263</v>
      </c>
      <c r="E174" s="662" t="s">
        <v>2264</v>
      </c>
      <c r="F174" s="665">
        <v>113</v>
      </c>
      <c r="G174" s="665">
        <v>0</v>
      </c>
      <c r="H174" s="665"/>
      <c r="I174" s="665">
        <v>0</v>
      </c>
      <c r="J174" s="665">
        <v>181</v>
      </c>
      <c r="K174" s="665">
        <v>0</v>
      </c>
      <c r="L174" s="665"/>
      <c r="M174" s="665">
        <v>0</v>
      </c>
      <c r="N174" s="665">
        <v>259</v>
      </c>
      <c r="O174" s="665">
        <v>0</v>
      </c>
      <c r="P174" s="686"/>
      <c r="Q174" s="666">
        <v>0</v>
      </c>
    </row>
    <row r="175" spans="1:17" ht="14.4" customHeight="1" x14ac:dyDescent="0.3">
      <c r="A175" s="661" t="s">
        <v>512</v>
      </c>
      <c r="B175" s="662" t="s">
        <v>2051</v>
      </c>
      <c r="C175" s="662" t="s">
        <v>1955</v>
      </c>
      <c r="D175" s="662" t="s">
        <v>2265</v>
      </c>
      <c r="E175" s="662" t="s">
        <v>2266</v>
      </c>
      <c r="F175" s="665">
        <v>35</v>
      </c>
      <c r="G175" s="665">
        <v>0</v>
      </c>
      <c r="H175" s="665"/>
      <c r="I175" s="665">
        <v>0</v>
      </c>
      <c r="J175" s="665">
        <v>41</v>
      </c>
      <c r="K175" s="665">
        <v>0</v>
      </c>
      <c r="L175" s="665"/>
      <c r="M175" s="665">
        <v>0</v>
      </c>
      <c r="N175" s="665">
        <v>34</v>
      </c>
      <c r="O175" s="665">
        <v>0</v>
      </c>
      <c r="P175" s="686"/>
      <c r="Q175" s="666">
        <v>0</v>
      </c>
    </row>
    <row r="176" spans="1:17" ht="14.4" customHeight="1" x14ac:dyDescent="0.3">
      <c r="A176" s="661" t="s">
        <v>512</v>
      </c>
      <c r="B176" s="662" t="s">
        <v>2051</v>
      </c>
      <c r="C176" s="662" t="s">
        <v>1955</v>
      </c>
      <c r="D176" s="662" t="s">
        <v>2267</v>
      </c>
      <c r="E176" s="662" t="s">
        <v>2268</v>
      </c>
      <c r="F176" s="665">
        <v>10</v>
      </c>
      <c r="G176" s="665">
        <v>0</v>
      </c>
      <c r="H176" s="665"/>
      <c r="I176" s="665">
        <v>0</v>
      </c>
      <c r="J176" s="665">
        <v>14</v>
      </c>
      <c r="K176" s="665">
        <v>0</v>
      </c>
      <c r="L176" s="665"/>
      <c r="M176" s="665">
        <v>0</v>
      </c>
      <c r="N176" s="665">
        <v>13</v>
      </c>
      <c r="O176" s="665">
        <v>0</v>
      </c>
      <c r="P176" s="686"/>
      <c r="Q176" s="666">
        <v>0</v>
      </c>
    </row>
    <row r="177" spans="1:17" ht="14.4" customHeight="1" x14ac:dyDescent="0.3">
      <c r="A177" s="661" t="s">
        <v>512</v>
      </c>
      <c r="B177" s="662" t="s">
        <v>2051</v>
      </c>
      <c r="C177" s="662" t="s">
        <v>1955</v>
      </c>
      <c r="D177" s="662" t="s">
        <v>2269</v>
      </c>
      <c r="E177" s="662" t="s">
        <v>2270</v>
      </c>
      <c r="F177" s="665">
        <v>1</v>
      </c>
      <c r="G177" s="665">
        <v>0</v>
      </c>
      <c r="H177" s="665"/>
      <c r="I177" s="665">
        <v>0</v>
      </c>
      <c r="J177" s="665">
        <v>1</v>
      </c>
      <c r="K177" s="665">
        <v>0</v>
      </c>
      <c r="L177" s="665"/>
      <c r="M177" s="665">
        <v>0</v>
      </c>
      <c r="N177" s="665">
        <v>1</v>
      </c>
      <c r="O177" s="665">
        <v>0</v>
      </c>
      <c r="P177" s="686"/>
      <c r="Q177" s="666">
        <v>0</v>
      </c>
    </row>
    <row r="178" spans="1:17" ht="14.4" customHeight="1" x14ac:dyDescent="0.3">
      <c r="A178" s="661" t="s">
        <v>512</v>
      </c>
      <c r="B178" s="662" t="s">
        <v>2051</v>
      </c>
      <c r="C178" s="662" t="s">
        <v>1955</v>
      </c>
      <c r="D178" s="662" t="s">
        <v>2271</v>
      </c>
      <c r="E178" s="662" t="s">
        <v>2268</v>
      </c>
      <c r="F178" s="665">
        <v>2</v>
      </c>
      <c r="G178" s="665">
        <v>0</v>
      </c>
      <c r="H178" s="665"/>
      <c r="I178" s="665">
        <v>0</v>
      </c>
      <c r="J178" s="665">
        <v>8</v>
      </c>
      <c r="K178" s="665">
        <v>0</v>
      </c>
      <c r="L178" s="665"/>
      <c r="M178" s="665">
        <v>0</v>
      </c>
      <c r="N178" s="665">
        <v>12</v>
      </c>
      <c r="O178" s="665">
        <v>0</v>
      </c>
      <c r="P178" s="686"/>
      <c r="Q178" s="666">
        <v>0</v>
      </c>
    </row>
    <row r="179" spans="1:17" ht="14.4" customHeight="1" x14ac:dyDescent="0.3">
      <c r="A179" s="661" t="s">
        <v>512</v>
      </c>
      <c r="B179" s="662" t="s">
        <v>2051</v>
      </c>
      <c r="C179" s="662" t="s">
        <v>1955</v>
      </c>
      <c r="D179" s="662" t="s">
        <v>2272</v>
      </c>
      <c r="E179" s="662" t="s">
        <v>2273</v>
      </c>
      <c r="F179" s="665">
        <v>4</v>
      </c>
      <c r="G179" s="665">
        <v>21904</v>
      </c>
      <c r="H179" s="665">
        <v>1</v>
      </c>
      <c r="I179" s="665">
        <v>5476</v>
      </c>
      <c r="J179" s="665">
        <v>4</v>
      </c>
      <c r="K179" s="665">
        <v>21904</v>
      </c>
      <c r="L179" s="665">
        <v>1</v>
      </c>
      <c r="M179" s="665">
        <v>5476</v>
      </c>
      <c r="N179" s="665">
        <v>13</v>
      </c>
      <c r="O179" s="665">
        <v>71188</v>
      </c>
      <c r="P179" s="686">
        <v>3.25</v>
      </c>
      <c r="Q179" s="666">
        <v>5476</v>
      </c>
    </row>
    <row r="180" spans="1:17" ht="14.4" customHeight="1" x14ac:dyDescent="0.3">
      <c r="A180" s="661" t="s">
        <v>512</v>
      </c>
      <c r="B180" s="662" t="s">
        <v>2051</v>
      </c>
      <c r="C180" s="662" t="s">
        <v>1955</v>
      </c>
      <c r="D180" s="662" t="s">
        <v>2274</v>
      </c>
      <c r="E180" s="662" t="s">
        <v>2275</v>
      </c>
      <c r="F180" s="665">
        <v>10</v>
      </c>
      <c r="G180" s="665">
        <v>239660</v>
      </c>
      <c r="H180" s="665">
        <v>0.58823529411764708</v>
      </c>
      <c r="I180" s="665">
        <v>23966</v>
      </c>
      <c r="J180" s="665">
        <v>17</v>
      </c>
      <c r="K180" s="665">
        <v>407422</v>
      </c>
      <c r="L180" s="665">
        <v>1</v>
      </c>
      <c r="M180" s="665">
        <v>23966</v>
      </c>
      <c r="N180" s="665">
        <v>9</v>
      </c>
      <c r="O180" s="665">
        <v>215694</v>
      </c>
      <c r="P180" s="686">
        <v>0.52941176470588236</v>
      </c>
      <c r="Q180" s="666">
        <v>23966</v>
      </c>
    </row>
    <row r="181" spans="1:17" ht="14.4" customHeight="1" x14ac:dyDescent="0.3">
      <c r="A181" s="661" t="s">
        <v>512</v>
      </c>
      <c r="B181" s="662" t="s">
        <v>2051</v>
      </c>
      <c r="C181" s="662" t="s">
        <v>1955</v>
      </c>
      <c r="D181" s="662" t="s">
        <v>2276</v>
      </c>
      <c r="E181" s="662" t="s">
        <v>2277</v>
      </c>
      <c r="F181" s="665">
        <v>51</v>
      </c>
      <c r="G181" s="665">
        <v>340476</v>
      </c>
      <c r="H181" s="665">
        <v>0.9107142857142857</v>
      </c>
      <c r="I181" s="665">
        <v>6676</v>
      </c>
      <c r="J181" s="665">
        <v>56</v>
      </c>
      <c r="K181" s="665">
        <v>373856</v>
      </c>
      <c r="L181" s="665">
        <v>1</v>
      </c>
      <c r="M181" s="665">
        <v>6676</v>
      </c>
      <c r="N181" s="665">
        <v>37</v>
      </c>
      <c r="O181" s="665">
        <v>247012</v>
      </c>
      <c r="P181" s="686">
        <v>0.6607142857142857</v>
      </c>
      <c r="Q181" s="666">
        <v>6676</v>
      </c>
    </row>
    <row r="182" spans="1:17" ht="14.4" customHeight="1" x14ac:dyDescent="0.3">
      <c r="A182" s="661" t="s">
        <v>512</v>
      </c>
      <c r="B182" s="662" t="s">
        <v>2051</v>
      </c>
      <c r="C182" s="662" t="s">
        <v>1955</v>
      </c>
      <c r="D182" s="662" t="s">
        <v>2278</v>
      </c>
      <c r="E182" s="662" t="s">
        <v>2268</v>
      </c>
      <c r="F182" s="665"/>
      <c r="G182" s="665"/>
      <c r="H182" s="665"/>
      <c r="I182" s="665"/>
      <c r="J182" s="665">
        <v>2</v>
      </c>
      <c r="K182" s="665">
        <v>0</v>
      </c>
      <c r="L182" s="665"/>
      <c r="M182" s="665">
        <v>0</v>
      </c>
      <c r="N182" s="665">
        <v>3</v>
      </c>
      <c r="O182" s="665">
        <v>0</v>
      </c>
      <c r="P182" s="686"/>
      <c r="Q182" s="666">
        <v>0</v>
      </c>
    </row>
    <row r="183" spans="1:17" ht="14.4" customHeight="1" x14ac:dyDescent="0.3">
      <c r="A183" s="661" t="s">
        <v>512</v>
      </c>
      <c r="B183" s="662" t="s">
        <v>2051</v>
      </c>
      <c r="C183" s="662" t="s">
        <v>1955</v>
      </c>
      <c r="D183" s="662" t="s">
        <v>2279</v>
      </c>
      <c r="E183" s="662" t="s">
        <v>2280</v>
      </c>
      <c r="F183" s="665">
        <v>8</v>
      </c>
      <c r="G183" s="665">
        <v>223728</v>
      </c>
      <c r="H183" s="665">
        <v>0.72727272727272729</v>
      </c>
      <c r="I183" s="665">
        <v>27966</v>
      </c>
      <c r="J183" s="665">
        <v>11</v>
      </c>
      <c r="K183" s="665">
        <v>307626</v>
      </c>
      <c r="L183" s="665">
        <v>1</v>
      </c>
      <c r="M183" s="665">
        <v>27966</v>
      </c>
      <c r="N183" s="665">
        <v>7</v>
      </c>
      <c r="O183" s="665">
        <v>195762</v>
      </c>
      <c r="P183" s="686">
        <v>0.63636363636363635</v>
      </c>
      <c r="Q183" s="666">
        <v>27966</v>
      </c>
    </row>
    <row r="184" spans="1:17" ht="14.4" customHeight="1" x14ac:dyDescent="0.3">
      <c r="A184" s="661" t="s">
        <v>512</v>
      </c>
      <c r="B184" s="662" t="s">
        <v>2051</v>
      </c>
      <c r="C184" s="662" t="s">
        <v>1955</v>
      </c>
      <c r="D184" s="662" t="s">
        <v>2281</v>
      </c>
      <c r="E184" s="662" t="s">
        <v>2282</v>
      </c>
      <c r="F184" s="665">
        <v>73</v>
      </c>
      <c r="G184" s="665">
        <v>25477</v>
      </c>
      <c r="H184" s="665">
        <v>0.67808474395826679</v>
      </c>
      <c r="I184" s="665">
        <v>349</v>
      </c>
      <c r="J184" s="665">
        <v>101</v>
      </c>
      <c r="K184" s="665">
        <v>37572</v>
      </c>
      <c r="L184" s="665">
        <v>1</v>
      </c>
      <c r="M184" s="665">
        <v>372</v>
      </c>
      <c r="N184" s="665">
        <v>99</v>
      </c>
      <c r="O184" s="665">
        <v>36925</v>
      </c>
      <c r="P184" s="686">
        <v>0.98277972958586179</v>
      </c>
      <c r="Q184" s="666">
        <v>372.97979797979798</v>
      </c>
    </row>
    <row r="185" spans="1:17" ht="14.4" customHeight="1" x14ac:dyDescent="0.3">
      <c r="A185" s="661" t="s">
        <v>512</v>
      </c>
      <c r="B185" s="662" t="s">
        <v>2051</v>
      </c>
      <c r="C185" s="662" t="s">
        <v>1955</v>
      </c>
      <c r="D185" s="662" t="s">
        <v>2283</v>
      </c>
      <c r="E185" s="662" t="s">
        <v>2284</v>
      </c>
      <c r="F185" s="665"/>
      <c r="G185" s="665"/>
      <c r="H185" s="665"/>
      <c r="I185" s="665"/>
      <c r="J185" s="665">
        <v>3</v>
      </c>
      <c r="K185" s="665">
        <v>0</v>
      </c>
      <c r="L185" s="665"/>
      <c r="M185" s="665">
        <v>0</v>
      </c>
      <c r="N185" s="665">
        <v>1</v>
      </c>
      <c r="O185" s="665">
        <v>0</v>
      </c>
      <c r="P185" s="686"/>
      <c r="Q185" s="666">
        <v>0</v>
      </c>
    </row>
    <row r="186" spans="1:17" ht="14.4" customHeight="1" x14ac:dyDescent="0.3">
      <c r="A186" s="661" t="s">
        <v>512</v>
      </c>
      <c r="B186" s="662" t="s">
        <v>2051</v>
      </c>
      <c r="C186" s="662" t="s">
        <v>1955</v>
      </c>
      <c r="D186" s="662" t="s">
        <v>2285</v>
      </c>
      <c r="E186" s="662" t="s">
        <v>2268</v>
      </c>
      <c r="F186" s="665"/>
      <c r="G186" s="665"/>
      <c r="H186" s="665"/>
      <c r="I186" s="665"/>
      <c r="J186" s="665">
        <v>1</v>
      </c>
      <c r="K186" s="665">
        <v>0</v>
      </c>
      <c r="L186" s="665"/>
      <c r="M186" s="665">
        <v>0</v>
      </c>
      <c r="N186" s="665">
        <v>1</v>
      </c>
      <c r="O186" s="665">
        <v>0</v>
      </c>
      <c r="P186" s="686"/>
      <c r="Q186" s="666">
        <v>0</v>
      </c>
    </row>
    <row r="187" spans="1:17" ht="14.4" customHeight="1" x14ac:dyDescent="0.3">
      <c r="A187" s="661" t="s">
        <v>512</v>
      </c>
      <c r="B187" s="662" t="s">
        <v>2286</v>
      </c>
      <c r="C187" s="662" t="s">
        <v>1955</v>
      </c>
      <c r="D187" s="662" t="s">
        <v>2287</v>
      </c>
      <c r="E187" s="662" t="s">
        <v>2288</v>
      </c>
      <c r="F187" s="665"/>
      <c r="G187" s="665"/>
      <c r="H187" s="665"/>
      <c r="I187" s="665"/>
      <c r="J187" s="665"/>
      <c r="K187" s="665"/>
      <c r="L187" s="665"/>
      <c r="M187" s="665"/>
      <c r="N187" s="665">
        <v>1</v>
      </c>
      <c r="O187" s="665">
        <v>541</v>
      </c>
      <c r="P187" s="686"/>
      <c r="Q187" s="666">
        <v>541</v>
      </c>
    </row>
    <row r="188" spans="1:17" ht="14.4" customHeight="1" x14ac:dyDescent="0.3">
      <c r="A188" s="661" t="s">
        <v>512</v>
      </c>
      <c r="B188" s="662" t="s">
        <v>2286</v>
      </c>
      <c r="C188" s="662" t="s">
        <v>1955</v>
      </c>
      <c r="D188" s="662" t="s">
        <v>2289</v>
      </c>
      <c r="E188" s="662" t="s">
        <v>2288</v>
      </c>
      <c r="F188" s="665"/>
      <c r="G188" s="665"/>
      <c r="H188" s="665"/>
      <c r="I188" s="665"/>
      <c r="J188" s="665"/>
      <c r="K188" s="665"/>
      <c r="L188" s="665"/>
      <c r="M188" s="665"/>
      <c r="N188" s="665">
        <v>1</v>
      </c>
      <c r="O188" s="665">
        <v>688</v>
      </c>
      <c r="P188" s="686"/>
      <c r="Q188" s="666">
        <v>688</v>
      </c>
    </row>
    <row r="189" spans="1:17" ht="14.4" customHeight="1" x14ac:dyDescent="0.3">
      <c r="A189" s="661" t="s">
        <v>512</v>
      </c>
      <c r="B189" s="662" t="s">
        <v>2286</v>
      </c>
      <c r="C189" s="662" t="s">
        <v>1955</v>
      </c>
      <c r="D189" s="662" t="s">
        <v>2290</v>
      </c>
      <c r="E189" s="662" t="s">
        <v>2291</v>
      </c>
      <c r="F189" s="665"/>
      <c r="G189" s="665"/>
      <c r="H189" s="665"/>
      <c r="I189" s="665"/>
      <c r="J189" s="665"/>
      <c r="K189" s="665"/>
      <c r="L189" s="665"/>
      <c r="M189" s="665"/>
      <c r="N189" s="665">
        <v>2</v>
      </c>
      <c r="O189" s="665">
        <v>5524</v>
      </c>
      <c r="P189" s="686"/>
      <c r="Q189" s="666">
        <v>2762</v>
      </c>
    </row>
    <row r="190" spans="1:17" ht="14.4" customHeight="1" x14ac:dyDescent="0.3">
      <c r="A190" s="661" t="s">
        <v>512</v>
      </c>
      <c r="B190" s="662" t="s">
        <v>2292</v>
      </c>
      <c r="C190" s="662" t="s">
        <v>1955</v>
      </c>
      <c r="D190" s="662" t="s">
        <v>2293</v>
      </c>
      <c r="E190" s="662" t="s">
        <v>2294</v>
      </c>
      <c r="F190" s="665"/>
      <c r="G190" s="665"/>
      <c r="H190" s="665"/>
      <c r="I190" s="665"/>
      <c r="J190" s="665"/>
      <c r="K190" s="665"/>
      <c r="L190" s="665"/>
      <c r="M190" s="665"/>
      <c r="N190" s="665">
        <v>1</v>
      </c>
      <c r="O190" s="665">
        <v>380</v>
      </c>
      <c r="P190" s="686"/>
      <c r="Q190" s="666">
        <v>380</v>
      </c>
    </row>
    <row r="191" spans="1:17" ht="14.4" customHeight="1" x14ac:dyDescent="0.3">
      <c r="A191" s="661" t="s">
        <v>512</v>
      </c>
      <c r="B191" s="662" t="s">
        <v>2292</v>
      </c>
      <c r="C191" s="662" t="s">
        <v>1955</v>
      </c>
      <c r="D191" s="662" t="s">
        <v>2295</v>
      </c>
      <c r="E191" s="662" t="s">
        <v>2296</v>
      </c>
      <c r="F191" s="665"/>
      <c r="G191" s="665"/>
      <c r="H191" s="665"/>
      <c r="I191" s="665"/>
      <c r="J191" s="665"/>
      <c r="K191" s="665"/>
      <c r="L191" s="665"/>
      <c r="M191" s="665"/>
      <c r="N191" s="665">
        <v>1</v>
      </c>
      <c r="O191" s="665">
        <v>7326</v>
      </c>
      <c r="P191" s="686"/>
      <c r="Q191" s="666">
        <v>7326</v>
      </c>
    </row>
    <row r="192" spans="1:17" ht="14.4" customHeight="1" x14ac:dyDescent="0.3">
      <c r="A192" s="661" t="s">
        <v>512</v>
      </c>
      <c r="B192" s="662" t="s">
        <v>2292</v>
      </c>
      <c r="C192" s="662" t="s">
        <v>1955</v>
      </c>
      <c r="D192" s="662" t="s">
        <v>1976</v>
      </c>
      <c r="E192" s="662" t="s">
        <v>1977</v>
      </c>
      <c r="F192" s="665"/>
      <c r="G192" s="665"/>
      <c r="H192" s="665"/>
      <c r="I192" s="665"/>
      <c r="J192" s="665"/>
      <c r="K192" s="665"/>
      <c r="L192" s="665"/>
      <c r="M192" s="665"/>
      <c r="N192" s="665">
        <v>1</v>
      </c>
      <c r="O192" s="665">
        <v>837</v>
      </c>
      <c r="P192" s="686"/>
      <c r="Q192" s="666">
        <v>837</v>
      </c>
    </row>
    <row r="193" spans="1:17" ht="14.4" customHeight="1" x14ac:dyDescent="0.3">
      <c r="A193" s="661" t="s">
        <v>512</v>
      </c>
      <c r="B193" s="662" t="s">
        <v>2292</v>
      </c>
      <c r="C193" s="662" t="s">
        <v>1955</v>
      </c>
      <c r="D193" s="662" t="s">
        <v>2297</v>
      </c>
      <c r="E193" s="662" t="s">
        <v>2298</v>
      </c>
      <c r="F193" s="665"/>
      <c r="G193" s="665"/>
      <c r="H193" s="665"/>
      <c r="I193" s="665"/>
      <c r="J193" s="665"/>
      <c r="K193" s="665"/>
      <c r="L193" s="665"/>
      <c r="M193" s="665"/>
      <c r="N193" s="665">
        <v>5</v>
      </c>
      <c r="O193" s="665">
        <v>12820</v>
      </c>
      <c r="P193" s="686"/>
      <c r="Q193" s="666">
        <v>2564</v>
      </c>
    </row>
    <row r="194" spans="1:17" ht="14.4" customHeight="1" x14ac:dyDescent="0.3">
      <c r="A194" s="661" t="s">
        <v>512</v>
      </c>
      <c r="B194" s="662" t="s">
        <v>2292</v>
      </c>
      <c r="C194" s="662" t="s">
        <v>1955</v>
      </c>
      <c r="D194" s="662" t="s">
        <v>2299</v>
      </c>
      <c r="E194" s="662" t="s">
        <v>2300</v>
      </c>
      <c r="F194" s="665"/>
      <c r="G194" s="665"/>
      <c r="H194" s="665"/>
      <c r="I194" s="665"/>
      <c r="J194" s="665"/>
      <c r="K194" s="665"/>
      <c r="L194" s="665"/>
      <c r="M194" s="665"/>
      <c r="N194" s="665">
        <v>1</v>
      </c>
      <c r="O194" s="665">
        <v>3121</v>
      </c>
      <c r="P194" s="686"/>
      <c r="Q194" s="666">
        <v>3121</v>
      </c>
    </row>
    <row r="195" spans="1:17" ht="14.4" customHeight="1" x14ac:dyDescent="0.3">
      <c r="A195" s="661" t="s">
        <v>512</v>
      </c>
      <c r="B195" s="662" t="s">
        <v>2301</v>
      </c>
      <c r="C195" s="662" t="s">
        <v>1955</v>
      </c>
      <c r="D195" s="662" t="s">
        <v>1976</v>
      </c>
      <c r="E195" s="662" t="s">
        <v>1977</v>
      </c>
      <c r="F195" s="665"/>
      <c r="G195" s="665"/>
      <c r="H195" s="665"/>
      <c r="I195" s="665"/>
      <c r="J195" s="665">
        <v>2</v>
      </c>
      <c r="K195" s="665">
        <v>1672</v>
      </c>
      <c r="L195" s="665">
        <v>1</v>
      </c>
      <c r="M195" s="665">
        <v>836</v>
      </c>
      <c r="N195" s="665">
        <v>2</v>
      </c>
      <c r="O195" s="665">
        <v>1674</v>
      </c>
      <c r="P195" s="686">
        <v>1.0011961722488039</v>
      </c>
      <c r="Q195" s="666">
        <v>837</v>
      </c>
    </row>
    <row r="196" spans="1:17" ht="14.4" customHeight="1" x14ac:dyDescent="0.3">
      <c r="A196" s="661" t="s">
        <v>512</v>
      </c>
      <c r="B196" s="662" t="s">
        <v>2301</v>
      </c>
      <c r="C196" s="662" t="s">
        <v>1955</v>
      </c>
      <c r="D196" s="662" t="s">
        <v>2302</v>
      </c>
      <c r="E196" s="662" t="s">
        <v>2303</v>
      </c>
      <c r="F196" s="665"/>
      <c r="G196" s="665"/>
      <c r="H196" s="665"/>
      <c r="I196" s="665"/>
      <c r="J196" s="665">
        <v>1</v>
      </c>
      <c r="K196" s="665">
        <v>3544</v>
      </c>
      <c r="L196" s="665">
        <v>1</v>
      </c>
      <c r="M196" s="665">
        <v>3544</v>
      </c>
      <c r="N196" s="665"/>
      <c r="O196" s="665"/>
      <c r="P196" s="686"/>
      <c r="Q196" s="666"/>
    </row>
    <row r="197" spans="1:17" ht="14.4" customHeight="1" x14ac:dyDescent="0.3">
      <c r="A197" s="661" t="s">
        <v>512</v>
      </c>
      <c r="B197" s="662" t="s">
        <v>2301</v>
      </c>
      <c r="C197" s="662" t="s">
        <v>1955</v>
      </c>
      <c r="D197" s="662" t="s">
        <v>2304</v>
      </c>
      <c r="E197" s="662" t="s">
        <v>2305</v>
      </c>
      <c r="F197" s="665"/>
      <c r="G197" s="665"/>
      <c r="H197" s="665"/>
      <c r="I197" s="665"/>
      <c r="J197" s="665">
        <v>1</v>
      </c>
      <c r="K197" s="665">
        <v>1641</v>
      </c>
      <c r="L197" s="665">
        <v>1</v>
      </c>
      <c r="M197" s="665">
        <v>1641</v>
      </c>
      <c r="N197" s="665"/>
      <c r="O197" s="665"/>
      <c r="P197" s="686"/>
      <c r="Q197" s="666"/>
    </row>
    <row r="198" spans="1:17" ht="14.4" customHeight="1" x14ac:dyDescent="0.3">
      <c r="A198" s="661" t="s">
        <v>512</v>
      </c>
      <c r="B198" s="662" t="s">
        <v>2301</v>
      </c>
      <c r="C198" s="662" t="s">
        <v>1955</v>
      </c>
      <c r="D198" s="662" t="s">
        <v>2306</v>
      </c>
      <c r="E198" s="662" t="s">
        <v>2307</v>
      </c>
      <c r="F198" s="665"/>
      <c r="G198" s="665"/>
      <c r="H198" s="665"/>
      <c r="I198" s="665"/>
      <c r="J198" s="665"/>
      <c r="K198" s="665"/>
      <c r="L198" s="665"/>
      <c r="M198" s="665"/>
      <c r="N198" s="665">
        <v>1</v>
      </c>
      <c r="O198" s="665">
        <v>43</v>
      </c>
      <c r="P198" s="686"/>
      <c r="Q198" s="666">
        <v>43</v>
      </c>
    </row>
    <row r="199" spans="1:17" ht="14.4" customHeight="1" x14ac:dyDescent="0.3">
      <c r="A199" s="661" t="s">
        <v>512</v>
      </c>
      <c r="B199" s="662" t="s">
        <v>2301</v>
      </c>
      <c r="C199" s="662" t="s">
        <v>1955</v>
      </c>
      <c r="D199" s="662" t="s">
        <v>2308</v>
      </c>
      <c r="E199" s="662" t="s">
        <v>2309</v>
      </c>
      <c r="F199" s="665"/>
      <c r="G199" s="665"/>
      <c r="H199" s="665"/>
      <c r="I199" s="665"/>
      <c r="J199" s="665"/>
      <c r="K199" s="665"/>
      <c r="L199" s="665"/>
      <c r="M199" s="665"/>
      <c r="N199" s="665">
        <v>1</v>
      </c>
      <c r="O199" s="665">
        <v>1498</v>
      </c>
      <c r="P199" s="686"/>
      <c r="Q199" s="666">
        <v>1498</v>
      </c>
    </row>
    <row r="200" spans="1:17" ht="14.4" customHeight="1" x14ac:dyDescent="0.3">
      <c r="A200" s="661" t="s">
        <v>512</v>
      </c>
      <c r="B200" s="662" t="s">
        <v>2301</v>
      </c>
      <c r="C200" s="662" t="s">
        <v>1955</v>
      </c>
      <c r="D200" s="662" t="s">
        <v>2310</v>
      </c>
      <c r="E200" s="662" t="s">
        <v>2311</v>
      </c>
      <c r="F200" s="665"/>
      <c r="G200" s="665"/>
      <c r="H200" s="665"/>
      <c r="I200" s="665"/>
      <c r="J200" s="665">
        <v>1</v>
      </c>
      <c r="K200" s="665">
        <v>394</v>
      </c>
      <c r="L200" s="665">
        <v>1</v>
      </c>
      <c r="M200" s="665">
        <v>394</v>
      </c>
      <c r="N200" s="665"/>
      <c r="O200" s="665"/>
      <c r="P200" s="686"/>
      <c r="Q200" s="666"/>
    </row>
    <row r="201" spans="1:17" ht="14.4" customHeight="1" x14ac:dyDescent="0.3">
      <c r="A201" s="661" t="s">
        <v>512</v>
      </c>
      <c r="B201" s="662" t="s">
        <v>2301</v>
      </c>
      <c r="C201" s="662" t="s">
        <v>1955</v>
      </c>
      <c r="D201" s="662" t="s">
        <v>2312</v>
      </c>
      <c r="E201" s="662" t="s">
        <v>2313</v>
      </c>
      <c r="F201" s="665"/>
      <c r="G201" s="665"/>
      <c r="H201" s="665"/>
      <c r="I201" s="665"/>
      <c r="J201" s="665"/>
      <c r="K201" s="665"/>
      <c r="L201" s="665"/>
      <c r="M201" s="665"/>
      <c r="N201" s="665">
        <v>1</v>
      </c>
      <c r="O201" s="665">
        <v>255</v>
      </c>
      <c r="P201" s="686"/>
      <c r="Q201" s="666">
        <v>255</v>
      </c>
    </row>
    <row r="202" spans="1:17" ht="14.4" customHeight="1" x14ac:dyDescent="0.3">
      <c r="A202" s="661" t="s">
        <v>512</v>
      </c>
      <c r="B202" s="662" t="s">
        <v>2314</v>
      </c>
      <c r="C202" s="662" t="s">
        <v>1955</v>
      </c>
      <c r="D202" s="662" t="s">
        <v>1964</v>
      </c>
      <c r="E202" s="662" t="s">
        <v>1965</v>
      </c>
      <c r="F202" s="665">
        <v>1</v>
      </c>
      <c r="G202" s="665">
        <v>2073</v>
      </c>
      <c r="H202" s="665"/>
      <c r="I202" s="665">
        <v>2073</v>
      </c>
      <c r="J202" s="665"/>
      <c r="K202" s="665"/>
      <c r="L202" s="665"/>
      <c r="M202" s="665"/>
      <c r="N202" s="665"/>
      <c r="O202" s="665"/>
      <c r="P202" s="686"/>
      <c r="Q202" s="666"/>
    </row>
    <row r="203" spans="1:17" ht="14.4" customHeight="1" x14ac:dyDescent="0.3">
      <c r="A203" s="661" t="s">
        <v>512</v>
      </c>
      <c r="B203" s="662" t="s">
        <v>2314</v>
      </c>
      <c r="C203" s="662" t="s">
        <v>1955</v>
      </c>
      <c r="D203" s="662" t="s">
        <v>2315</v>
      </c>
      <c r="E203" s="662" t="s">
        <v>2316</v>
      </c>
      <c r="F203" s="665"/>
      <c r="G203" s="665"/>
      <c r="H203" s="665"/>
      <c r="I203" s="665"/>
      <c r="J203" s="665">
        <v>2</v>
      </c>
      <c r="K203" s="665">
        <v>518</v>
      </c>
      <c r="L203" s="665">
        <v>1</v>
      </c>
      <c r="M203" s="665">
        <v>259</v>
      </c>
      <c r="N203" s="665"/>
      <c r="O203" s="665"/>
      <c r="P203" s="686"/>
      <c r="Q203" s="666"/>
    </row>
    <row r="204" spans="1:17" ht="14.4" customHeight="1" x14ac:dyDescent="0.3">
      <c r="A204" s="661" t="s">
        <v>512</v>
      </c>
      <c r="B204" s="662" t="s">
        <v>2314</v>
      </c>
      <c r="C204" s="662" t="s">
        <v>1955</v>
      </c>
      <c r="D204" s="662" t="s">
        <v>2317</v>
      </c>
      <c r="E204" s="662" t="s">
        <v>2318</v>
      </c>
      <c r="F204" s="665"/>
      <c r="G204" s="665"/>
      <c r="H204" s="665"/>
      <c r="I204" s="665"/>
      <c r="J204" s="665">
        <v>1</v>
      </c>
      <c r="K204" s="665">
        <v>591</v>
      </c>
      <c r="L204" s="665">
        <v>1</v>
      </c>
      <c r="M204" s="665">
        <v>591</v>
      </c>
      <c r="N204" s="665"/>
      <c r="O204" s="665"/>
      <c r="P204" s="686"/>
      <c r="Q204" s="666"/>
    </row>
    <row r="205" spans="1:17" ht="14.4" customHeight="1" x14ac:dyDescent="0.3">
      <c r="A205" s="661" t="s">
        <v>512</v>
      </c>
      <c r="B205" s="662" t="s">
        <v>2314</v>
      </c>
      <c r="C205" s="662" t="s">
        <v>1955</v>
      </c>
      <c r="D205" s="662" t="s">
        <v>2319</v>
      </c>
      <c r="E205" s="662" t="s">
        <v>2320</v>
      </c>
      <c r="F205" s="665">
        <v>2</v>
      </c>
      <c r="G205" s="665">
        <v>1518</v>
      </c>
      <c r="H205" s="665"/>
      <c r="I205" s="665">
        <v>759</v>
      </c>
      <c r="J205" s="665"/>
      <c r="K205" s="665"/>
      <c r="L205" s="665"/>
      <c r="M205" s="665"/>
      <c r="N205" s="665">
        <v>1</v>
      </c>
      <c r="O205" s="665">
        <v>767</v>
      </c>
      <c r="P205" s="686"/>
      <c r="Q205" s="666">
        <v>767</v>
      </c>
    </row>
    <row r="206" spans="1:17" ht="14.4" customHeight="1" x14ac:dyDescent="0.3">
      <c r="A206" s="661" t="s">
        <v>512</v>
      </c>
      <c r="B206" s="662" t="s">
        <v>2314</v>
      </c>
      <c r="C206" s="662" t="s">
        <v>1955</v>
      </c>
      <c r="D206" s="662" t="s">
        <v>2321</v>
      </c>
      <c r="E206" s="662" t="s">
        <v>2322</v>
      </c>
      <c r="F206" s="665"/>
      <c r="G206" s="665"/>
      <c r="H206" s="665"/>
      <c r="I206" s="665"/>
      <c r="J206" s="665">
        <v>3</v>
      </c>
      <c r="K206" s="665">
        <v>1086</v>
      </c>
      <c r="L206" s="665">
        <v>1</v>
      </c>
      <c r="M206" s="665">
        <v>362</v>
      </c>
      <c r="N206" s="665"/>
      <c r="O206" s="665"/>
      <c r="P206" s="686"/>
      <c r="Q206" s="666"/>
    </row>
    <row r="207" spans="1:17" ht="14.4" customHeight="1" x14ac:dyDescent="0.3">
      <c r="A207" s="661" t="s">
        <v>512</v>
      </c>
      <c r="B207" s="662" t="s">
        <v>2323</v>
      </c>
      <c r="C207" s="662" t="s">
        <v>1955</v>
      </c>
      <c r="D207" s="662" t="s">
        <v>2324</v>
      </c>
      <c r="E207" s="662" t="s">
        <v>2325</v>
      </c>
      <c r="F207" s="665">
        <v>1</v>
      </c>
      <c r="G207" s="665">
        <v>259</v>
      </c>
      <c r="H207" s="665"/>
      <c r="I207" s="665">
        <v>259</v>
      </c>
      <c r="J207" s="665"/>
      <c r="K207" s="665"/>
      <c r="L207" s="665"/>
      <c r="M207" s="665"/>
      <c r="N207" s="665"/>
      <c r="O207" s="665"/>
      <c r="P207" s="686"/>
      <c r="Q207" s="666"/>
    </row>
    <row r="208" spans="1:17" ht="14.4" customHeight="1" x14ac:dyDescent="0.3">
      <c r="A208" s="661" t="s">
        <v>512</v>
      </c>
      <c r="B208" s="662" t="s">
        <v>2323</v>
      </c>
      <c r="C208" s="662" t="s">
        <v>1955</v>
      </c>
      <c r="D208" s="662" t="s">
        <v>2326</v>
      </c>
      <c r="E208" s="662" t="s">
        <v>2327</v>
      </c>
      <c r="F208" s="665"/>
      <c r="G208" s="665"/>
      <c r="H208" s="665"/>
      <c r="I208" s="665"/>
      <c r="J208" s="665">
        <v>2</v>
      </c>
      <c r="K208" s="665">
        <v>698</v>
      </c>
      <c r="L208" s="665">
        <v>1</v>
      </c>
      <c r="M208" s="665">
        <v>349</v>
      </c>
      <c r="N208" s="665"/>
      <c r="O208" s="665"/>
      <c r="P208" s="686"/>
      <c r="Q208" s="666"/>
    </row>
    <row r="209" spans="1:17" ht="14.4" customHeight="1" x14ac:dyDescent="0.3">
      <c r="A209" s="661" t="s">
        <v>512</v>
      </c>
      <c r="B209" s="662" t="s">
        <v>2323</v>
      </c>
      <c r="C209" s="662" t="s">
        <v>1955</v>
      </c>
      <c r="D209" s="662" t="s">
        <v>2328</v>
      </c>
      <c r="E209" s="662" t="s">
        <v>2329</v>
      </c>
      <c r="F209" s="665"/>
      <c r="G209" s="665"/>
      <c r="H209" s="665"/>
      <c r="I209" s="665"/>
      <c r="J209" s="665">
        <v>2</v>
      </c>
      <c r="K209" s="665">
        <v>566</v>
      </c>
      <c r="L209" s="665">
        <v>1</v>
      </c>
      <c r="M209" s="665">
        <v>283</v>
      </c>
      <c r="N209" s="665"/>
      <c r="O209" s="665"/>
      <c r="P209" s="686"/>
      <c r="Q209" s="666"/>
    </row>
    <row r="210" spans="1:17" ht="14.4" customHeight="1" thickBot="1" x14ac:dyDescent="0.35">
      <c r="A210" s="667" t="s">
        <v>512</v>
      </c>
      <c r="B210" s="668" t="s">
        <v>2323</v>
      </c>
      <c r="C210" s="668" t="s">
        <v>1955</v>
      </c>
      <c r="D210" s="668" t="s">
        <v>2330</v>
      </c>
      <c r="E210" s="668" t="s">
        <v>2331</v>
      </c>
      <c r="F210" s="671"/>
      <c r="G210" s="671"/>
      <c r="H210" s="671"/>
      <c r="I210" s="671"/>
      <c r="J210" s="671">
        <v>2</v>
      </c>
      <c r="K210" s="671">
        <v>11194</v>
      </c>
      <c r="L210" s="671">
        <v>1</v>
      </c>
      <c r="M210" s="671">
        <v>5597</v>
      </c>
      <c r="N210" s="671"/>
      <c r="O210" s="671"/>
      <c r="P210" s="679"/>
      <c r="Q210" s="67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74" t="s">
        <v>122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</row>
    <row r="2" spans="1:17" ht="14.4" customHeight="1" thickBot="1" x14ac:dyDescent="0.35">
      <c r="A2" s="351" t="s">
        <v>322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7" ht="14.4" customHeight="1" thickBot="1" x14ac:dyDescent="0.35">
      <c r="A3" s="564" t="s">
        <v>57</v>
      </c>
      <c r="B3" s="548" t="s">
        <v>58</v>
      </c>
      <c r="C3" s="549"/>
      <c r="D3" s="549"/>
      <c r="E3" s="550"/>
      <c r="F3" s="551"/>
      <c r="G3" s="548" t="s">
        <v>254</v>
      </c>
      <c r="H3" s="549"/>
      <c r="I3" s="549"/>
      <c r="J3" s="550"/>
      <c r="K3" s="551"/>
      <c r="L3" s="106"/>
      <c r="M3" s="107"/>
      <c r="N3" s="106"/>
      <c r="O3" s="108"/>
    </row>
    <row r="4" spans="1:17" ht="14.4" customHeight="1" thickBot="1" x14ac:dyDescent="0.35">
      <c r="A4" s="565"/>
      <c r="B4" s="109">
        <v>2015</v>
      </c>
      <c r="C4" s="110">
        <v>2016</v>
      </c>
      <c r="D4" s="110">
        <v>2017</v>
      </c>
      <c r="E4" s="457" t="s">
        <v>303</v>
      </c>
      <c r="F4" s="458" t="s">
        <v>2</v>
      </c>
      <c r="G4" s="109">
        <v>2015</v>
      </c>
      <c r="H4" s="110">
        <v>2016</v>
      </c>
      <c r="I4" s="110">
        <v>2017</v>
      </c>
      <c r="J4" s="110" t="s">
        <v>303</v>
      </c>
      <c r="K4" s="111" t="s">
        <v>2</v>
      </c>
      <c r="L4" s="106"/>
      <c r="M4" s="106"/>
      <c r="N4" s="112" t="s">
        <v>59</v>
      </c>
      <c r="O4" s="113" t="s">
        <v>60</v>
      </c>
      <c r="P4" s="112" t="s">
        <v>312</v>
      </c>
      <c r="Q4" s="113" t="s">
        <v>313</v>
      </c>
    </row>
    <row r="5" spans="1:17" ht="14.4" hidden="1" customHeight="1" outlineLevel="1" x14ac:dyDescent="0.3">
      <c r="A5" s="478" t="s">
        <v>150</v>
      </c>
      <c r="B5" s="104">
        <v>8.1080000000000005</v>
      </c>
      <c r="C5" s="99">
        <v>22.978999999999999</v>
      </c>
      <c r="D5" s="99">
        <v>23.72</v>
      </c>
      <c r="E5" s="463">
        <f>IF(OR(D5=0,B5=0),"",D5/B5)</f>
        <v>2.9255056734089786</v>
      </c>
      <c r="F5" s="114">
        <f>IF(OR(D5=0,C5=0),"",D5/C5)</f>
        <v>1.0322468340658861</v>
      </c>
      <c r="G5" s="115">
        <v>4</v>
      </c>
      <c r="H5" s="99">
        <v>6</v>
      </c>
      <c r="I5" s="99">
        <v>3</v>
      </c>
      <c r="J5" s="463">
        <f>IF(OR(I5=0,G5=0),"",I5/G5)</f>
        <v>0.75</v>
      </c>
      <c r="K5" s="116">
        <f>IF(OR(I5=0,H5=0),"",I5/H5)</f>
        <v>0.5</v>
      </c>
      <c r="L5" s="106"/>
      <c r="M5" s="106"/>
      <c r="N5" s="7">
        <f>D5-C5</f>
        <v>0.74099999999999966</v>
      </c>
      <c r="O5" s="8">
        <f>I5-H5</f>
        <v>-3</v>
      </c>
      <c r="P5" s="7">
        <f>D5-B5</f>
        <v>15.611999999999998</v>
      </c>
      <c r="Q5" s="8">
        <f>I5-G5</f>
        <v>-1</v>
      </c>
    </row>
    <row r="6" spans="1:17" ht="14.4" hidden="1" customHeight="1" outlineLevel="1" x14ac:dyDescent="0.3">
      <c r="A6" s="479" t="s">
        <v>151</v>
      </c>
      <c r="B6" s="105">
        <v>7.5540000000000003</v>
      </c>
      <c r="C6" s="98">
        <v>15.917999999999999</v>
      </c>
      <c r="D6" s="98">
        <v>0.46100000000000002</v>
      </c>
      <c r="E6" s="463">
        <f t="shared" ref="E6:E12" si="0">IF(OR(D6=0,B6=0),"",D6/B6)</f>
        <v>6.1027270320360073E-2</v>
      </c>
      <c r="F6" s="114">
        <f t="shared" ref="F6:F12" si="1">IF(OR(D6=0,C6=0),"",D6/C6)</f>
        <v>2.8960924739288858E-2</v>
      </c>
      <c r="G6" s="118">
        <v>1</v>
      </c>
      <c r="H6" s="98">
        <v>3</v>
      </c>
      <c r="I6" s="98">
        <v>1</v>
      </c>
      <c r="J6" s="464">
        <f t="shared" ref="J6:J12" si="2">IF(OR(I6=0,G6=0),"",I6/G6)</f>
        <v>1</v>
      </c>
      <c r="K6" s="119">
        <f t="shared" ref="K6:K12" si="3">IF(OR(I6=0,H6=0),"",I6/H6)</f>
        <v>0.33333333333333331</v>
      </c>
      <c r="L6" s="106"/>
      <c r="M6" s="106"/>
      <c r="N6" s="5">
        <f t="shared" ref="N6:N13" si="4">D6-C6</f>
        <v>-15.456999999999999</v>
      </c>
      <c r="O6" s="6">
        <f t="shared" ref="O6:O13" si="5">I6-H6</f>
        <v>-2</v>
      </c>
      <c r="P6" s="5">
        <f t="shared" ref="P6:P13" si="6">D6-B6</f>
        <v>-7.093</v>
      </c>
      <c r="Q6" s="6">
        <f t="shared" ref="Q6:Q13" si="7">I6-G6</f>
        <v>0</v>
      </c>
    </row>
    <row r="7" spans="1:17" ht="14.4" hidden="1" customHeight="1" outlineLevel="1" x14ac:dyDescent="0.3">
      <c r="A7" s="479" t="s">
        <v>152</v>
      </c>
      <c r="B7" s="105">
        <v>3.7970000000000002</v>
      </c>
      <c r="C7" s="98">
        <v>47.195999999999998</v>
      </c>
      <c r="D7" s="98">
        <v>5.1340000000000003</v>
      </c>
      <c r="E7" s="463">
        <f t="shared" si="0"/>
        <v>1.3521200948116934</v>
      </c>
      <c r="F7" s="114">
        <f t="shared" si="1"/>
        <v>0.1087804051190779</v>
      </c>
      <c r="G7" s="118">
        <v>2</v>
      </c>
      <c r="H7" s="98">
        <v>3</v>
      </c>
      <c r="I7" s="98">
        <v>3</v>
      </c>
      <c r="J7" s="464">
        <f t="shared" si="2"/>
        <v>1.5</v>
      </c>
      <c r="K7" s="119">
        <f t="shared" si="3"/>
        <v>1</v>
      </c>
      <c r="L7" s="106"/>
      <c r="M7" s="106"/>
      <c r="N7" s="5">
        <f t="shared" si="4"/>
        <v>-42.061999999999998</v>
      </c>
      <c r="O7" s="6">
        <f t="shared" si="5"/>
        <v>0</v>
      </c>
      <c r="P7" s="5">
        <f t="shared" si="6"/>
        <v>1.3370000000000002</v>
      </c>
      <c r="Q7" s="6">
        <f t="shared" si="7"/>
        <v>1</v>
      </c>
    </row>
    <row r="8" spans="1:17" ht="14.4" hidden="1" customHeight="1" outlineLevel="1" x14ac:dyDescent="0.3">
      <c r="A8" s="479" t="s">
        <v>153</v>
      </c>
      <c r="B8" s="105">
        <v>0</v>
      </c>
      <c r="C8" s="98">
        <v>1.3660000000000001</v>
      </c>
      <c r="D8" s="98">
        <v>0</v>
      </c>
      <c r="E8" s="463" t="str">
        <f t="shared" si="0"/>
        <v/>
      </c>
      <c r="F8" s="114" t="str">
        <f t="shared" si="1"/>
        <v/>
      </c>
      <c r="G8" s="118">
        <v>0</v>
      </c>
      <c r="H8" s="98">
        <v>1</v>
      </c>
      <c r="I8" s="98">
        <v>0</v>
      </c>
      <c r="J8" s="464" t="str">
        <f t="shared" si="2"/>
        <v/>
      </c>
      <c r="K8" s="119" t="str">
        <f t="shared" si="3"/>
        <v/>
      </c>
      <c r="L8" s="106"/>
      <c r="M8" s="106"/>
      <c r="N8" s="5">
        <f t="shared" si="4"/>
        <v>-1.3660000000000001</v>
      </c>
      <c r="O8" s="6">
        <f t="shared" si="5"/>
        <v>-1</v>
      </c>
      <c r="P8" s="5">
        <f t="shared" si="6"/>
        <v>0</v>
      </c>
      <c r="Q8" s="6">
        <f t="shared" si="7"/>
        <v>0</v>
      </c>
    </row>
    <row r="9" spans="1:17" ht="14.4" hidden="1" customHeight="1" outlineLevel="1" x14ac:dyDescent="0.3">
      <c r="A9" s="479" t="s">
        <v>154</v>
      </c>
      <c r="B9" s="105">
        <v>0</v>
      </c>
      <c r="C9" s="98">
        <v>0</v>
      </c>
      <c r="D9" s="98">
        <v>0</v>
      </c>
      <c r="E9" s="463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464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79" t="s">
        <v>155</v>
      </c>
      <c r="B10" s="105">
        <v>0.85299999999999998</v>
      </c>
      <c r="C10" s="98">
        <v>1.022</v>
      </c>
      <c r="D10" s="98">
        <v>11.164999999999999</v>
      </c>
      <c r="E10" s="463">
        <f t="shared" si="0"/>
        <v>13.089097303634231</v>
      </c>
      <c r="F10" s="114">
        <f t="shared" si="1"/>
        <v>10.924657534246574</v>
      </c>
      <c r="G10" s="118">
        <v>1</v>
      </c>
      <c r="H10" s="98">
        <v>2</v>
      </c>
      <c r="I10" s="98">
        <v>4</v>
      </c>
      <c r="J10" s="464">
        <f t="shared" si="2"/>
        <v>4</v>
      </c>
      <c r="K10" s="119">
        <f t="shared" si="3"/>
        <v>2</v>
      </c>
      <c r="L10" s="106"/>
      <c r="M10" s="106"/>
      <c r="N10" s="5">
        <f t="shared" si="4"/>
        <v>10.142999999999999</v>
      </c>
      <c r="O10" s="6">
        <f t="shared" si="5"/>
        <v>2</v>
      </c>
      <c r="P10" s="5">
        <f t="shared" si="6"/>
        <v>10.311999999999999</v>
      </c>
      <c r="Q10" s="6">
        <f t="shared" si="7"/>
        <v>3</v>
      </c>
    </row>
    <row r="11" spans="1:17" ht="14.4" hidden="1" customHeight="1" outlineLevel="1" x14ac:dyDescent="0.3">
      <c r="A11" s="479" t="s">
        <v>156</v>
      </c>
      <c r="B11" s="105">
        <v>0</v>
      </c>
      <c r="C11" s="98">
        <v>0</v>
      </c>
      <c r="D11" s="98">
        <v>12.648</v>
      </c>
      <c r="E11" s="463" t="str">
        <f t="shared" si="0"/>
        <v/>
      </c>
      <c r="F11" s="114" t="str">
        <f t="shared" si="1"/>
        <v/>
      </c>
      <c r="G11" s="118">
        <v>0</v>
      </c>
      <c r="H11" s="98">
        <v>0</v>
      </c>
      <c r="I11" s="98">
        <v>1</v>
      </c>
      <c r="J11" s="464" t="str">
        <f t="shared" si="2"/>
        <v/>
      </c>
      <c r="K11" s="119" t="str">
        <f t="shared" si="3"/>
        <v/>
      </c>
      <c r="L11" s="106"/>
      <c r="M11" s="106"/>
      <c r="N11" s="5">
        <f t="shared" si="4"/>
        <v>12.648</v>
      </c>
      <c r="O11" s="6">
        <f t="shared" si="5"/>
        <v>1</v>
      </c>
      <c r="P11" s="5">
        <f t="shared" si="6"/>
        <v>12.648</v>
      </c>
      <c r="Q11" s="6">
        <f t="shared" si="7"/>
        <v>1</v>
      </c>
    </row>
    <row r="12" spans="1:17" ht="14.4" hidden="1" customHeight="1" outlineLevel="1" thickBot="1" x14ac:dyDescent="0.35">
      <c r="A12" s="480" t="s">
        <v>184</v>
      </c>
      <c r="B12" s="222">
        <v>0</v>
      </c>
      <c r="C12" s="223">
        <v>0</v>
      </c>
      <c r="D12" s="223">
        <v>0</v>
      </c>
      <c r="E12" s="463" t="str">
        <f t="shared" si="0"/>
        <v/>
      </c>
      <c r="F12" s="114" t="str">
        <f t="shared" si="1"/>
        <v/>
      </c>
      <c r="G12" s="225">
        <v>0</v>
      </c>
      <c r="H12" s="223">
        <v>0</v>
      </c>
      <c r="I12" s="223">
        <v>0</v>
      </c>
      <c r="J12" s="465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20.312000000000001</v>
      </c>
      <c r="C13" s="101">
        <f>SUM(C5:C12)</f>
        <v>88.480999999999995</v>
      </c>
      <c r="D13" s="101">
        <f>SUM(D5:D12)</f>
        <v>53.128</v>
      </c>
      <c r="E13" s="459">
        <f>IF(OR(D13=0,B13=0),0,D13/B13)</f>
        <v>2.6155966916108704</v>
      </c>
      <c r="F13" s="120">
        <f>IF(OR(D13=0,C13=0),0,D13/C13)</f>
        <v>0.60044529333981311</v>
      </c>
      <c r="G13" s="121">
        <f>SUM(G5:G12)</f>
        <v>8</v>
      </c>
      <c r="H13" s="101">
        <f>SUM(H5:H12)</f>
        <v>15</v>
      </c>
      <c r="I13" s="101">
        <f>SUM(I5:I12)</f>
        <v>12</v>
      </c>
      <c r="J13" s="459">
        <f>IF(OR(I13=0,G13=0),0,I13/G13)</f>
        <v>1.5</v>
      </c>
      <c r="K13" s="122">
        <f>IF(OR(I13=0,H13=0),0,I13/H13)</f>
        <v>0.8</v>
      </c>
      <c r="L13" s="106"/>
      <c r="M13" s="106"/>
      <c r="N13" s="112">
        <f t="shared" si="4"/>
        <v>-35.352999999999994</v>
      </c>
      <c r="O13" s="123">
        <f t="shared" si="5"/>
        <v>-3</v>
      </c>
      <c r="P13" s="112">
        <f t="shared" si="6"/>
        <v>32.816000000000003</v>
      </c>
      <c r="Q13" s="123">
        <f t="shared" si="7"/>
        <v>4</v>
      </c>
    </row>
    <row r="14" spans="1:17" ht="14.4" customHeight="1" x14ac:dyDescent="0.3">
      <c r="A14" s="124"/>
      <c r="B14" s="566"/>
      <c r="C14" s="566"/>
      <c r="D14" s="566"/>
      <c r="E14" s="567"/>
      <c r="F14" s="566"/>
      <c r="G14" s="566"/>
      <c r="H14" s="566"/>
      <c r="I14" s="566"/>
      <c r="J14" s="567"/>
      <c r="K14" s="566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568" t="s">
        <v>304</v>
      </c>
      <c r="B16" s="570" t="s">
        <v>58</v>
      </c>
      <c r="C16" s="571"/>
      <c r="D16" s="571"/>
      <c r="E16" s="572"/>
      <c r="F16" s="573"/>
      <c r="G16" s="570" t="s">
        <v>254</v>
      </c>
      <c r="H16" s="571"/>
      <c r="I16" s="571"/>
      <c r="J16" s="572"/>
      <c r="K16" s="573"/>
      <c r="L16" s="589" t="s">
        <v>160</v>
      </c>
      <c r="M16" s="590"/>
      <c r="N16" s="140"/>
      <c r="O16" s="140"/>
      <c r="P16" s="140"/>
      <c r="Q16" s="140"/>
    </row>
    <row r="17" spans="1:17" ht="14.4" customHeight="1" thickBot="1" x14ac:dyDescent="0.35">
      <c r="A17" s="569"/>
      <c r="B17" s="125">
        <v>2015</v>
      </c>
      <c r="C17" s="126">
        <v>2016</v>
      </c>
      <c r="D17" s="126">
        <v>2017</v>
      </c>
      <c r="E17" s="126" t="s">
        <v>303</v>
      </c>
      <c r="F17" s="127" t="s">
        <v>2</v>
      </c>
      <c r="G17" s="125">
        <v>2015</v>
      </c>
      <c r="H17" s="126">
        <v>2016</v>
      </c>
      <c r="I17" s="126">
        <v>2017</v>
      </c>
      <c r="J17" s="126" t="s">
        <v>303</v>
      </c>
      <c r="K17" s="127" t="s">
        <v>2</v>
      </c>
      <c r="L17" s="560" t="s">
        <v>161</v>
      </c>
      <c r="M17" s="561"/>
      <c r="N17" s="128" t="s">
        <v>59</v>
      </c>
      <c r="O17" s="129" t="s">
        <v>60</v>
      </c>
      <c r="P17" s="128" t="s">
        <v>312</v>
      </c>
      <c r="Q17" s="129" t="s">
        <v>313</v>
      </c>
    </row>
    <row r="18" spans="1:17" ht="14.4" hidden="1" customHeight="1" outlineLevel="1" x14ac:dyDescent="0.3">
      <c r="A18" s="478" t="s">
        <v>150</v>
      </c>
      <c r="B18" s="104">
        <v>8.1080000000000005</v>
      </c>
      <c r="C18" s="99">
        <v>22.978999999999999</v>
      </c>
      <c r="D18" s="99">
        <v>23.72</v>
      </c>
      <c r="E18" s="463">
        <f>IF(OR(D18=0,B18=0),"",D18/B18)</f>
        <v>2.9255056734089786</v>
      </c>
      <c r="F18" s="114">
        <f>IF(OR(D18=0,C18=0),"",D18/C18)</f>
        <v>1.0322468340658861</v>
      </c>
      <c r="G18" s="104">
        <v>4</v>
      </c>
      <c r="H18" s="99">
        <v>6</v>
      </c>
      <c r="I18" s="99">
        <v>3</v>
      </c>
      <c r="J18" s="463">
        <f>IF(OR(I18=0,G18=0),"",I18/G18)</f>
        <v>0.75</v>
      </c>
      <c r="K18" s="116">
        <f>IF(OR(I18=0,H18=0),"",I18/H18)</f>
        <v>0.5</v>
      </c>
      <c r="L18" s="562">
        <v>0.91871999999999998</v>
      </c>
      <c r="M18" s="563"/>
      <c r="N18" s="130">
        <f t="shared" ref="N18:N26" si="8">D18-C18</f>
        <v>0.74099999999999966</v>
      </c>
      <c r="O18" s="131">
        <f t="shared" ref="O18:O26" si="9">I18-H18</f>
        <v>-3</v>
      </c>
      <c r="P18" s="130">
        <f t="shared" ref="P18:P26" si="10">D18-B18</f>
        <v>15.611999999999998</v>
      </c>
      <c r="Q18" s="131">
        <f t="shared" ref="Q18:Q26" si="11">I18-G18</f>
        <v>-1</v>
      </c>
    </row>
    <row r="19" spans="1:17" ht="14.4" hidden="1" customHeight="1" outlineLevel="1" x14ac:dyDescent="0.3">
      <c r="A19" s="479" t="s">
        <v>151</v>
      </c>
      <c r="B19" s="105">
        <v>7.5540000000000003</v>
      </c>
      <c r="C19" s="98">
        <v>15.917999999999999</v>
      </c>
      <c r="D19" s="98">
        <v>0.46100000000000002</v>
      </c>
      <c r="E19" s="464">
        <f t="shared" ref="E19:E25" si="12">IF(OR(D19=0,B19=0),"",D19/B19)</f>
        <v>6.1027270320360073E-2</v>
      </c>
      <c r="F19" s="117">
        <f t="shared" ref="F19:F25" si="13">IF(OR(D19=0,C19=0),"",D19/C19)</f>
        <v>2.8960924739288858E-2</v>
      </c>
      <c r="G19" s="105">
        <v>1</v>
      </c>
      <c r="H19" s="98">
        <v>3</v>
      </c>
      <c r="I19" s="98">
        <v>1</v>
      </c>
      <c r="J19" s="464">
        <f t="shared" ref="J19:J25" si="14">IF(OR(I19=0,G19=0),"",I19/G19)</f>
        <v>1</v>
      </c>
      <c r="K19" s="119">
        <f t="shared" ref="K19:K25" si="15">IF(OR(I19=0,H19=0),"",I19/H19)</f>
        <v>0.33333333333333331</v>
      </c>
      <c r="L19" s="562">
        <v>0.99456</v>
      </c>
      <c r="M19" s="563"/>
      <c r="N19" s="132">
        <f t="shared" si="8"/>
        <v>-15.456999999999999</v>
      </c>
      <c r="O19" s="133">
        <f t="shared" si="9"/>
        <v>-2</v>
      </c>
      <c r="P19" s="132">
        <f t="shared" si="10"/>
        <v>-7.093</v>
      </c>
      <c r="Q19" s="133">
        <f t="shared" si="11"/>
        <v>0</v>
      </c>
    </row>
    <row r="20" spans="1:17" ht="14.4" hidden="1" customHeight="1" outlineLevel="1" x14ac:dyDescent="0.3">
      <c r="A20" s="479" t="s">
        <v>152</v>
      </c>
      <c r="B20" s="105">
        <v>3.7970000000000002</v>
      </c>
      <c r="C20" s="98">
        <v>47.195999999999998</v>
      </c>
      <c r="D20" s="98">
        <v>5.1340000000000003</v>
      </c>
      <c r="E20" s="464">
        <f t="shared" si="12"/>
        <v>1.3521200948116934</v>
      </c>
      <c r="F20" s="117">
        <f t="shared" si="13"/>
        <v>0.1087804051190779</v>
      </c>
      <c r="G20" s="105">
        <v>2</v>
      </c>
      <c r="H20" s="98">
        <v>3</v>
      </c>
      <c r="I20" s="98">
        <v>3</v>
      </c>
      <c r="J20" s="464">
        <f t="shared" si="14"/>
        <v>1.5</v>
      </c>
      <c r="K20" s="119">
        <f t="shared" si="15"/>
        <v>1</v>
      </c>
      <c r="L20" s="562">
        <v>0.96671999999999991</v>
      </c>
      <c r="M20" s="563"/>
      <c r="N20" s="132">
        <f t="shared" si="8"/>
        <v>-42.061999999999998</v>
      </c>
      <c r="O20" s="133">
        <f t="shared" si="9"/>
        <v>0</v>
      </c>
      <c r="P20" s="132">
        <f t="shared" si="10"/>
        <v>1.3370000000000002</v>
      </c>
      <c r="Q20" s="133">
        <f t="shared" si="11"/>
        <v>1</v>
      </c>
    </row>
    <row r="21" spans="1:17" ht="14.4" hidden="1" customHeight="1" outlineLevel="1" x14ac:dyDescent="0.3">
      <c r="A21" s="479" t="s">
        <v>153</v>
      </c>
      <c r="B21" s="105">
        <v>0</v>
      </c>
      <c r="C21" s="98">
        <v>1.3660000000000001</v>
      </c>
      <c r="D21" s="98">
        <v>0</v>
      </c>
      <c r="E21" s="464" t="str">
        <f t="shared" si="12"/>
        <v/>
      </c>
      <c r="F21" s="117" t="str">
        <f t="shared" si="13"/>
        <v/>
      </c>
      <c r="G21" s="105">
        <v>0</v>
      </c>
      <c r="H21" s="98">
        <v>1</v>
      </c>
      <c r="I21" s="98">
        <v>0</v>
      </c>
      <c r="J21" s="464" t="str">
        <f t="shared" si="14"/>
        <v/>
      </c>
      <c r="K21" s="119" t="str">
        <f t="shared" si="15"/>
        <v/>
      </c>
      <c r="L21" s="562">
        <v>1.11744</v>
      </c>
      <c r="M21" s="563"/>
      <c r="N21" s="132">
        <f t="shared" si="8"/>
        <v>-1.3660000000000001</v>
      </c>
      <c r="O21" s="133">
        <f t="shared" si="9"/>
        <v>-1</v>
      </c>
      <c r="P21" s="132">
        <f t="shared" si="10"/>
        <v>0</v>
      </c>
      <c r="Q21" s="133">
        <f t="shared" si="11"/>
        <v>0</v>
      </c>
    </row>
    <row r="22" spans="1:17" ht="14.4" hidden="1" customHeight="1" outlineLevel="1" x14ac:dyDescent="0.3">
      <c r="A22" s="479" t="s">
        <v>154</v>
      </c>
      <c r="B22" s="105">
        <v>0</v>
      </c>
      <c r="C22" s="98">
        <v>0</v>
      </c>
      <c r="D22" s="98">
        <v>0</v>
      </c>
      <c r="E22" s="464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464" t="str">
        <f t="shared" si="14"/>
        <v/>
      </c>
      <c r="K22" s="119" t="str">
        <f t="shared" si="15"/>
        <v/>
      </c>
      <c r="L22" s="562">
        <v>0.96</v>
      </c>
      <c r="M22" s="563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79" t="s">
        <v>155</v>
      </c>
      <c r="B23" s="105">
        <v>0.85299999999999998</v>
      </c>
      <c r="C23" s="98">
        <v>1.022</v>
      </c>
      <c r="D23" s="98">
        <v>11.164999999999999</v>
      </c>
      <c r="E23" s="464">
        <f t="shared" si="12"/>
        <v>13.089097303634231</v>
      </c>
      <c r="F23" s="117">
        <f t="shared" si="13"/>
        <v>10.924657534246574</v>
      </c>
      <c r="G23" s="105">
        <v>1</v>
      </c>
      <c r="H23" s="98">
        <v>2</v>
      </c>
      <c r="I23" s="98">
        <v>4</v>
      </c>
      <c r="J23" s="464">
        <f t="shared" si="14"/>
        <v>4</v>
      </c>
      <c r="K23" s="119">
        <f t="shared" si="15"/>
        <v>2</v>
      </c>
      <c r="L23" s="562">
        <v>0.98495999999999995</v>
      </c>
      <c r="M23" s="563"/>
      <c r="N23" s="132">
        <f t="shared" si="8"/>
        <v>10.142999999999999</v>
      </c>
      <c r="O23" s="133">
        <f t="shared" si="9"/>
        <v>2</v>
      </c>
      <c r="P23" s="132">
        <f t="shared" si="10"/>
        <v>10.311999999999999</v>
      </c>
      <c r="Q23" s="133">
        <f t="shared" si="11"/>
        <v>3</v>
      </c>
    </row>
    <row r="24" spans="1:17" ht="14.4" hidden="1" customHeight="1" outlineLevel="1" x14ac:dyDescent="0.3">
      <c r="A24" s="479" t="s">
        <v>156</v>
      </c>
      <c r="B24" s="105">
        <v>0</v>
      </c>
      <c r="C24" s="98">
        <v>0</v>
      </c>
      <c r="D24" s="98">
        <v>12.648</v>
      </c>
      <c r="E24" s="464" t="str">
        <f t="shared" si="12"/>
        <v/>
      </c>
      <c r="F24" s="117" t="str">
        <f t="shared" si="13"/>
        <v/>
      </c>
      <c r="G24" s="105">
        <v>0</v>
      </c>
      <c r="H24" s="98">
        <v>0</v>
      </c>
      <c r="I24" s="98">
        <v>1</v>
      </c>
      <c r="J24" s="464" t="str">
        <f t="shared" si="14"/>
        <v/>
      </c>
      <c r="K24" s="119" t="str">
        <f t="shared" si="15"/>
        <v/>
      </c>
      <c r="L24" s="562">
        <v>1.0147199999999998</v>
      </c>
      <c r="M24" s="563"/>
      <c r="N24" s="132">
        <f t="shared" si="8"/>
        <v>12.648</v>
      </c>
      <c r="O24" s="133">
        <f t="shared" si="9"/>
        <v>1</v>
      </c>
      <c r="P24" s="132">
        <f t="shared" si="10"/>
        <v>12.648</v>
      </c>
      <c r="Q24" s="133">
        <f t="shared" si="11"/>
        <v>1</v>
      </c>
    </row>
    <row r="25" spans="1:17" ht="14.4" hidden="1" customHeight="1" outlineLevel="1" thickBot="1" x14ac:dyDescent="0.35">
      <c r="A25" s="480" t="s">
        <v>184</v>
      </c>
      <c r="B25" s="222">
        <v>0</v>
      </c>
      <c r="C25" s="223">
        <v>0</v>
      </c>
      <c r="D25" s="223">
        <v>0</v>
      </c>
      <c r="E25" s="465" t="str">
        <f t="shared" si="12"/>
        <v/>
      </c>
      <c r="F25" s="224" t="str">
        <f t="shared" si="13"/>
        <v/>
      </c>
      <c r="G25" s="222">
        <v>0</v>
      </c>
      <c r="H25" s="223">
        <v>0</v>
      </c>
      <c r="I25" s="223">
        <v>0</v>
      </c>
      <c r="J25" s="465" t="str">
        <f t="shared" si="14"/>
        <v/>
      </c>
      <c r="K25" s="226" t="str">
        <f t="shared" si="15"/>
        <v/>
      </c>
      <c r="L25" s="333"/>
      <c r="M25" s="334"/>
      <c r="N25" s="229">
        <f t="shared" si="8"/>
        <v>0</v>
      </c>
      <c r="O25" s="230">
        <f t="shared" si="9"/>
        <v>0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83" t="s">
        <v>3</v>
      </c>
      <c r="B26" s="134">
        <f>SUM(B18:B25)</f>
        <v>20.312000000000001</v>
      </c>
      <c r="C26" s="135">
        <f>SUM(C18:C25)</f>
        <v>88.480999999999995</v>
      </c>
      <c r="D26" s="135">
        <f>SUM(D18:D25)</f>
        <v>53.128</v>
      </c>
      <c r="E26" s="460">
        <f>IF(OR(D26=0,B26=0),0,D26/B26)</f>
        <v>2.6155966916108704</v>
      </c>
      <c r="F26" s="136">
        <f>IF(OR(D26=0,C26=0),0,D26/C26)</f>
        <v>0.60044529333981311</v>
      </c>
      <c r="G26" s="134">
        <f>SUM(G18:G25)</f>
        <v>8</v>
      </c>
      <c r="H26" s="135">
        <f>SUM(H18:H25)</f>
        <v>15</v>
      </c>
      <c r="I26" s="135">
        <f>SUM(I18:I25)</f>
        <v>12</v>
      </c>
      <c r="J26" s="460">
        <f>IF(OR(I26=0,G26=0),0,I26/G26)</f>
        <v>1.5</v>
      </c>
      <c r="K26" s="137">
        <f>IF(OR(I26=0,H26=0),0,I26/H26)</f>
        <v>0.8</v>
      </c>
      <c r="L26" s="106"/>
      <c r="M26" s="106"/>
      <c r="N26" s="128">
        <f t="shared" si="8"/>
        <v>-35.352999999999994</v>
      </c>
      <c r="O26" s="138">
        <f t="shared" si="9"/>
        <v>-3</v>
      </c>
      <c r="P26" s="128">
        <f t="shared" si="10"/>
        <v>32.816000000000003</v>
      </c>
      <c r="Q26" s="138">
        <f t="shared" si="11"/>
        <v>4</v>
      </c>
    </row>
    <row r="27" spans="1:17" ht="14.4" customHeight="1" x14ac:dyDescent="0.3">
      <c r="A27" s="139"/>
      <c r="B27" s="566" t="s">
        <v>182</v>
      </c>
      <c r="C27" s="575"/>
      <c r="D27" s="575"/>
      <c r="E27" s="576"/>
      <c r="F27" s="575"/>
      <c r="G27" s="566" t="s">
        <v>183</v>
      </c>
      <c r="H27" s="575"/>
      <c r="I27" s="575"/>
      <c r="J27" s="576"/>
      <c r="K27" s="575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583" t="s">
        <v>305</v>
      </c>
      <c r="B29" s="585" t="s">
        <v>58</v>
      </c>
      <c r="C29" s="586"/>
      <c r="D29" s="586"/>
      <c r="E29" s="587"/>
      <c r="F29" s="588"/>
      <c r="G29" s="586" t="s">
        <v>254</v>
      </c>
      <c r="H29" s="586"/>
      <c r="I29" s="586"/>
      <c r="J29" s="587"/>
      <c r="K29" s="588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584"/>
      <c r="B30" s="142">
        <v>2015</v>
      </c>
      <c r="C30" s="143">
        <v>2016</v>
      </c>
      <c r="D30" s="143">
        <v>2017</v>
      </c>
      <c r="E30" s="143" t="s">
        <v>303</v>
      </c>
      <c r="F30" s="144" t="s">
        <v>2</v>
      </c>
      <c r="G30" s="143">
        <v>2015</v>
      </c>
      <c r="H30" s="143">
        <v>2016</v>
      </c>
      <c r="I30" s="143">
        <v>2017</v>
      </c>
      <c r="J30" s="143" t="s">
        <v>303</v>
      </c>
      <c r="K30" s="144" t="s">
        <v>2</v>
      </c>
      <c r="L30" s="140"/>
      <c r="M30" s="140"/>
      <c r="N30" s="145" t="s">
        <v>59</v>
      </c>
      <c r="O30" s="146" t="s">
        <v>60</v>
      </c>
      <c r="P30" s="145" t="s">
        <v>312</v>
      </c>
      <c r="Q30" s="146" t="s">
        <v>313</v>
      </c>
    </row>
    <row r="31" spans="1:17" ht="14.4" hidden="1" customHeight="1" outlineLevel="1" x14ac:dyDescent="0.3">
      <c r="A31" s="478" t="s">
        <v>150</v>
      </c>
      <c r="B31" s="104">
        <v>0</v>
      </c>
      <c r="C31" s="99">
        <v>0</v>
      </c>
      <c r="D31" s="99">
        <v>0</v>
      </c>
      <c r="E31" s="463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0</v>
      </c>
      <c r="J31" s="463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0</v>
      </c>
      <c r="O31" s="131">
        <f t="shared" ref="O31:O39" si="17">I31-H31</f>
        <v>0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" hidden="1" customHeight="1" outlineLevel="1" x14ac:dyDescent="0.3">
      <c r="A32" s="479" t="s">
        <v>151</v>
      </c>
      <c r="B32" s="105">
        <v>0</v>
      </c>
      <c r="C32" s="98">
        <v>0</v>
      </c>
      <c r="D32" s="98">
        <v>0</v>
      </c>
      <c r="E32" s="464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464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79" t="s">
        <v>152</v>
      </c>
      <c r="B33" s="105">
        <v>0</v>
      </c>
      <c r="C33" s="98">
        <v>0</v>
      </c>
      <c r="D33" s="98">
        <v>0</v>
      </c>
      <c r="E33" s="464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464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79" t="s">
        <v>153</v>
      </c>
      <c r="B34" s="105">
        <v>0</v>
      </c>
      <c r="C34" s="98">
        <v>0</v>
      </c>
      <c r="D34" s="98">
        <v>0</v>
      </c>
      <c r="E34" s="464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464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79" t="s">
        <v>154</v>
      </c>
      <c r="B35" s="105">
        <v>0</v>
      </c>
      <c r="C35" s="98">
        <v>0</v>
      </c>
      <c r="D35" s="98">
        <v>0</v>
      </c>
      <c r="E35" s="464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464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79" t="s">
        <v>155</v>
      </c>
      <c r="B36" s="105">
        <v>0</v>
      </c>
      <c r="C36" s="98">
        <v>0</v>
      </c>
      <c r="D36" s="98">
        <v>0</v>
      </c>
      <c r="E36" s="464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464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79" t="s">
        <v>156</v>
      </c>
      <c r="B37" s="105">
        <v>0</v>
      </c>
      <c r="C37" s="98">
        <v>0</v>
      </c>
      <c r="D37" s="98">
        <v>0</v>
      </c>
      <c r="E37" s="464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464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80" t="s">
        <v>184</v>
      </c>
      <c r="B38" s="222">
        <v>0</v>
      </c>
      <c r="C38" s="223">
        <v>0</v>
      </c>
      <c r="D38" s="223">
        <v>0</v>
      </c>
      <c r="E38" s="465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65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82" t="s">
        <v>3</v>
      </c>
      <c r="B39" s="103">
        <f>SUM(B31:B38)</f>
        <v>0</v>
      </c>
      <c r="C39" s="147">
        <f>SUM(C31:C38)</f>
        <v>0</v>
      </c>
      <c r="D39" s="147">
        <f>SUM(D31:D38)</f>
        <v>0</v>
      </c>
      <c r="E39" s="461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0</v>
      </c>
      <c r="J39" s="461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0</v>
      </c>
      <c r="O39" s="151">
        <f t="shared" si="17"/>
        <v>0</v>
      </c>
      <c r="P39" s="145">
        <f t="shared" si="18"/>
        <v>0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77" t="s">
        <v>306</v>
      </c>
      <c r="B42" s="579" t="s">
        <v>58</v>
      </c>
      <c r="C42" s="580"/>
      <c r="D42" s="580"/>
      <c r="E42" s="581"/>
      <c r="F42" s="582"/>
      <c r="G42" s="580" t="s">
        <v>254</v>
      </c>
      <c r="H42" s="580"/>
      <c r="I42" s="580"/>
      <c r="J42" s="581"/>
      <c r="K42" s="582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78"/>
      <c r="B43" s="446">
        <v>2015</v>
      </c>
      <c r="C43" s="447">
        <v>2016</v>
      </c>
      <c r="D43" s="447">
        <v>2017</v>
      </c>
      <c r="E43" s="447" t="s">
        <v>303</v>
      </c>
      <c r="F43" s="448" t="s">
        <v>2</v>
      </c>
      <c r="G43" s="447">
        <v>2015</v>
      </c>
      <c r="H43" s="447">
        <v>2016</v>
      </c>
      <c r="I43" s="447">
        <v>2017</v>
      </c>
      <c r="J43" s="447" t="s">
        <v>303</v>
      </c>
      <c r="K43" s="448" t="s">
        <v>2</v>
      </c>
      <c r="L43" s="140"/>
      <c r="M43" s="140"/>
      <c r="N43" s="454" t="s">
        <v>59</v>
      </c>
      <c r="O43" s="456" t="s">
        <v>60</v>
      </c>
      <c r="P43" s="454" t="s">
        <v>312</v>
      </c>
      <c r="Q43" s="456" t="s">
        <v>313</v>
      </c>
    </row>
    <row r="44" spans="1:17" ht="14.4" hidden="1" customHeight="1" outlineLevel="1" x14ac:dyDescent="0.3">
      <c r="A44" s="478" t="s">
        <v>150</v>
      </c>
      <c r="B44" s="104">
        <v>0</v>
      </c>
      <c r="C44" s="99">
        <v>0</v>
      </c>
      <c r="D44" s="99">
        <v>0</v>
      </c>
      <c r="E44" s="463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463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79" t="s">
        <v>151</v>
      </c>
      <c r="B45" s="105">
        <v>0</v>
      </c>
      <c r="C45" s="98">
        <v>0</v>
      </c>
      <c r="D45" s="98">
        <v>0</v>
      </c>
      <c r="E45" s="464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464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79" t="s">
        <v>152</v>
      </c>
      <c r="B46" s="105">
        <v>0</v>
      </c>
      <c r="C46" s="98">
        <v>0</v>
      </c>
      <c r="D46" s="98">
        <v>0</v>
      </c>
      <c r="E46" s="464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464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79" t="s">
        <v>153</v>
      </c>
      <c r="B47" s="105">
        <v>0</v>
      </c>
      <c r="C47" s="98">
        <v>0</v>
      </c>
      <c r="D47" s="98">
        <v>0</v>
      </c>
      <c r="E47" s="464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464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79" t="s">
        <v>154</v>
      </c>
      <c r="B48" s="105">
        <v>0</v>
      </c>
      <c r="C48" s="98">
        <v>0</v>
      </c>
      <c r="D48" s="98">
        <v>0</v>
      </c>
      <c r="E48" s="464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464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79" t="s">
        <v>155</v>
      </c>
      <c r="B49" s="105">
        <v>0</v>
      </c>
      <c r="C49" s="98">
        <v>0</v>
      </c>
      <c r="D49" s="98">
        <v>0</v>
      </c>
      <c r="E49" s="464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464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79" t="s">
        <v>156</v>
      </c>
      <c r="B50" s="105">
        <v>0</v>
      </c>
      <c r="C50" s="98">
        <v>0</v>
      </c>
      <c r="D50" s="98">
        <v>0</v>
      </c>
      <c r="E50" s="464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464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80" t="s">
        <v>184</v>
      </c>
      <c r="B51" s="222">
        <v>0</v>
      </c>
      <c r="C51" s="223">
        <v>0</v>
      </c>
      <c r="D51" s="223">
        <v>0</v>
      </c>
      <c r="E51" s="465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65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81" t="s">
        <v>3</v>
      </c>
      <c r="B52" s="449">
        <f>SUM(B44:B51)</f>
        <v>0</v>
      </c>
      <c r="C52" s="450">
        <f>SUM(C44:C51)</f>
        <v>0</v>
      </c>
      <c r="D52" s="450">
        <f>SUM(D44:D51)</f>
        <v>0</v>
      </c>
      <c r="E52" s="462">
        <f>IF(OR(D52=0,B52=0),0,D52/B52)</f>
        <v>0</v>
      </c>
      <c r="F52" s="451">
        <f>IF(OR(D52=0,C52=0),0,D52/C52)</f>
        <v>0</v>
      </c>
      <c r="G52" s="452">
        <f>SUM(G44:G51)</f>
        <v>0</v>
      </c>
      <c r="H52" s="450">
        <f>SUM(H44:H51)</f>
        <v>0</v>
      </c>
      <c r="I52" s="450">
        <f>SUM(I44:I51)</f>
        <v>0</v>
      </c>
      <c r="J52" s="462">
        <f>IF(OR(I52=0,G52=0),0,I52/G52)</f>
        <v>0</v>
      </c>
      <c r="K52" s="453">
        <f>IF(OR(I52=0,H52=0),0,I52/H52)</f>
        <v>0</v>
      </c>
      <c r="L52" s="140"/>
      <c r="M52" s="140"/>
      <c r="N52" s="454">
        <f t="shared" si="24"/>
        <v>0</v>
      </c>
      <c r="O52" s="455">
        <f t="shared" si="25"/>
        <v>0</v>
      </c>
      <c r="P52" s="454">
        <f t="shared" si="26"/>
        <v>0</v>
      </c>
      <c r="Q52" s="455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302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419" t="s">
        <v>298</v>
      </c>
    </row>
    <row r="56" spans="1:17" ht="14.4" customHeight="1" x14ac:dyDescent="0.25">
      <c r="A56" s="420" t="s">
        <v>299</v>
      </c>
    </row>
    <row r="57" spans="1:17" ht="14.4" customHeight="1" x14ac:dyDescent="0.25">
      <c r="A57" s="419" t="s">
        <v>300</v>
      </c>
    </row>
    <row r="58" spans="1:17" ht="14.4" customHeight="1" x14ac:dyDescent="0.25">
      <c r="A58" s="420" t="s">
        <v>307</v>
      </c>
    </row>
    <row r="59" spans="1:17" ht="14.4" customHeight="1" x14ac:dyDescent="0.25">
      <c r="A59" s="420" t="s">
        <v>308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8" priority="22" stopIfTrue="1" operator="lessThan">
      <formula>1</formula>
    </cfRule>
  </conditionalFormatting>
  <conditionalFormatting sqref="J18:K26">
    <cfRule type="cellIs" dxfId="17" priority="21" stopIfTrue="1" operator="lessThan">
      <formula>0.95</formula>
    </cfRule>
  </conditionalFormatting>
  <conditionalFormatting sqref="N5:O13 N18:O26 N31:O39 N44:O52">
    <cfRule type="cellIs" dxfId="16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5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9" t="s">
        <v>102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</row>
    <row r="2" spans="1:13" ht="14.4" customHeight="1" x14ac:dyDescent="0.3">
      <c r="A2" s="351" t="s">
        <v>322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591" t="s">
        <v>70</v>
      </c>
      <c r="C31" s="592"/>
      <c r="D31" s="592"/>
      <c r="E31" s="593"/>
      <c r="F31" s="152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73</v>
      </c>
      <c r="C32" s="154" t="s">
        <v>74</v>
      </c>
      <c r="D32" s="154" t="s">
        <v>75</v>
      </c>
      <c r="E32" s="155" t="s">
        <v>2</v>
      </c>
      <c r="F32" s="156" t="s">
        <v>76</v>
      </c>
      <c r="G32" s="341"/>
      <c r="H32" s="34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57" t="s">
        <v>90</v>
      </c>
      <c r="B33" s="184">
        <v>73</v>
      </c>
      <c r="C33" s="184">
        <v>53</v>
      </c>
      <c r="D33" s="75">
        <f>IF(C33="","",C33-B33)</f>
        <v>-20</v>
      </c>
      <c r="E33" s="76">
        <f>IF(C33="","",C33/B33)</f>
        <v>0.72602739726027399</v>
      </c>
      <c r="F33" s="77">
        <v>3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91</v>
      </c>
      <c r="B34" s="185">
        <v>132</v>
      </c>
      <c r="C34" s="185">
        <v>96</v>
      </c>
      <c r="D34" s="78">
        <f t="shared" ref="D34:D45" si="0">IF(C34="","",C34-B34)</f>
        <v>-36</v>
      </c>
      <c r="E34" s="79">
        <f t="shared" ref="E34:E45" si="1">IF(C34="","",C34/B34)</f>
        <v>0.72727272727272729</v>
      </c>
      <c r="F34" s="80">
        <v>3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92</v>
      </c>
      <c r="B35" s="185"/>
      <c r="C35" s="185"/>
      <c r="D35" s="78" t="str">
        <f t="shared" si="0"/>
        <v/>
      </c>
      <c r="E35" s="79" t="str">
        <f t="shared" si="1"/>
        <v/>
      </c>
      <c r="F35" s="80"/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93</v>
      </c>
      <c r="B36" s="185"/>
      <c r="C36" s="185"/>
      <c r="D36" s="78" t="str">
        <f t="shared" si="0"/>
        <v/>
      </c>
      <c r="E36" s="79" t="str">
        <f t="shared" si="1"/>
        <v/>
      </c>
      <c r="F36" s="80"/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94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95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96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97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98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99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100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101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104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8" t="s">
        <v>136</v>
      </c>
      <c r="B1" s="488"/>
      <c r="C1" s="489"/>
      <c r="D1" s="489"/>
      <c r="E1" s="489"/>
    </row>
    <row r="2" spans="1:5" ht="14.4" customHeight="1" thickBot="1" x14ac:dyDescent="0.35">
      <c r="A2" s="351" t="s">
        <v>322</v>
      </c>
      <c r="B2" s="253"/>
    </row>
    <row r="3" spans="1:5" ht="14.4" customHeight="1" thickBot="1" x14ac:dyDescent="0.35">
      <c r="A3" s="256"/>
      <c r="C3" s="257" t="s">
        <v>118</v>
      </c>
      <c r="D3" s="258" t="s">
        <v>81</v>
      </c>
      <c r="E3" s="259" t="s">
        <v>83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11860.102218013568</v>
      </c>
      <c r="D4" s="262">
        <f ca="1">IF(ISERROR(VLOOKUP("Náklady celkem",INDIRECT("HI!$A:$G"),5,0)),0,VLOOKUP("Náklady celkem",INDIRECT("HI!$A:$G"),5,0))</f>
        <v>11867.43332</v>
      </c>
      <c r="E4" s="263">
        <f ca="1">IF(C4=0,0,D4/C4)</f>
        <v>1.0006181314335805</v>
      </c>
    </row>
    <row r="5" spans="1:5" ht="14.4" customHeight="1" x14ac:dyDescent="0.3">
      <c r="A5" s="264" t="s">
        <v>169</v>
      </c>
      <c r="B5" s="265"/>
      <c r="C5" s="266"/>
      <c r="D5" s="266"/>
      <c r="E5" s="267"/>
    </row>
    <row r="6" spans="1:5" ht="14.4" customHeight="1" x14ac:dyDescent="0.3">
      <c r="A6" s="268" t="s">
        <v>174</v>
      </c>
      <c r="B6" s="269"/>
      <c r="C6" s="270"/>
      <c r="D6" s="270"/>
      <c r="E6" s="267"/>
    </row>
    <row r="7" spans="1:5" ht="14.4" customHeight="1" x14ac:dyDescent="0.3">
      <c r="A7" s="4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123</v>
      </c>
      <c r="C7" s="270">
        <f>IF(ISERROR(HI!F5),"",HI!F5)</f>
        <v>1908.6787925371666</v>
      </c>
      <c r="D7" s="270">
        <f>IF(ISERROR(HI!E5),"",HI!E5)</f>
        <v>2409.2264399999999</v>
      </c>
      <c r="E7" s="267">
        <f t="shared" ref="E7:E13" si="0">IF(C7=0,0,D7/C7)</f>
        <v>1.2622482365393004</v>
      </c>
    </row>
    <row r="8" spans="1:5" ht="14.4" customHeight="1" x14ac:dyDescent="0.3">
      <c r="A8" s="435" t="str">
        <f>HYPERLINK("#'LŽ PL'!A1","Plnění pozitivního listu (min. 90%)")</f>
        <v>Plnění pozitivního listu (min. 90%)</v>
      </c>
      <c r="B8" s="269" t="s">
        <v>167</v>
      </c>
      <c r="C8" s="271">
        <v>0.9</v>
      </c>
      <c r="D8" s="271">
        <f>IF(ISERROR(VLOOKUP("celkem",'LŽ PL'!$A:$F,5,0)),0,VLOOKUP("celkem",'LŽ PL'!$A:$F,5,0))</f>
        <v>0.99248897605232134</v>
      </c>
      <c r="E8" s="267">
        <f t="shared" si="0"/>
        <v>1.1027655289470237</v>
      </c>
    </row>
    <row r="9" spans="1:5" ht="14.4" customHeight="1" x14ac:dyDescent="0.3">
      <c r="A9" s="435" t="str">
        <f>HYPERLINK("#'LŽ Statim'!A1","Podíl statimových žádanek (max. 30%)")</f>
        <v>Podíl statimových žádanek (max. 30%)</v>
      </c>
      <c r="B9" s="433" t="s">
        <v>265</v>
      </c>
      <c r="C9" s="434">
        <v>0.3</v>
      </c>
      <c r="D9" s="434">
        <f>IF('LŽ Statim'!G3="",0,'LŽ Statim'!G3)</f>
        <v>0.17994310099573257</v>
      </c>
      <c r="E9" s="267">
        <f>IF(C9=0,0,D9/C9)</f>
        <v>0.59981033665244199</v>
      </c>
    </row>
    <row r="10" spans="1:5" ht="14.4" customHeight="1" x14ac:dyDescent="0.3">
      <c r="A10" s="272" t="s">
        <v>170</v>
      </c>
      <c r="B10" s="269"/>
      <c r="C10" s="270"/>
      <c r="D10" s="270"/>
      <c r="E10" s="267"/>
    </row>
    <row r="11" spans="1:5" ht="14.4" customHeight="1" x14ac:dyDescent="0.3">
      <c r="A11" s="272" t="s">
        <v>171</v>
      </c>
      <c r="B11" s="269"/>
      <c r="C11" s="270"/>
      <c r="D11" s="270"/>
      <c r="E11" s="267"/>
    </row>
    <row r="12" spans="1:5" ht="14.4" customHeight="1" x14ac:dyDescent="0.3">
      <c r="A12" s="273" t="s">
        <v>175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123</v>
      </c>
      <c r="C13" s="270">
        <f>IF(ISERROR(HI!F6),"",HI!F6)</f>
        <v>782.95498513486837</v>
      </c>
      <c r="D13" s="270">
        <f>IF(ISERROR(HI!E6),"",HI!E6)</f>
        <v>835.42597000000001</v>
      </c>
      <c r="E13" s="267">
        <f t="shared" si="0"/>
        <v>1.0670166048640628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7321.833333333333</v>
      </c>
      <c r="D14" s="266">
        <f ca="1">IF(ISERROR(VLOOKUP("Osobní náklady (Kč) *",INDIRECT("HI!$A:$G"),5,0)),0,VLOOKUP("Osobní náklady (Kč) *",INDIRECT("HI!$A:$G"),5,0))</f>
        <v>7176.3363200000003</v>
      </c>
      <c r="E14" s="267">
        <f ca="1">IF(C14=0,0,D14/C14)</f>
        <v>0.98012833579932179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2654.43</v>
      </c>
      <c r="D16" s="285">
        <f ca="1">IF(ISERROR(VLOOKUP("Výnosy celkem",INDIRECT("HI!$A:$G"),5,0)),0,VLOOKUP("Výnosy celkem",INDIRECT("HI!$A:$G"),5,0))</f>
        <v>1593.84</v>
      </c>
      <c r="E16" s="286">
        <f t="shared" ref="E16:E26" ca="1" si="1">IF(C16=0,0,D16/C16)</f>
        <v>0.60044529333981311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69" t="s">
        <v>138</v>
      </c>
      <c r="C18" s="271">
        <v>0.85</v>
      </c>
      <c r="D18" s="271">
        <f>IF(ISERROR(VLOOKUP("Celkem:",'ZV Vykáz.-H'!$A:$S,7,0)),"",VLOOKUP("Celkem:",'ZV Vykáz.-H'!$A:$S,7,0))</f>
        <v>1.1507283822375858</v>
      </c>
      <c r="E18" s="267">
        <f t="shared" si="1"/>
        <v>1.3537980967501009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2654.43</v>
      </c>
      <c r="D19" s="266">
        <f ca="1">IF(ISERROR(VLOOKUP("Hospitalizace *",INDIRECT("HI!$A:$G"),5,0)),0,VLOOKUP("Hospitalizace *",INDIRECT("HI!$A:$G"),5,0))</f>
        <v>1593.84</v>
      </c>
      <c r="E19" s="267">
        <f ca="1">IF(C19=0,0,D19/C19)</f>
        <v>0.60044529333981311</v>
      </c>
    </row>
    <row r="20" spans="1:5" ht="14.4" customHeight="1" x14ac:dyDescent="0.3">
      <c r="A20" s="468" t="str">
        <f>HYPERLINK("#'CaseMix'!A1","Casemix (min. 100 % 2016)")</f>
        <v>Casemix (min. 100 % 2016)</v>
      </c>
      <c r="B20" s="269" t="s">
        <v>58</v>
      </c>
      <c r="C20" s="271">
        <v>1</v>
      </c>
      <c r="D20" s="271">
        <f>IF(ISERROR(VLOOKUP("Celkem",CaseMix!A:O,6,0)),0,VLOOKUP("Celkem",CaseMix!A:O,6,0))</f>
        <v>0.60044529333981311</v>
      </c>
      <c r="E20" s="267">
        <f t="shared" si="1"/>
        <v>0.60044529333981311</v>
      </c>
    </row>
    <row r="21" spans="1:5" ht="14.4" customHeight="1" x14ac:dyDescent="0.3">
      <c r="A21" s="467" t="str">
        <f>HYPERLINK("#'CaseMix'!A1","DRG - Úhrada formou případového paušálu")</f>
        <v>DRG - Úhrada formou případového paušálu</v>
      </c>
      <c r="B21" s="269" t="s">
        <v>58</v>
      </c>
      <c r="C21" s="271">
        <v>1</v>
      </c>
      <c r="D21" s="271">
        <f>IF(ISERROR(CaseMix!F26),"",CaseMix!F26)</f>
        <v>0.60044529333981311</v>
      </c>
      <c r="E21" s="267">
        <f t="shared" si="1"/>
        <v>0.60044529333981311</v>
      </c>
    </row>
    <row r="22" spans="1:5" ht="14.4" customHeight="1" x14ac:dyDescent="0.3">
      <c r="A22" s="467" t="str">
        <f>HYPERLINK("#'CaseMix'!A1","DRG - Individuálně smluvně sjednaná složka úhrady")</f>
        <v>DRG - Individuálně smluvně sjednaná složka úhrady</v>
      </c>
      <c r="B22" s="269" t="s">
        <v>58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66" t="str">
        <f>HYPERLINK("#'CaseMix'!A1","DRG - Úhrada vyčleněná z úhrady formou případového paušálu")</f>
        <v>DRG - Úhrada vyčleněná z úhrady formou případového paušálu</v>
      </c>
      <c r="B23" s="269" t="s">
        <v>58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58</v>
      </c>
      <c r="C24" s="271">
        <v>0.95</v>
      </c>
      <c r="D24" s="271">
        <f>IF(ISERROR(CaseMix!K13),"",CaseMix!K13)</f>
        <v>0.8</v>
      </c>
      <c r="E24" s="267">
        <f t="shared" si="1"/>
        <v>0.8421052631578948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73</v>
      </c>
      <c r="C25" s="271">
        <v>1</v>
      </c>
      <c r="D25" s="290">
        <f>IF(ISERROR(INDEX(ALOS!$E:$E,COUNT(ALOS!$E:$E)+32)),0,INDEX(ALOS!$E:$E,COUNT(ALOS!$E:$E)+32))</f>
        <v>0.72727272727272729</v>
      </c>
      <c r="E25" s="267">
        <f t="shared" si="1"/>
        <v>0.72727272727272729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135</v>
      </c>
      <c r="C26" s="271">
        <f>IF(E20&gt;1,95%,95%-2*ABS(C20-D20))</f>
        <v>0.15089058667962618</v>
      </c>
      <c r="D26" s="271">
        <f>IF(ISERROR(VLOOKUP("Celkem:",'ZV Vyžád.'!$A:$M,7,0)),"",VLOOKUP("Celkem:",'ZV Vyžád.'!$A:$M,7,0))</f>
        <v>1.1344914076577723</v>
      </c>
      <c r="E26" s="267">
        <f t="shared" si="1"/>
        <v>7.5186360701648436</v>
      </c>
    </row>
    <row r="27" spans="1:5" ht="14.4" customHeight="1" thickBot="1" x14ac:dyDescent="0.35">
      <c r="A27" s="292" t="s">
        <v>172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173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9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6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19">
    <cfRule type="cellIs" dxfId="7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74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73" priority="22" operator="lessThan">
      <formula>1</formula>
    </cfRule>
    <cfRule type="iconSet" priority="23">
      <iconSet iconSet="3Symbols2">
        <cfvo type="percent" val="0"/>
        <cfvo type="num" val="1"/>
        <cfvo type="num" val="1"/>
      </iconSet>
    </cfRule>
  </conditionalFormatting>
  <conditionalFormatting sqref="E9">
    <cfRule type="cellIs" dxfId="7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2">
      <iconSet iconSet="3Symbols2">
        <cfvo type="percent" val="0"/>
        <cfvo type="num" val="1"/>
        <cfvo type="num" val="1"/>
      </iconSet>
    </cfRule>
  </conditionalFormatting>
  <conditionalFormatting sqref="E23">
    <cfRule type="cellIs" dxfId="71" priority="1" operator="lessThan">
      <formula>1</formula>
    </cfRule>
  </conditionalFormatting>
  <conditionalFormatting sqref="E25:E26 E4 E7 E13 E18">
    <cfRule type="cellIs" dxfId="70" priority="25" operator="greaterThan">
      <formula>1</formula>
    </cfRule>
    <cfRule type="iconSet" priority="2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3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197" customWidth="1"/>
    <col min="20" max="20" width="9.6640625" style="197" customWidth="1"/>
    <col min="21" max="21" width="7.6640625" style="197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294" customFormat="1" ht="18.600000000000001" customHeight="1" thickBot="1" x14ac:dyDescent="0.4">
      <c r="A1" s="543" t="s">
        <v>2391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</row>
    <row r="2" spans="1:23" ht="14.4" customHeight="1" thickBot="1" x14ac:dyDescent="0.35">
      <c r="A2" s="351" t="s">
        <v>322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5"/>
      <c r="T2" s="345"/>
      <c r="U2" s="345"/>
      <c r="V2" s="344"/>
      <c r="W2" s="346"/>
    </row>
    <row r="3" spans="1:23" s="85" customFormat="1" ht="14.4" customHeight="1" x14ac:dyDescent="0.3">
      <c r="A3" s="600" t="s">
        <v>62</v>
      </c>
      <c r="B3" s="601">
        <v>2015</v>
      </c>
      <c r="C3" s="602"/>
      <c r="D3" s="603"/>
      <c r="E3" s="601">
        <v>2016</v>
      </c>
      <c r="F3" s="602"/>
      <c r="G3" s="603"/>
      <c r="H3" s="601">
        <v>2017</v>
      </c>
      <c r="I3" s="602"/>
      <c r="J3" s="603"/>
      <c r="K3" s="604" t="s">
        <v>63</v>
      </c>
      <c r="L3" s="596" t="s">
        <v>64</v>
      </c>
      <c r="M3" s="596" t="s">
        <v>65</v>
      </c>
      <c r="N3" s="596" t="s">
        <v>66</v>
      </c>
      <c r="O3" s="245" t="s">
        <v>67</v>
      </c>
      <c r="P3" s="597" t="s">
        <v>68</v>
      </c>
      <c r="Q3" s="598" t="s">
        <v>69</v>
      </c>
      <c r="R3" s="599"/>
      <c r="S3" s="594" t="s">
        <v>70</v>
      </c>
      <c r="T3" s="595"/>
      <c r="U3" s="595"/>
      <c r="V3" s="595"/>
      <c r="W3" s="198" t="s">
        <v>70</v>
      </c>
    </row>
    <row r="4" spans="1:23" s="86" customFormat="1" ht="14.4" customHeight="1" thickBot="1" x14ac:dyDescent="0.35">
      <c r="A4" s="784"/>
      <c r="B4" s="785" t="s">
        <v>71</v>
      </c>
      <c r="C4" s="786" t="s">
        <v>59</v>
      </c>
      <c r="D4" s="787" t="s">
        <v>72</v>
      </c>
      <c r="E4" s="785" t="s">
        <v>71</v>
      </c>
      <c r="F4" s="786" t="s">
        <v>59</v>
      </c>
      <c r="G4" s="787" t="s">
        <v>72</v>
      </c>
      <c r="H4" s="785" t="s">
        <v>71</v>
      </c>
      <c r="I4" s="786" t="s">
        <v>59</v>
      </c>
      <c r="J4" s="787" t="s">
        <v>72</v>
      </c>
      <c r="K4" s="788"/>
      <c r="L4" s="789"/>
      <c r="M4" s="789"/>
      <c r="N4" s="789"/>
      <c r="O4" s="790"/>
      <c r="P4" s="791"/>
      <c r="Q4" s="792" t="s">
        <v>60</v>
      </c>
      <c r="R4" s="793" t="s">
        <v>59</v>
      </c>
      <c r="S4" s="794" t="s">
        <v>73</v>
      </c>
      <c r="T4" s="795" t="s">
        <v>74</v>
      </c>
      <c r="U4" s="795" t="s">
        <v>75</v>
      </c>
      <c r="V4" s="796" t="s">
        <v>2</v>
      </c>
      <c r="W4" s="797" t="s">
        <v>76</v>
      </c>
    </row>
    <row r="5" spans="1:23" ht="14.4" customHeight="1" x14ac:dyDescent="0.3">
      <c r="A5" s="824" t="s">
        <v>2333</v>
      </c>
      <c r="B5" s="369"/>
      <c r="C5" s="798"/>
      <c r="D5" s="799"/>
      <c r="E5" s="800">
        <v>1</v>
      </c>
      <c r="F5" s="801">
        <v>33.15</v>
      </c>
      <c r="G5" s="802">
        <v>31</v>
      </c>
      <c r="H5" s="803"/>
      <c r="I5" s="804"/>
      <c r="J5" s="805"/>
      <c r="K5" s="806">
        <v>33.15</v>
      </c>
      <c r="L5" s="803">
        <v>22</v>
      </c>
      <c r="M5" s="803">
        <v>135</v>
      </c>
      <c r="N5" s="807">
        <v>45</v>
      </c>
      <c r="O5" s="803" t="s">
        <v>2334</v>
      </c>
      <c r="P5" s="808" t="s">
        <v>2335</v>
      </c>
      <c r="Q5" s="809">
        <f>H5-B5</f>
        <v>0</v>
      </c>
      <c r="R5" s="809">
        <f>I5-C5</f>
        <v>0</v>
      </c>
      <c r="S5" s="369" t="str">
        <f>IF(H5=0,"",H5*N5)</f>
        <v/>
      </c>
      <c r="T5" s="369" t="str">
        <f>IF(H5=0,"",H5*J5)</f>
        <v/>
      </c>
      <c r="U5" s="369" t="str">
        <f>IF(H5=0,"",T5-S5)</f>
        <v/>
      </c>
      <c r="V5" s="810" t="str">
        <f>IF(H5=0,"",T5/S5)</f>
        <v/>
      </c>
      <c r="W5" s="811"/>
    </row>
    <row r="6" spans="1:23" ht="14.4" customHeight="1" x14ac:dyDescent="0.3">
      <c r="A6" s="825" t="s">
        <v>2336</v>
      </c>
      <c r="B6" s="777"/>
      <c r="C6" s="778"/>
      <c r="D6" s="779"/>
      <c r="E6" s="782"/>
      <c r="F6" s="765"/>
      <c r="G6" s="766"/>
      <c r="H6" s="761">
        <v>1</v>
      </c>
      <c r="I6" s="762">
        <v>20.34</v>
      </c>
      <c r="J6" s="763">
        <v>17</v>
      </c>
      <c r="K6" s="767">
        <v>20.34</v>
      </c>
      <c r="L6" s="764">
        <v>11</v>
      </c>
      <c r="M6" s="764">
        <v>87</v>
      </c>
      <c r="N6" s="768">
        <v>29</v>
      </c>
      <c r="O6" s="764" t="s">
        <v>2334</v>
      </c>
      <c r="P6" s="780" t="s">
        <v>2337</v>
      </c>
      <c r="Q6" s="769">
        <f t="shared" ref="Q6:R33" si="0">H6-B6</f>
        <v>1</v>
      </c>
      <c r="R6" s="769">
        <f t="shared" si="0"/>
        <v>20.34</v>
      </c>
      <c r="S6" s="777">
        <f t="shared" ref="S6:S33" si="1">IF(H6=0,"",H6*N6)</f>
        <v>29</v>
      </c>
      <c r="T6" s="777">
        <f t="shared" ref="T6:T33" si="2">IF(H6=0,"",H6*J6)</f>
        <v>17</v>
      </c>
      <c r="U6" s="777">
        <f t="shared" ref="U6:U33" si="3">IF(H6=0,"",T6-S6)</f>
        <v>-12</v>
      </c>
      <c r="V6" s="781">
        <f t="shared" ref="V6:V33" si="4">IF(H6=0,"",T6/S6)</f>
        <v>0.58620689655172409</v>
      </c>
      <c r="W6" s="770"/>
    </row>
    <row r="7" spans="1:23" ht="14.4" customHeight="1" x14ac:dyDescent="0.3">
      <c r="A7" s="825" t="s">
        <v>2338</v>
      </c>
      <c r="B7" s="777"/>
      <c r="C7" s="778"/>
      <c r="D7" s="779"/>
      <c r="E7" s="761">
        <v>2</v>
      </c>
      <c r="F7" s="762">
        <v>27.01</v>
      </c>
      <c r="G7" s="763">
        <v>20.5</v>
      </c>
      <c r="H7" s="764">
        <v>1</v>
      </c>
      <c r="I7" s="765">
        <v>12.65</v>
      </c>
      <c r="J7" s="766">
        <v>7</v>
      </c>
      <c r="K7" s="767">
        <v>12.65</v>
      </c>
      <c r="L7" s="764">
        <v>5</v>
      </c>
      <c r="M7" s="764">
        <v>60</v>
      </c>
      <c r="N7" s="768">
        <v>20</v>
      </c>
      <c r="O7" s="764" t="s">
        <v>2334</v>
      </c>
      <c r="P7" s="780" t="s">
        <v>2339</v>
      </c>
      <c r="Q7" s="769">
        <f t="shared" si="0"/>
        <v>1</v>
      </c>
      <c r="R7" s="769">
        <f t="shared" si="0"/>
        <v>12.65</v>
      </c>
      <c r="S7" s="777">
        <f t="shared" si="1"/>
        <v>20</v>
      </c>
      <c r="T7" s="777">
        <f t="shared" si="2"/>
        <v>7</v>
      </c>
      <c r="U7" s="777">
        <f t="shared" si="3"/>
        <v>-13</v>
      </c>
      <c r="V7" s="781">
        <f t="shared" si="4"/>
        <v>0.35</v>
      </c>
      <c r="W7" s="770"/>
    </row>
    <row r="8" spans="1:23" ht="14.4" customHeight="1" x14ac:dyDescent="0.3">
      <c r="A8" s="825" t="s">
        <v>2340</v>
      </c>
      <c r="B8" s="771">
        <v>1</v>
      </c>
      <c r="C8" s="772">
        <v>2.0099999999999998</v>
      </c>
      <c r="D8" s="773">
        <v>2</v>
      </c>
      <c r="E8" s="782"/>
      <c r="F8" s="765"/>
      <c r="G8" s="766"/>
      <c r="H8" s="764"/>
      <c r="I8" s="765"/>
      <c r="J8" s="766"/>
      <c r="K8" s="767">
        <v>2.2200000000000002</v>
      </c>
      <c r="L8" s="764">
        <v>3</v>
      </c>
      <c r="M8" s="764">
        <v>30</v>
      </c>
      <c r="N8" s="768">
        <v>10</v>
      </c>
      <c r="O8" s="764" t="s">
        <v>2334</v>
      </c>
      <c r="P8" s="780" t="s">
        <v>2341</v>
      </c>
      <c r="Q8" s="769">
        <f t="shared" si="0"/>
        <v>-1</v>
      </c>
      <c r="R8" s="769">
        <f t="shared" si="0"/>
        <v>-2.0099999999999998</v>
      </c>
      <c r="S8" s="777" t="str">
        <f t="shared" si="1"/>
        <v/>
      </c>
      <c r="T8" s="777" t="str">
        <f t="shared" si="2"/>
        <v/>
      </c>
      <c r="U8" s="777" t="str">
        <f t="shared" si="3"/>
        <v/>
      </c>
      <c r="V8" s="781" t="str">
        <f t="shared" si="4"/>
        <v/>
      </c>
      <c r="W8" s="770"/>
    </row>
    <row r="9" spans="1:23" ht="14.4" customHeight="1" x14ac:dyDescent="0.3">
      <c r="A9" s="825" t="s">
        <v>2342</v>
      </c>
      <c r="B9" s="777"/>
      <c r="C9" s="778"/>
      <c r="D9" s="779"/>
      <c r="E9" s="761">
        <v>1</v>
      </c>
      <c r="F9" s="762">
        <v>2.2999999999999998</v>
      </c>
      <c r="G9" s="763">
        <v>36</v>
      </c>
      <c r="H9" s="764"/>
      <c r="I9" s="765"/>
      <c r="J9" s="766"/>
      <c r="K9" s="767">
        <v>1.0900000000000001</v>
      </c>
      <c r="L9" s="764">
        <v>3</v>
      </c>
      <c r="M9" s="764">
        <v>27</v>
      </c>
      <c r="N9" s="768">
        <v>9</v>
      </c>
      <c r="O9" s="764" t="s">
        <v>2334</v>
      </c>
      <c r="P9" s="780" t="s">
        <v>2343</v>
      </c>
      <c r="Q9" s="769">
        <f t="shared" si="0"/>
        <v>0</v>
      </c>
      <c r="R9" s="769">
        <f t="shared" si="0"/>
        <v>0</v>
      </c>
      <c r="S9" s="777" t="str">
        <f t="shared" si="1"/>
        <v/>
      </c>
      <c r="T9" s="777" t="str">
        <f t="shared" si="2"/>
        <v/>
      </c>
      <c r="U9" s="777" t="str">
        <f t="shared" si="3"/>
        <v/>
      </c>
      <c r="V9" s="781" t="str">
        <f t="shared" si="4"/>
        <v/>
      </c>
      <c r="W9" s="770"/>
    </row>
    <row r="10" spans="1:23" ht="14.4" customHeight="1" x14ac:dyDescent="0.3">
      <c r="A10" s="825" t="s">
        <v>2344</v>
      </c>
      <c r="B10" s="777"/>
      <c r="C10" s="778"/>
      <c r="D10" s="779"/>
      <c r="E10" s="782"/>
      <c r="F10" s="765"/>
      <c r="G10" s="766"/>
      <c r="H10" s="761">
        <v>1</v>
      </c>
      <c r="I10" s="762">
        <v>0.51</v>
      </c>
      <c r="J10" s="763">
        <v>3</v>
      </c>
      <c r="K10" s="767">
        <v>0.51</v>
      </c>
      <c r="L10" s="764">
        <v>2</v>
      </c>
      <c r="M10" s="764">
        <v>18</v>
      </c>
      <c r="N10" s="768">
        <v>6</v>
      </c>
      <c r="O10" s="764" t="s">
        <v>2334</v>
      </c>
      <c r="P10" s="780" t="s">
        <v>2345</v>
      </c>
      <c r="Q10" s="769">
        <f t="shared" si="0"/>
        <v>1</v>
      </c>
      <c r="R10" s="769">
        <f t="shared" si="0"/>
        <v>0.51</v>
      </c>
      <c r="S10" s="777">
        <f t="shared" si="1"/>
        <v>6</v>
      </c>
      <c r="T10" s="777">
        <f t="shared" si="2"/>
        <v>3</v>
      </c>
      <c r="U10" s="777">
        <f t="shared" si="3"/>
        <v>-3</v>
      </c>
      <c r="V10" s="781">
        <f t="shared" si="4"/>
        <v>0.5</v>
      </c>
      <c r="W10" s="770"/>
    </row>
    <row r="11" spans="1:23" ht="14.4" customHeight="1" x14ac:dyDescent="0.3">
      <c r="A11" s="825" t="s">
        <v>2346</v>
      </c>
      <c r="B11" s="777"/>
      <c r="C11" s="778"/>
      <c r="D11" s="779"/>
      <c r="E11" s="761">
        <v>1</v>
      </c>
      <c r="F11" s="762">
        <v>1.84</v>
      </c>
      <c r="G11" s="763">
        <v>13</v>
      </c>
      <c r="H11" s="764"/>
      <c r="I11" s="765"/>
      <c r="J11" s="766"/>
      <c r="K11" s="767">
        <v>1.67</v>
      </c>
      <c r="L11" s="764">
        <v>3</v>
      </c>
      <c r="M11" s="764">
        <v>27</v>
      </c>
      <c r="N11" s="768">
        <v>9</v>
      </c>
      <c r="O11" s="764" t="s">
        <v>2334</v>
      </c>
      <c r="P11" s="780" t="s">
        <v>2347</v>
      </c>
      <c r="Q11" s="769">
        <f t="shared" si="0"/>
        <v>0</v>
      </c>
      <c r="R11" s="769">
        <f t="shared" si="0"/>
        <v>0</v>
      </c>
      <c r="S11" s="777" t="str">
        <f t="shared" si="1"/>
        <v/>
      </c>
      <c r="T11" s="777" t="str">
        <f t="shared" si="2"/>
        <v/>
      </c>
      <c r="U11" s="777" t="str">
        <f t="shared" si="3"/>
        <v/>
      </c>
      <c r="V11" s="781" t="str">
        <f t="shared" si="4"/>
        <v/>
      </c>
      <c r="W11" s="770"/>
    </row>
    <row r="12" spans="1:23" ht="14.4" customHeight="1" x14ac:dyDescent="0.3">
      <c r="A12" s="825" t="s">
        <v>2348</v>
      </c>
      <c r="B12" s="777"/>
      <c r="C12" s="778"/>
      <c r="D12" s="779"/>
      <c r="E12" s="782"/>
      <c r="F12" s="765"/>
      <c r="G12" s="766"/>
      <c r="H12" s="761">
        <v>1</v>
      </c>
      <c r="I12" s="762">
        <v>0.42</v>
      </c>
      <c r="J12" s="763">
        <v>2</v>
      </c>
      <c r="K12" s="767">
        <v>0.42</v>
      </c>
      <c r="L12" s="764">
        <v>1</v>
      </c>
      <c r="M12" s="764">
        <v>5</v>
      </c>
      <c r="N12" s="768">
        <v>2</v>
      </c>
      <c r="O12" s="764" t="s">
        <v>2334</v>
      </c>
      <c r="P12" s="780" t="s">
        <v>2349</v>
      </c>
      <c r="Q12" s="769">
        <f t="shared" si="0"/>
        <v>1</v>
      </c>
      <c r="R12" s="769">
        <f t="shared" si="0"/>
        <v>0.42</v>
      </c>
      <c r="S12" s="777">
        <f t="shared" si="1"/>
        <v>2</v>
      </c>
      <c r="T12" s="777">
        <f t="shared" si="2"/>
        <v>2</v>
      </c>
      <c r="U12" s="777">
        <f t="shared" si="3"/>
        <v>0</v>
      </c>
      <c r="V12" s="781">
        <f t="shared" si="4"/>
        <v>1</v>
      </c>
      <c r="W12" s="770"/>
    </row>
    <row r="13" spans="1:23" ht="14.4" customHeight="1" x14ac:dyDescent="0.3">
      <c r="A13" s="825" t="s">
        <v>2350</v>
      </c>
      <c r="B13" s="777"/>
      <c r="C13" s="778"/>
      <c r="D13" s="779"/>
      <c r="E13" s="761">
        <v>2</v>
      </c>
      <c r="F13" s="762">
        <v>14.05</v>
      </c>
      <c r="G13" s="763">
        <v>3.5</v>
      </c>
      <c r="H13" s="764"/>
      <c r="I13" s="765"/>
      <c r="J13" s="766"/>
      <c r="K13" s="767">
        <v>9.31</v>
      </c>
      <c r="L13" s="764">
        <v>5</v>
      </c>
      <c r="M13" s="764">
        <v>48</v>
      </c>
      <c r="N13" s="768">
        <v>16</v>
      </c>
      <c r="O13" s="764" t="s">
        <v>2334</v>
      </c>
      <c r="P13" s="780" t="s">
        <v>2351</v>
      </c>
      <c r="Q13" s="769">
        <f t="shared" si="0"/>
        <v>0</v>
      </c>
      <c r="R13" s="769">
        <f t="shared" si="0"/>
        <v>0</v>
      </c>
      <c r="S13" s="777" t="str">
        <f t="shared" si="1"/>
        <v/>
      </c>
      <c r="T13" s="777" t="str">
        <f t="shared" si="2"/>
        <v/>
      </c>
      <c r="U13" s="777" t="str">
        <f t="shared" si="3"/>
        <v/>
      </c>
      <c r="V13" s="781" t="str">
        <f t="shared" si="4"/>
        <v/>
      </c>
      <c r="W13" s="770"/>
    </row>
    <row r="14" spans="1:23" ht="14.4" customHeight="1" x14ac:dyDescent="0.3">
      <c r="A14" s="825" t="s">
        <v>2352</v>
      </c>
      <c r="B14" s="771">
        <v>1</v>
      </c>
      <c r="C14" s="772">
        <v>1.58</v>
      </c>
      <c r="D14" s="773">
        <v>2</v>
      </c>
      <c r="E14" s="782"/>
      <c r="F14" s="765"/>
      <c r="G14" s="766"/>
      <c r="H14" s="764"/>
      <c r="I14" s="765"/>
      <c r="J14" s="766"/>
      <c r="K14" s="767">
        <v>2.86</v>
      </c>
      <c r="L14" s="764">
        <v>4</v>
      </c>
      <c r="M14" s="764">
        <v>36</v>
      </c>
      <c r="N14" s="768">
        <v>12</v>
      </c>
      <c r="O14" s="764" t="s">
        <v>2334</v>
      </c>
      <c r="P14" s="780" t="s">
        <v>2353</v>
      </c>
      <c r="Q14" s="769">
        <f t="shared" si="0"/>
        <v>-1</v>
      </c>
      <c r="R14" s="769">
        <f t="shared" si="0"/>
        <v>-1.58</v>
      </c>
      <c r="S14" s="777" t="str">
        <f t="shared" si="1"/>
        <v/>
      </c>
      <c r="T14" s="777" t="str">
        <f t="shared" si="2"/>
        <v/>
      </c>
      <c r="U14" s="777" t="str">
        <f t="shared" si="3"/>
        <v/>
      </c>
      <c r="V14" s="781" t="str">
        <f t="shared" si="4"/>
        <v/>
      </c>
      <c r="W14" s="770"/>
    </row>
    <row r="15" spans="1:23" ht="14.4" customHeight="1" x14ac:dyDescent="0.3">
      <c r="A15" s="825" t="s">
        <v>2354</v>
      </c>
      <c r="B15" s="777"/>
      <c r="C15" s="778"/>
      <c r="D15" s="779"/>
      <c r="E15" s="761">
        <v>1</v>
      </c>
      <c r="F15" s="762">
        <v>1.23</v>
      </c>
      <c r="G15" s="763">
        <v>6</v>
      </c>
      <c r="H15" s="764"/>
      <c r="I15" s="765"/>
      <c r="J15" s="766"/>
      <c r="K15" s="767">
        <v>1.23</v>
      </c>
      <c r="L15" s="764">
        <v>2</v>
      </c>
      <c r="M15" s="764">
        <v>21</v>
      </c>
      <c r="N15" s="768">
        <v>7</v>
      </c>
      <c r="O15" s="764" t="s">
        <v>2334</v>
      </c>
      <c r="P15" s="780" t="s">
        <v>2355</v>
      </c>
      <c r="Q15" s="769">
        <f t="shared" si="0"/>
        <v>0</v>
      </c>
      <c r="R15" s="769">
        <f t="shared" si="0"/>
        <v>0</v>
      </c>
      <c r="S15" s="777" t="str">
        <f t="shared" si="1"/>
        <v/>
      </c>
      <c r="T15" s="777" t="str">
        <f t="shared" si="2"/>
        <v/>
      </c>
      <c r="U15" s="777" t="str">
        <f t="shared" si="3"/>
        <v/>
      </c>
      <c r="V15" s="781" t="str">
        <f t="shared" si="4"/>
        <v/>
      </c>
      <c r="W15" s="770"/>
    </row>
    <row r="16" spans="1:23" ht="14.4" customHeight="1" x14ac:dyDescent="0.3">
      <c r="A16" s="825" t="s">
        <v>2356</v>
      </c>
      <c r="B16" s="777"/>
      <c r="C16" s="778"/>
      <c r="D16" s="779"/>
      <c r="E16" s="761">
        <v>1</v>
      </c>
      <c r="F16" s="762">
        <v>4.09</v>
      </c>
      <c r="G16" s="763">
        <v>9</v>
      </c>
      <c r="H16" s="764"/>
      <c r="I16" s="765"/>
      <c r="J16" s="766"/>
      <c r="K16" s="767">
        <v>4.09</v>
      </c>
      <c r="L16" s="764">
        <v>5</v>
      </c>
      <c r="M16" s="764">
        <v>45</v>
      </c>
      <c r="N16" s="768">
        <v>15</v>
      </c>
      <c r="O16" s="764" t="s">
        <v>2334</v>
      </c>
      <c r="P16" s="780" t="s">
        <v>2357</v>
      </c>
      <c r="Q16" s="769">
        <f t="shared" si="0"/>
        <v>0</v>
      </c>
      <c r="R16" s="769">
        <f t="shared" si="0"/>
        <v>0</v>
      </c>
      <c r="S16" s="777" t="str">
        <f t="shared" si="1"/>
        <v/>
      </c>
      <c r="T16" s="777" t="str">
        <f t="shared" si="2"/>
        <v/>
      </c>
      <c r="U16" s="777" t="str">
        <f t="shared" si="3"/>
        <v/>
      </c>
      <c r="V16" s="781" t="str">
        <f t="shared" si="4"/>
        <v/>
      </c>
      <c r="W16" s="770"/>
    </row>
    <row r="17" spans="1:23" ht="14.4" customHeight="1" x14ac:dyDescent="0.3">
      <c r="A17" s="826" t="s">
        <v>2358</v>
      </c>
      <c r="B17" s="812">
        <v>1</v>
      </c>
      <c r="C17" s="813">
        <v>3.02</v>
      </c>
      <c r="D17" s="783">
        <v>3</v>
      </c>
      <c r="E17" s="814"/>
      <c r="F17" s="815"/>
      <c r="G17" s="774"/>
      <c r="H17" s="816"/>
      <c r="I17" s="817"/>
      <c r="J17" s="775"/>
      <c r="K17" s="818">
        <v>6.37</v>
      </c>
      <c r="L17" s="816">
        <v>7</v>
      </c>
      <c r="M17" s="816">
        <v>60</v>
      </c>
      <c r="N17" s="819">
        <v>20</v>
      </c>
      <c r="O17" s="816" t="s">
        <v>2334</v>
      </c>
      <c r="P17" s="820" t="s">
        <v>2359</v>
      </c>
      <c r="Q17" s="821">
        <f t="shared" si="0"/>
        <v>-1</v>
      </c>
      <c r="R17" s="821">
        <f t="shared" si="0"/>
        <v>-3.02</v>
      </c>
      <c r="S17" s="812" t="str">
        <f t="shared" si="1"/>
        <v/>
      </c>
      <c r="T17" s="812" t="str">
        <f t="shared" si="2"/>
        <v/>
      </c>
      <c r="U17" s="812" t="str">
        <f t="shared" si="3"/>
        <v/>
      </c>
      <c r="V17" s="822" t="str">
        <f t="shared" si="4"/>
        <v/>
      </c>
      <c r="W17" s="776"/>
    </row>
    <row r="18" spans="1:23" ht="14.4" customHeight="1" x14ac:dyDescent="0.3">
      <c r="A18" s="825" t="s">
        <v>2360</v>
      </c>
      <c r="B18" s="771">
        <v>1</v>
      </c>
      <c r="C18" s="772">
        <v>1.5</v>
      </c>
      <c r="D18" s="773">
        <v>5</v>
      </c>
      <c r="E18" s="782"/>
      <c r="F18" s="765"/>
      <c r="G18" s="766"/>
      <c r="H18" s="764"/>
      <c r="I18" s="765"/>
      <c r="J18" s="766"/>
      <c r="K18" s="767">
        <v>1.5</v>
      </c>
      <c r="L18" s="764">
        <v>3</v>
      </c>
      <c r="M18" s="764">
        <v>27</v>
      </c>
      <c r="N18" s="768">
        <v>9</v>
      </c>
      <c r="O18" s="764" t="s">
        <v>2334</v>
      </c>
      <c r="P18" s="780" t="s">
        <v>2361</v>
      </c>
      <c r="Q18" s="769">
        <f t="shared" si="0"/>
        <v>-1</v>
      </c>
      <c r="R18" s="769">
        <f t="shared" si="0"/>
        <v>-1.5</v>
      </c>
      <c r="S18" s="777" t="str">
        <f t="shared" si="1"/>
        <v/>
      </c>
      <c r="T18" s="777" t="str">
        <f t="shared" si="2"/>
        <v/>
      </c>
      <c r="U18" s="777" t="str">
        <f t="shared" si="3"/>
        <v/>
      </c>
      <c r="V18" s="781" t="str">
        <f t="shared" si="4"/>
        <v/>
      </c>
      <c r="W18" s="770"/>
    </row>
    <row r="19" spans="1:23" ht="14.4" customHeight="1" x14ac:dyDescent="0.3">
      <c r="A19" s="825" t="s">
        <v>2362</v>
      </c>
      <c r="B19" s="777"/>
      <c r="C19" s="778"/>
      <c r="D19" s="779"/>
      <c r="E19" s="761">
        <v>1</v>
      </c>
      <c r="F19" s="762">
        <v>0.32</v>
      </c>
      <c r="G19" s="763">
        <v>1</v>
      </c>
      <c r="H19" s="764"/>
      <c r="I19" s="765"/>
      <c r="J19" s="766"/>
      <c r="K19" s="767">
        <v>0.6</v>
      </c>
      <c r="L19" s="764">
        <v>2</v>
      </c>
      <c r="M19" s="764">
        <v>18</v>
      </c>
      <c r="N19" s="768">
        <v>6</v>
      </c>
      <c r="O19" s="764" t="s">
        <v>2334</v>
      </c>
      <c r="P19" s="780" t="s">
        <v>2363</v>
      </c>
      <c r="Q19" s="769">
        <f t="shared" si="0"/>
        <v>0</v>
      </c>
      <c r="R19" s="769">
        <f t="shared" si="0"/>
        <v>0</v>
      </c>
      <c r="S19" s="777" t="str">
        <f t="shared" si="1"/>
        <v/>
      </c>
      <c r="T19" s="777" t="str">
        <f t="shared" si="2"/>
        <v/>
      </c>
      <c r="U19" s="777" t="str">
        <f t="shared" si="3"/>
        <v/>
      </c>
      <c r="V19" s="781" t="str">
        <f t="shared" si="4"/>
        <v/>
      </c>
      <c r="W19" s="770"/>
    </row>
    <row r="20" spans="1:23" ht="14.4" customHeight="1" x14ac:dyDescent="0.3">
      <c r="A20" s="825" t="s">
        <v>2364</v>
      </c>
      <c r="B20" s="777"/>
      <c r="C20" s="778"/>
      <c r="D20" s="779"/>
      <c r="E20" s="761">
        <v>1</v>
      </c>
      <c r="F20" s="762">
        <v>1.37</v>
      </c>
      <c r="G20" s="763">
        <v>3</v>
      </c>
      <c r="H20" s="764"/>
      <c r="I20" s="765"/>
      <c r="J20" s="766"/>
      <c r="K20" s="767">
        <v>1.37</v>
      </c>
      <c r="L20" s="764">
        <v>2</v>
      </c>
      <c r="M20" s="764">
        <v>21</v>
      </c>
      <c r="N20" s="768">
        <v>7</v>
      </c>
      <c r="O20" s="764" t="s">
        <v>2334</v>
      </c>
      <c r="P20" s="780" t="s">
        <v>2365</v>
      </c>
      <c r="Q20" s="769">
        <f t="shared" si="0"/>
        <v>0</v>
      </c>
      <c r="R20" s="769">
        <f t="shared" si="0"/>
        <v>0</v>
      </c>
      <c r="S20" s="777" t="str">
        <f t="shared" si="1"/>
        <v/>
      </c>
      <c r="T20" s="777" t="str">
        <f t="shared" si="2"/>
        <v/>
      </c>
      <c r="U20" s="777" t="str">
        <f t="shared" si="3"/>
        <v/>
      </c>
      <c r="V20" s="781" t="str">
        <f t="shared" si="4"/>
        <v/>
      </c>
      <c r="W20" s="770"/>
    </row>
    <row r="21" spans="1:23" ht="14.4" customHeight="1" x14ac:dyDescent="0.3">
      <c r="A21" s="825" t="s">
        <v>2366</v>
      </c>
      <c r="B21" s="771">
        <v>1</v>
      </c>
      <c r="C21" s="772">
        <v>2.12</v>
      </c>
      <c r="D21" s="773">
        <v>9</v>
      </c>
      <c r="E21" s="782"/>
      <c r="F21" s="765"/>
      <c r="G21" s="766"/>
      <c r="H21" s="764"/>
      <c r="I21" s="765"/>
      <c r="J21" s="766"/>
      <c r="K21" s="767">
        <v>2.12</v>
      </c>
      <c r="L21" s="764">
        <v>2</v>
      </c>
      <c r="M21" s="764">
        <v>18</v>
      </c>
      <c r="N21" s="768">
        <v>6</v>
      </c>
      <c r="O21" s="764" t="s">
        <v>2334</v>
      </c>
      <c r="P21" s="780" t="s">
        <v>2367</v>
      </c>
      <c r="Q21" s="769">
        <f t="shared" si="0"/>
        <v>-1</v>
      </c>
      <c r="R21" s="769">
        <f t="shared" si="0"/>
        <v>-2.12</v>
      </c>
      <c r="S21" s="777" t="str">
        <f t="shared" si="1"/>
        <v/>
      </c>
      <c r="T21" s="777" t="str">
        <f t="shared" si="2"/>
        <v/>
      </c>
      <c r="U21" s="777" t="str">
        <f t="shared" si="3"/>
        <v/>
      </c>
      <c r="V21" s="781" t="str">
        <f t="shared" si="4"/>
        <v/>
      </c>
      <c r="W21" s="770"/>
    </row>
    <row r="22" spans="1:23" ht="14.4" customHeight="1" x14ac:dyDescent="0.3">
      <c r="A22" s="825" t="s">
        <v>2368</v>
      </c>
      <c r="B22" s="777"/>
      <c r="C22" s="778"/>
      <c r="D22" s="779"/>
      <c r="E22" s="782"/>
      <c r="F22" s="765"/>
      <c r="G22" s="766"/>
      <c r="H22" s="761">
        <v>1</v>
      </c>
      <c r="I22" s="762">
        <v>2.96</v>
      </c>
      <c r="J22" s="763">
        <v>10</v>
      </c>
      <c r="K22" s="767">
        <v>2.96</v>
      </c>
      <c r="L22" s="764">
        <v>4</v>
      </c>
      <c r="M22" s="764">
        <v>33</v>
      </c>
      <c r="N22" s="768">
        <v>11</v>
      </c>
      <c r="O22" s="764" t="s">
        <v>2334</v>
      </c>
      <c r="P22" s="780" t="s">
        <v>2369</v>
      </c>
      <c r="Q22" s="769">
        <f t="shared" si="0"/>
        <v>1</v>
      </c>
      <c r="R22" s="769">
        <f t="shared" si="0"/>
        <v>2.96</v>
      </c>
      <c r="S22" s="777">
        <f t="shared" si="1"/>
        <v>11</v>
      </c>
      <c r="T22" s="777">
        <f t="shared" si="2"/>
        <v>10</v>
      </c>
      <c r="U22" s="777">
        <f t="shared" si="3"/>
        <v>-1</v>
      </c>
      <c r="V22" s="781">
        <f t="shared" si="4"/>
        <v>0.90909090909090906</v>
      </c>
      <c r="W22" s="770"/>
    </row>
    <row r="23" spans="1:23" ht="14.4" customHeight="1" x14ac:dyDescent="0.3">
      <c r="A23" s="825" t="s">
        <v>2370</v>
      </c>
      <c r="B23" s="777"/>
      <c r="C23" s="778"/>
      <c r="D23" s="779"/>
      <c r="E23" s="761">
        <v>1</v>
      </c>
      <c r="F23" s="762">
        <v>0.94</v>
      </c>
      <c r="G23" s="763">
        <v>2</v>
      </c>
      <c r="H23" s="764"/>
      <c r="I23" s="765"/>
      <c r="J23" s="766"/>
      <c r="K23" s="767">
        <v>1.35</v>
      </c>
      <c r="L23" s="764">
        <v>3</v>
      </c>
      <c r="M23" s="764">
        <v>27</v>
      </c>
      <c r="N23" s="768">
        <v>9</v>
      </c>
      <c r="O23" s="764" t="s">
        <v>2334</v>
      </c>
      <c r="P23" s="780" t="s">
        <v>2371</v>
      </c>
      <c r="Q23" s="769">
        <f t="shared" si="0"/>
        <v>0</v>
      </c>
      <c r="R23" s="769">
        <f t="shared" si="0"/>
        <v>0</v>
      </c>
      <c r="S23" s="777" t="str">
        <f t="shared" si="1"/>
        <v/>
      </c>
      <c r="T23" s="777" t="str">
        <f t="shared" si="2"/>
        <v/>
      </c>
      <c r="U23" s="777" t="str">
        <f t="shared" si="3"/>
        <v/>
      </c>
      <c r="V23" s="781" t="str">
        <f t="shared" si="4"/>
        <v/>
      </c>
      <c r="W23" s="770"/>
    </row>
    <row r="24" spans="1:23" ht="14.4" customHeight="1" x14ac:dyDescent="0.3">
      <c r="A24" s="825" t="s">
        <v>2372</v>
      </c>
      <c r="B24" s="777"/>
      <c r="C24" s="778"/>
      <c r="D24" s="779"/>
      <c r="E24" s="782"/>
      <c r="F24" s="765"/>
      <c r="G24" s="766"/>
      <c r="H24" s="761">
        <v>2</v>
      </c>
      <c r="I24" s="762">
        <v>1.1200000000000001</v>
      </c>
      <c r="J24" s="763">
        <v>3.5</v>
      </c>
      <c r="K24" s="767">
        <v>0.46</v>
      </c>
      <c r="L24" s="764">
        <v>2</v>
      </c>
      <c r="M24" s="764">
        <v>18</v>
      </c>
      <c r="N24" s="768">
        <v>6</v>
      </c>
      <c r="O24" s="764" t="s">
        <v>2334</v>
      </c>
      <c r="P24" s="780" t="s">
        <v>2373</v>
      </c>
      <c r="Q24" s="769">
        <f t="shared" si="0"/>
        <v>2</v>
      </c>
      <c r="R24" s="769">
        <f t="shared" si="0"/>
        <v>1.1200000000000001</v>
      </c>
      <c r="S24" s="777">
        <f t="shared" si="1"/>
        <v>12</v>
      </c>
      <c r="T24" s="777">
        <f t="shared" si="2"/>
        <v>7</v>
      </c>
      <c r="U24" s="777">
        <f t="shared" si="3"/>
        <v>-5</v>
      </c>
      <c r="V24" s="781">
        <f t="shared" si="4"/>
        <v>0.58333333333333337</v>
      </c>
      <c r="W24" s="770"/>
    </row>
    <row r="25" spans="1:23" ht="14.4" customHeight="1" x14ac:dyDescent="0.3">
      <c r="A25" s="826" t="s">
        <v>2374</v>
      </c>
      <c r="B25" s="812"/>
      <c r="C25" s="813"/>
      <c r="D25" s="783"/>
      <c r="E25" s="823">
        <v>1</v>
      </c>
      <c r="F25" s="817">
        <v>1.1599999999999999</v>
      </c>
      <c r="G25" s="775">
        <v>6</v>
      </c>
      <c r="H25" s="814"/>
      <c r="I25" s="815"/>
      <c r="J25" s="774"/>
      <c r="K25" s="818">
        <v>1</v>
      </c>
      <c r="L25" s="816">
        <v>3</v>
      </c>
      <c r="M25" s="816">
        <v>30</v>
      </c>
      <c r="N25" s="819">
        <v>10</v>
      </c>
      <c r="O25" s="816" t="s">
        <v>2334</v>
      </c>
      <c r="P25" s="820" t="s">
        <v>2373</v>
      </c>
      <c r="Q25" s="821">
        <f t="shared" si="0"/>
        <v>0</v>
      </c>
      <c r="R25" s="821">
        <f t="shared" si="0"/>
        <v>0</v>
      </c>
      <c r="S25" s="812" t="str">
        <f t="shared" si="1"/>
        <v/>
      </c>
      <c r="T25" s="812" t="str">
        <f t="shared" si="2"/>
        <v/>
      </c>
      <c r="U25" s="812" t="str">
        <f t="shared" si="3"/>
        <v/>
      </c>
      <c r="V25" s="822" t="str">
        <f t="shared" si="4"/>
        <v/>
      </c>
      <c r="W25" s="776"/>
    </row>
    <row r="26" spans="1:23" ht="14.4" customHeight="1" x14ac:dyDescent="0.3">
      <c r="A26" s="825" t="s">
        <v>2375</v>
      </c>
      <c r="B26" s="777"/>
      <c r="C26" s="778"/>
      <c r="D26" s="779"/>
      <c r="E26" s="782"/>
      <c r="F26" s="765"/>
      <c r="G26" s="766"/>
      <c r="H26" s="761">
        <v>2</v>
      </c>
      <c r="I26" s="762">
        <v>0.69</v>
      </c>
      <c r="J26" s="763">
        <v>2</v>
      </c>
      <c r="K26" s="767">
        <v>0.34</v>
      </c>
      <c r="L26" s="764">
        <v>1</v>
      </c>
      <c r="M26" s="764">
        <v>12</v>
      </c>
      <c r="N26" s="768">
        <v>4</v>
      </c>
      <c r="O26" s="764" t="s">
        <v>2334</v>
      </c>
      <c r="P26" s="780" t="s">
        <v>2376</v>
      </c>
      <c r="Q26" s="769">
        <f t="shared" si="0"/>
        <v>2</v>
      </c>
      <c r="R26" s="769">
        <f t="shared" si="0"/>
        <v>0.69</v>
      </c>
      <c r="S26" s="777">
        <f t="shared" si="1"/>
        <v>8</v>
      </c>
      <c r="T26" s="777">
        <f t="shared" si="2"/>
        <v>4</v>
      </c>
      <c r="U26" s="777">
        <f t="shared" si="3"/>
        <v>-4</v>
      </c>
      <c r="V26" s="781">
        <f t="shared" si="4"/>
        <v>0.5</v>
      </c>
      <c r="W26" s="770"/>
    </row>
    <row r="27" spans="1:23" ht="14.4" customHeight="1" x14ac:dyDescent="0.3">
      <c r="A27" s="825" t="s">
        <v>2377</v>
      </c>
      <c r="B27" s="777"/>
      <c r="C27" s="778"/>
      <c r="D27" s="779"/>
      <c r="E27" s="782"/>
      <c r="F27" s="765"/>
      <c r="G27" s="766"/>
      <c r="H27" s="761">
        <v>1</v>
      </c>
      <c r="I27" s="762">
        <v>0.2</v>
      </c>
      <c r="J27" s="763">
        <v>2</v>
      </c>
      <c r="K27" s="767">
        <v>0.2</v>
      </c>
      <c r="L27" s="764">
        <v>1</v>
      </c>
      <c r="M27" s="764">
        <v>9</v>
      </c>
      <c r="N27" s="768">
        <v>3</v>
      </c>
      <c r="O27" s="764" t="s">
        <v>2334</v>
      </c>
      <c r="P27" s="780" t="s">
        <v>2378</v>
      </c>
      <c r="Q27" s="769">
        <f t="shared" si="0"/>
        <v>1</v>
      </c>
      <c r="R27" s="769">
        <f t="shared" si="0"/>
        <v>0.2</v>
      </c>
      <c r="S27" s="777">
        <f t="shared" si="1"/>
        <v>3</v>
      </c>
      <c r="T27" s="777">
        <f t="shared" si="2"/>
        <v>2</v>
      </c>
      <c r="U27" s="777">
        <f t="shared" si="3"/>
        <v>-1</v>
      </c>
      <c r="V27" s="781">
        <f t="shared" si="4"/>
        <v>0.66666666666666663</v>
      </c>
      <c r="W27" s="770"/>
    </row>
    <row r="28" spans="1:23" ht="14.4" customHeight="1" x14ac:dyDescent="0.3">
      <c r="A28" s="825" t="s">
        <v>2379</v>
      </c>
      <c r="B28" s="777">
        <v>1</v>
      </c>
      <c r="C28" s="778">
        <v>7.55</v>
      </c>
      <c r="D28" s="779">
        <v>10</v>
      </c>
      <c r="E28" s="782"/>
      <c r="F28" s="765"/>
      <c r="G28" s="766"/>
      <c r="H28" s="761">
        <v>1</v>
      </c>
      <c r="I28" s="762">
        <v>9.81</v>
      </c>
      <c r="J28" s="763">
        <v>22</v>
      </c>
      <c r="K28" s="767">
        <v>5.89</v>
      </c>
      <c r="L28" s="764">
        <v>7</v>
      </c>
      <c r="M28" s="764">
        <v>66</v>
      </c>
      <c r="N28" s="768">
        <v>22</v>
      </c>
      <c r="O28" s="764" t="s">
        <v>2334</v>
      </c>
      <c r="P28" s="780" t="s">
        <v>2380</v>
      </c>
      <c r="Q28" s="769">
        <f t="shared" si="0"/>
        <v>0</v>
      </c>
      <c r="R28" s="769">
        <f t="shared" si="0"/>
        <v>2.2600000000000007</v>
      </c>
      <c r="S28" s="777">
        <f t="shared" si="1"/>
        <v>22</v>
      </c>
      <c r="T28" s="777">
        <f t="shared" si="2"/>
        <v>22</v>
      </c>
      <c r="U28" s="777">
        <f t="shared" si="3"/>
        <v>0</v>
      </c>
      <c r="V28" s="781">
        <f t="shared" si="4"/>
        <v>1</v>
      </c>
      <c r="W28" s="770"/>
    </row>
    <row r="29" spans="1:23" ht="14.4" customHeight="1" x14ac:dyDescent="0.3">
      <c r="A29" s="825" t="s">
        <v>2381</v>
      </c>
      <c r="B29" s="771">
        <v>1</v>
      </c>
      <c r="C29" s="772">
        <v>0.85</v>
      </c>
      <c r="D29" s="773">
        <v>3</v>
      </c>
      <c r="E29" s="782"/>
      <c r="F29" s="765"/>
      <c r="G29" s="766"/>
      <c r="H29" s="764"/>
      <c r="I29" s="765"/>
      <c r="J29" s="766"/>
      <c r="K29" s="767">
        <v>1.1100000000000001</v>
      </c>
      <c r="L29" s="764">
        <v>4</v>
      </c>
      <c r="M29" s="764">
        <v>33</v>
      </c>
      <c r="N29" s="768">
        <v>11</v>
      </c>
      <c r="O29" s="764" t="s">
        <v>2334</v>
      </c>
      <c r="P29" s="780" t="s">
        <v>2382</v>
      </c>
      <c r="Q29" s="769">
        <f t="shared" si="0"/>
        <v>-1</v>
      </c>
      <c r="R29" s="769">
        <f t="shared" si="0"/>
        <v>-0.85</v>
      </c>
      <c r="S29" s="777" t="str">
        <f t="shared" si="1"/>
        <v/>
      </c>
      <c r="T29" s="777" t="str">
        <f t="shared" si="2"/>
        <v/>
      </c>
      <c r="U29" s="777" t="str">
        <f t="shared" si="3"/>
        <v/>
      </c>
      <c r="V29" s="781" t="str">
        <f t="shared" si="4"/>
        <v/>
      </c>
      <c r="W29" s="770"/>
    </row>
    <row r="30" spans="1:23" ht="14.4" customHeight="1" x14ac:dyDescent="0.3">
      <c r="A30" s="825" t="s">
        <v>2383</v>
      </c>
      <c r="B30" s="777"/>
      <c r="C30" s="778"/>
      <c r="D30" s="779"/>
      <c r="E30" s="761">
        <v>1</v>
      </c>
      <c r="F30" s="762">
        <v>0.7</v>
      </c>
      <c r="G30" s="763">
        <v>3</v>
      </c>
      <c r="H30" s="764"/>
      <c r="I30" s="765"/>
      <c r="J30" s="766"/>
      <c r="K30" s="767">
        <v>0.7</v>
      </c>
      <c r="L30" s="764">
        <v>2</v>
      </c>
      <c r="M30" s="764">
        <v>15</v>
      </c>
      <c r="N30" s="768">
        <v>5</v>
      </c>
      <c r="O30" s="764" t="s">
        <v>2334</v>
      </c>
      <c r="P30" s="780" t="s">
        <v>2384</v>
      </c>
      <c r="Q30" s="769">
        <f t="shared" si="0"/>
        <v>0</v>
      </c>
      <c r="R30" s="769">
        <f t="shared" si="0"/>
        <v>0</v>
      </c>
      <c r="S30" s="777" t="str">
        <f t="shared" si="1"/>
        <v/>
      </c>
      <c r="T30" s="777" t="str">
        <f t="shared" si="2"/>
        <v/>
      </c>
      <c r="U30" s="777" t="str">
        <f t="shared" si="3"/>
        <v/>
      </c>
      <c r="V30" s="781" t="str">
        <f t="shared" si="4"/>
        <v/>
      </c>
      <c r="W30" s="770"/>
    </row>
    <row r="31" spans="1:23" ht="14.4" customHeight="1" x14ac:dyDescent="0.3">
      <c r="A31" s="825" t="s">
        <v>2385</v>
      </c>
      <c r="B31" s="771">
        <v>1</v>
      </c>
      <c r="C31" s="772">
        <v>1.67</v>
      </c>
      <c r="D31" s="773">
        <v>3</v>
      </c>
      <c r="E31" s="782"/>
      <c r="F31" s="765"/>
      <c r="G31" s="766"/>
      <c r="H31" s="764"/>
      <c r="I31" s="765"/>
      <c r="J31" s="766"/>
      <c r="K31" s="767">
        <v>2.17</v>
      </c>
      <c r="L31" s="764">
        <v>4</v>
      </c>
      <c r="M31" s="764">
        <v>39</v>
      </c>
      <c r="N31" s="768">
        <v>13</v>
      </c>
      <c r="O31" s="764" t="s">
        <v>2334</v>
      </c>
      <c r="P31" s="780" t="s">
        <v>2386</v>
      </c>
      <c r="Q31" s="769">
        <f t="shared" si="0"/>
        <v>-1</v>
      </c>
      <c r="R31" s="769">
        <f t="shared" si="0"/>
        <v>-1.67</v>
      </c>
      <c r="S31" s="777" t="str">
        <f t="shared" si="1"/>
        <v/>
      </c>
      <c r="T31" s="777" t="str">
        <f t="shared" si="2"/>
        <v/>
      </c>
      <c r="U31" s="777" t="str">
        <f t="shared" si="3"/>
        <v/>
      </c>
      <c r="V31" s="781" t="str">
        <f t="shared" si="4"/>
        <v/>
      </c>
      <c r="W31" s="770"/>
    </row>
    <row r="32" spans="1:23" ht="14.4" customHeight="1" x14ac:dyDescent="0.3">
      <c r="A32" s="825" t="s">
        <v>2387</v>
      </c>
      <c r="B32" s="777"/>
      <c r="C32" s="778"/>
      <c r="D32" s="779"/>
      <c r="E32" s="761">
        <v>1</v>
      </c>
      <c r="F32" s="762">
        <v>0.32</v>
      </c>
      <c r="G32" s="763">
        <v>1</v>
      </c>
      <c r="H32" s="764"/>
      <c r="I32" s="765"/>
      <c r="J32" s="766"/>
      <c r="K32" s="767">
        <v>0.85</v>
      </c>
      <c r="L32" s="764">
        <v>3</v>
      </c>
      <c r="M32" s="764">
        <v>24</v>
      </c>
      <c r="N32" s="768">
        <v>8</v>
      </c>
      <c r="O32" s="764" t="s">
        <v>2334</v>
      </c>
      <c r="P32" s="780" t="s">
        <v>2388</v>
      </c>
      <c r="Q32" s="769">
        <f t="shared" si="0"/>
        <v>0</v>
      </c>
      <c r="R32" s="769">
        <f t="shared" si="0"/>
        <v>0</v>
      </c>
      <c r="S32" s="777" t="str">
        <f t="shared" si="1"/>
        <v/>
      </c>
      <c r="T32" s="777" t="str">
        <f t="shared" si="2"/>
        <v/>
      </c>
      <c r="U32" s="777" t="str">
        <f t="shared" si="3"/>
        <v/>
      </c>
      <c r="V32" s="781" t="str">
        <f t="shared" si="4"/>
        <v/>
      </c>
      <c r="W32" s="770"/>
    </row>
    <row r="33" spans="1:23" ht="14.4" customHeight="1" thickBot="1" x14ac:dyDescent="0.35">
      <c r="A33" s="827" t="s">
        <v>2389</v>
      </c>
      <c r="B33" s="828"/>
      <c r="C33" s="829"/>
      <c r="D33" s="830"/>
      <c r="E33" s="831"/>
      <c r="F33" s="832"/>
      <c r="G33" s="833"/>
      <c r="H33" s="834">
        <v>1</v>
      </c>
      <c r="I33" s="835">
        <v>4.42</v>
      </c>
      <c r="J33" s="836">
        <v>22</v>
      </c>
      <c r="K33" s="837">
        <v>4.42</v>
      </c>
      <c r="L33" s="838">
        <v>6</v>
      </c>
      <c r="M33" s="838">
        <v>57</v>
      </c>
      <c r="N33" s="839">
        <v>19</v>
      </c>
      <c r="O33" s="838" t="s">
        <v>2334</v>
      </c>
      <c r="P33" s="840" t="s">
        <v>2390</v>
      </c>
      <c r="Q33" s="841">
        <f t="shared" si="0"/>
        <v>1</v>
      </c>
      <c r="R33" s="841">
        <f t="shared" si="0"/>
        <v>4.42</v>
      </c>
      <c r="S33" s="828">
        <f t="shared" si="1"/>
        <v>19</v>
      </c>
      <c r="T33" s="828">
        <f t="shared" si="2"/>
        <v>22</v>
      </c>
      <c r="U33" s="828">
        <f t="shared" si="3"/>
        <v>3</v>
      </c>
      <c r="V33" s="842">
        <f t="shared" si="4"/>
        <v>1.1578947368421053</v>
      </c>
      <c r="W33" s="843">
        <v>3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34:Q1048576">
    <cfRule type="cellIs" dxfId="12" priority="9" stopIfTrue="1" operator="lessThan">
      <formula>0</formula>
    </cfRule>
  </conditionalFormatting>
  <conditionalFormatting sqref="U34:U1048576">
    <cfRule type="cellIs" dxfId="11" priority="8" stopIfTrue="1" operator="greaterThan">
      <formula>0</formula>
    </cfRule>
  </conditionalFormatting>
  <conditionalFormatting sqref="V34:V1048576">
    <cfRule type="cellIs" dxfId="10" priority="7" stopIfTrue="1" operator="greaterThan">
      <formula>1</formula>
    </cfRule>
  </conditionalFormatting>
  <conditionalFormatting sqref="V34:V1048576">
    <cfRule type="cellIs" dxfId="9" priority="4" stopIfTrue="1" operator="greaterThan">
      <formula>1</formula>
    </cfRule>
  </conditionalFormatting>
  <conditionalFormatting sqref="U34:U1048576">
    <cfRule type="cellIs" dxfId="8" priority="5" stopIfTrue="1" operator="greaterThan">
      <formula>0</formula>
    </cfRule>
  </conditionalFormatting>
  <conditionalFormatting sqref="Q34:Q1048576">
    <cfRule type="cellIs" dxfId="7" priority="6" stopIfTrue="1" operator="lessThan">
      <formula>0</formula>
    </cfRule>
  </conditionalFormatting>
  <conditionalFormatting sqref="V5:V33">
    <cfRule type="cellIs" dxfId="6" priority="1" stopIfTrue="1" operator="greaterThan">
      <formula>1</formula>
    </cfRule>
  </conditionalFormatting>
  <conditionalFormatting sqref="U5:U33">
    <cfRule type="cellIs" dxfId="5" priority="2" stopIfTrue="1" operator="greaterThan">
      <formula>0</formula>
    </cfRule>
  </conditionalFormatting>
  <conditionalFormatting sqref="Q5:Q3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500" t="s">
        <v>141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</row>
    <row r="2" spans="1:13" ht="14.4" customHeight="1" thickBot="1" x14ac:dyDescent="0.35">
      <c r="A2" s="351" t="s">
        <v>322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142</v>
      </c>
      <c r="B3" s="320">
        <f>SUBTOTAL(9,B6:B1048576)</f>
        <v>1020131</v>
      </c>
      <c r="C3" s="321">
        <f t="shared" ref="C3:L3" si="0">SUBTOTAL(9,C6:C1048576)</f>
        <v>4.7509663988242279</v>
      </c>
      <c r="D3" s="321">
        <f t="shared" si="0"/>
        <v>1571632</v>
      </c>
      <c r="E3" s="321">
        <f t="shared" si="0"/>
        <v>10</v>
      </c>
      <c r="F3" s="321">
        <f t="shared" si="0"/>
        <v>1783003</v>
      </c>
      <c r="G3" s="324">
        <f>IF(D3&lt;&gt;0,F3/D3,"")</f>
        <v>1.1344914076577723</v>
      </c>
      <c r="H3" s="320">
        <f t="shared" si="0"/>
        <v>137977.90999999997</v>
      </c>
      <c r="I3" s="321">
        <f t="shared" si="0"/>
        <v>0.37735118537598955</v>
      </c>
      <c r="J3" s="321">
        <f t="shared" si="0"/>
        <v>365648.5400000001</v>
      </c>
      <c r="K3" s="321">
        <f t="shared" si="0"/>
        <v>1</v>
      </c>
      <c r="L3" s="321">
        <f t="shared" si="0"/>
        <v>111653.68000000002</v>
      </c>
      <c r="M3" s="322">
        <f>IF(J3&lt;&gt;0,L3/J3,"")</f>
        <v>0.3053579264941137</v>
      </c>
    </row>
    <row r="4" spans="1:13" ht="14.4" customHeight="1" x14ac:dyDescent="0.3">
      <c r="A4" s="605" t="s">
        <v>105</v>
      </c>
      <c r="B4" s="548" t="s">
        <v>110</v>
      </c>
      <c r="C4" s="549"/>
      <c r="D4" s="549"/>
      <c r="E4" s="549"/>
      <c r="F4" s="549"/>
      <c r="G4" s="551"/>
      <c r="H4" s="548" t="s">
        <v>111</v>
      </c>
      <c r="I4" s="549"/>
      <c r="J4" s="549"/>
      <c r="K4" s="549"/>
      <c r="L4" s="549"/>
      <c r="M4" s="551"/>
    </row>
    <row r="5" spans="1:13" s="311" customFormat="1" ht="14.4" customHeight="1" thickBot="1" x14ac:dyDescent="0.35">
      <c r="A5" s="844"/>
      <c r="B5" s="845">
        <v>2015</v>
      </c>
      <c r="C5" s="846"/>
      <c r="D5" s="846">
        <v>2016</v>
      </c>
      <c r="E5" s="846"/>
      <c r="F5" s="846">
        <v>2017</v>
      </c>
      <c r="G5" s="748" t="s">
        <v>2</v>
      </c>
      <c r="H5" s="845">
        <v>2015</v>
      </c>
      <c r="I5" s="846"/>
      <c r="J5" s="846">
        <v>2016</v>
      </c>
      <c r="K5" s="846"/>
      <c r="L5" s="846">
        <v>2017</v>
      </c>
      <c r="M5" s="748" t="s">
        <v>2</v>
      </c>
    </row>
    <row r="6" spans="1:13" ht="14.4" customHeight="1" x14ac:dyDescent="0.3">
      <c r="A6" s="690" t="s">
        <v>2392</v>
      </c>
      <c r="B6" s="847"/>
      <c r="C6" s="656"/>
      <c r="D6" s="847">
        <v>1401</v>
      </c>
      <c r="E6" s="656">
        <v>1</v>
      </c>
      <c r="F6" s="847">
        <v>486</v>
      </c>
      <c r="G6" s="678">
        <v>0.34689507494646682</v>
      </c>
      <c r="H6" s="847"/>
      <c r="I6" s="656"/>
      <c r="J6" s="847"/>
      <c r="K6" s="656"/>
      <c r="L6" s="847"/>
      <c r="M6" s="702"/>
    </row>
    <row r="7" spans="1:13" ht="14.4" customHeight="1" x14ac:dyDescent="0.3">
      <c r="A7" s="691" t="s">
        <v>2393</v>
      </c>
      <c r="B7" s="848">
        <v>53424</v>
      </c>
      <c r="C7" s="662">
        <v>0.75423537384233119</v>
      </c>
      <c r="D7" s="848">
        <v>70832</v>
      </c>
      <c r="E7" s="662">
        <v>1</v>
      </c>
      <c r="F7" s="848">
        <v>110058</v>
      </c>
      <c r="G7" s="686">
        <v>1.5537892477976056</v>
      </c>
      <c r="H7" s="848"/>
      <c r="I7" s="662"/>
      <c r="J7" s="848"/>
      <c r="K7" s="662"/>
      <c r="L7" s="848"/>
      <c r="M7" s="849"/>
    </row>
    <row r="8" spans="1:13" ht="14.4" customHeight="1" x14ac:dyDescent="0.3">
      <c r="A8" s="691" t="s">
        <v>2394</v>
      </c>
      <c r="B8" s="848">
        <v>266074</v>
      </c>
      <c r="C8" s="662">
        <v>0.78674263816651246</v>
      </c>
      <c r="D8" s="848">
        <v>338197</v>
      </c>
      <c r="E8" s="662">
        <v>1</v>
      </c>
      <c r="F8" s="848">
        <v>544502</v>
      </c>
      <c r="G8" s="686">
        <v>1.6100142816169274</v>
      </c>
      <c r="H8" s="848"/>
      <c r="I8" s="662"/>
      <c r="J8" s="848"/>
      <c r="K8" s="662"/>
      <c r="L8" s="848"/>
      <c r="M8" s="849"/>
    </row>
    <row r="9" spans="1:13" ht="14.4" customHeight="1" x14ac:dyDescent="0.3">
      <c r="A9" s="691" t="s">
        <v>2395</v>
      </c>
      <c r="B9" s="848">
        <v>220969</v>
      </c>
      <c r="C9" s="662">
        <v>0.44205735548598124</v>
      </c>
      <c r="D9" s="848">
        <v>499865</v>
      </c>
      <c r="E9" s="662">
        <v>1</v>
      </c>
      <c r="F9" s="848">
        <v>286111</v>
      </c>
      <c r="G9" s="686">
        <v>0.57237654166624985</v>
      </c>
      <c r="H9" s="848">
        <v>137977.90999999997</v>
      </c>
      <c r="I9" s="662">
        <v>0.37735118537598955</v>
      </c>
      <c r="J9" s="848">
        <v>365648.5400000001</v>
      </c>
      <c r="K9" s="662">
        <v>1</v>
      </c>
      <c r="L9" s="848">
        <v>111653.68000000002</v>
      </c>
      <c r="M9" s="849">
        <v>0.3053579264941137</v>
      </c>
    </row>
    <row r="10" spans="1:13" ht="14.4" customHeight="1" x14ac:dyDescent="0.3">
      <c r="A10" s="691" t="s">
        <v>2396</v>
      </c>
      <c r="B10" s="848">
        <v>92026</v>
      </c>
      <c r="C10" s="662">
        <v>0.79607955086116666</v>
      </c>
      <c r="D10" s="848">
        <v>115599</v>
      </c>
      <c r="E10" s="662">
        <v>1</v>
      </c>
      <c r="F10" s="848">
        <v>164662</v>
      </c>
      <c r="G10" s="686">
        <v>1.4244240867135529</v>
      </c>
      <c r="H10" s="848"/>
      <c r="I10" s="662"/>
      <c r="J10" s="848"/>
      <c r="K10" s="662"/>
      <c r="L10" s="848"/>
      <c r="M10" s="849"/>
    </row>
    <row r="11" spans="1:13" ht="14.4" customHeight="1" x14ac:dyDescent="0.3">
      <c r="A11" s="691" t="s">
        <v>2397</v>
      </c>
      <c r="B11" s="848">
        <v>266839</v>
      </c>
      <c r="C11" s="662">
        <v>0.66883647483456987</v>
      </c>
      <c r="D11" s="848">
        <v>398960</v>
      </c>
      <c r="E11" s="662">
        <v>1</v>
      </c>
      <c r="F11" s="848">
        <v>399452</v>
      </c>
      <c r="G11" s="686">
        <v>1.0012332063364748</v>
      </c>
      <c r="H11" s="848"/>
      <c r="I11" s="662"/>
      <c r="J11" s="848"/>
      <c r="K11" s="662"/>
      <c r="L11" s="848"/>
      <c r="M11" s="849"/>
    </row>
    <row r="12" spans="1:13" ht="14.4" customHeight="1" x14ac:dyDescent="0.3">
      <c r="A12" s="691" t="s">
        <v>2398</v>
      </c>
      <c r="B12" s="848">
        <v>119356</v>
      </c>
      <c r="C12" s="662">
        <v>0.97785497177594438</v>
      </c>
      <c r="D12" s="848">
        <v>122059</v>
      </c>
      <c r="E12" s="662">
        <v>1</v>
      </c>
      <c r="F12" s="848">
        <v>206743</v>
      </c>
      <c r="G12" s="686">
        <v>1.6937956234280143</v>
      </c>
      <c r="H12" s="848"/>
      <c r="I12" s="662"/>
      <c r="J12" s="848"/>
      <c r="K12" s="662"/>
      <c r="L12" s="848"/>
      <c r="M12" s="849"/>
    </row>
    <row r="13" spans="1:13" ht="14.4" customHeight="1" x14ac:dyDescent="0.3">
      <c r="A13" s="691" t="s">
        <v>2399</v>
      </c>
      <c r="B13" s="848">
        <v>1184</v>
      </c>
      <c r="C13" s="662">
        <v>0.30437017994858612</v>
      </c>
      <c r="D13" s="848">
        <v>3890</v>
      </c>
      <c r="E13" s="662">
        <v>1</v>
      </c>
      <c r="F13" s="848">
        <v>4240</v>
      </c>
      <c r="G13" s="686">
        <v>1.0899742930591259</v>
      </c>
      <c r="H13" s="848"/>
      <c r="I13" s="662"/>
      <c r="J13" s="848"/>
      <c r="K13" s="662"/>
      <c r="L13" s="848"/>
      <c r="M13" s="849"/>
    </row>
    <row r="14" spans="1:13" ht="14.4" customHeight="1" x14ac:dyDescent="0.3">
      <c r="A14" s="691" t="s">
        <v>2400</v>
      </c>
      <c r="B14" s="848"/>
      <c r="C14" s="662"/>
      <c r="D14" s="848">
        <v>8371</v>
      </c>
      <c r="E14" s="662">
        <v>1</v>
      </c>
      <c r="F14" s="848">
        <v>66749</v>
      </c>
      <c r="G14" s="686">
        <v>7.973838251105005</v>
      </c>
      <c r="H14" s="848"/>
      <c r="I14" s="662"/>
      <c r="J14" s="848"/>
      <c r="K14" s="662"/>
      <c r="L14" s="848"/>
      <c r="M14" s="849"/>
    </row>
    <row r="15" spans="1:13" ht="14.4" customHeight="1" thickBot="1" x14ac:dyDescent="0.35">
      <c r="A15" s="851" t="s">
        <v>1554</v>
      </c>
      <c r="B15" s="850">
        <v>259</v>
      </c>
      <c r="C15" s="668">
        <v>2.0789853909134692E-2</v>
      </c>
      <c r="D15" s="850">
        <v>12458</v>
      </c>
      <c r="E15" s="668">
        <v>1</v>
      </c>
      <c r="F15" s="850"/>
      <c r="G15" s="679"/>
      <c r="H15" s="850"/>
      <c r="I15" s="668"/>
      <c r="J15" s="850"/>
      <c r="K15" s="668"/>
      <c r="L15" s="850"/>
      <c r="M15" s="70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6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500" t="s">
        <v>2902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</row>
    <row r="2" spans="1:17" ht="14.4" customHeight="1" thickBot="1" x14ac:dyDescent="0.35">
      <c r="A2" s="351" t="s">
        <v>322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142</v>
      </c>
      <c r="F3" s="191">
        <f t="shared" ref="F3:O3" si="0">SUBTOTAL(9,F6:F1048576)</f>
        <v>7722.9500000000016</v>
      </c>
      <c r="G3" s="195">
        <f t="shared" si="0"/>
        <v>1158108.9100000001</v>
      </c>
      <c r="H3" s="196"/>
      <c r="I3" s="196"/>
      <c r="J3" s="191">
        <f t="shared" si="0"/>
        <v>10179.030000000001</v>
      </c>
      <c r="K3" s="195">
        <f t="shared" si="0"/>
        <v>1937280.54</v>
      </c>
      <c r="L3" s="196"/>
      <c r="M3" s="196"/>
      <c r="N3" s="191">
        <f t="shared" si="0"/>
        <v>14782.090000000002</v>
      </c>
      <c r="O3" s="195">
        <f t="shared" si="0"/>
        <v>1894656.6800000002</v>
      </c>
      <c r="P3" s="162">
        <f>IF(K3=0,"",O3/K3)</f>
        <v>0.97799809623855516</v>
      </c>
      <c r="Q3" s="193">
        <f>IF(N3=0,"",O3/N3)</f>
        <v>128.17244922740966</v>
      </c>
    </row>
    <row r="4" spans="1:17" ht="14.4" customHeight="1" x14ac:dyDescent="0.3">
      <c r="A4" s="554" t="s">
        <v>61</v>
      </c>
      <c r="B4" s="552" t="s">
        <v>106</v>
      </c>
      <c r="C4" s="554" t="s">
        <v>107</v>
      </c>
      <c r="D4" s="558" t="s">
        <v>77</v>
      </c>
      <c r="E4" s="555" t="s">
        <v>11</v>
      </c>
      <c r="F4" s="556">
        <v>2015</v>
      </c>
      <c r="G4" s="557"/>
      <c r="H4" s="194"/>
      <c r="I4" s="194"/>
      <c r="J4" s="556">
        <v>2016</v>
      </c>
      <c r="K4" s="557"/>
      <c r="L4" s="194"/>
      <c r="M4" s="194"/>
      <c r="N4" s="556">
        <v>2017</v>
      </c>
      <c r="O4" s="557"/>
      <c r="P4" s="559" t="s">
        <v>2</v>
      </c>
      <c r="Q4" s="553" t="s">
        <v>109</v>
      </c>
    </row>
    <row r="5" spans="1:17" ht="14.4" customHeight="1" thickBot="1" x14ac:dyDescent="0.35">
      <c r="A5" s="752"/>
      <c r="B5" s="753"/>
      <c r="C5" s="752"/>
      <c r="D5" s="754"/>
      <c r="E5" s="755"/>
      <c r="F5" s="756" t="s">
        <v>78</v>
      </c>
      <c r="G5" s="757" t="s">
        <v>14</v>
      </c>
      <c r="H5" s="758"/>
      <c r="I5" s="758"/>
      <c r="J5" s="756" t="s">
        <v>78</v>
      </c>
      <c r="K5" s="757" t="s">
        <v>14</v>
      </c>
      <c r="L5" s="758"/>
      <c r="M5" s="758"/>
      <c r="N5" s="756" t="s">
        <v>78</v>
      </c>
      <c r="O5" s="757" t="s">
        <v>14</v>
      </c>
      <c r="P5" s="759"/>
      <c r="Q5" s="760"/>
    </row>
    <row r="6" spans="1:17" ht="14.4" customHeight="1" x14ac:dyDescent="0.3">
      <c r="A6" s="655" t="s">
        <v>2401</v>
      </c>
      <c r="B6" s="656" t="s">
        <v>2323</v>
      </c>
      <c r="C6" s="656" t="s">
        <v>1955</v>
      </c>
      <c r="D6" s="656" t="s">
        <v>2402</v>
      </c>
      <c r="E6" s="656" t="s">
        <v>2403</v>
      </c>
      <c r="F6" s="659"/>
      <c r="G6" s="659"/>
      <c r="H6" s="659"/>
      <c r="I6" s="659"/>
      <c r="J6" s="659">
        <v>1</v>
      </c>
      <c r="K6" s="659">
        <v>1136</v>
      </c>
      <c r="L6" s="659">
        <v>1</v>
      </c>
      <c r="M6" s="659">
        <v>1136</v>
      </c>
      <c r="N6" s="659"/>
      <c r="O6" s="659"/>
      <c r="P6" s="678"/>
      <c r="Q6" s="660"/>
    </row>
    <row r="7" spans="1:17" ht="14.4" customHeight="1" x14ac:dyDescent="0.3">
      <c r="A7" s="661" t="s">
        <v>2401</v>
      </c>
      <c r="B7" s="662" t="s">
        <v>2323</v>
      </c>
      <c r="C7" s="662" t="s">
        <v>1955</v>
      </c>
      <c r="D7" s="662" t="s">
        <v>2324</v>
      </c>
      <c r="E7" s="662" t="s">
        <v>2325</v>
      </c>
      <c r="F7" s="665"/>
      <c r="G7" s="665"/>
      <c r="H7" s="665"/>
      <c r="I7" s="665"/>
      <c r="J7" s="665">
        <v>1</v>
      </c>
      <c r="K7" s="665">
        <v>265</v>
      </c>
      <c r="L7" s="665">
        <v>1</v>
      </c>
      <c r="M7" s="665">
        <v>265</v>
      </c>
      <c r="N7" s="665"/>
      <c r="O7" s="665"/>
      <c r="P7" s="686"/>
      <c r="Q7" s="666"/>
    </row>
    <row r="8" spans="1:17" ht="14.4" customHeight="1" x14ac:dyDescent="0.3">
      <c r="A8" s="661" t="s">
        <v>2401</v>
      </c>
      <c r="B8" s="662" t="s">
        <v>2323</v>
      </c>
      <c r="C8" s="662" t="s">
        <v>1955</v>
      </c>
      <c r="D8" s="662" t="s">
        <v>2404</v>
      </c>
      <c r="E8" s="662" t="s">
        <v>2405</v>
      </c>
      <c r="F8" s="665"/>
      <c r="G8" s="665"/>
      <c r="H8" s="665"/>
      <c r="I8" s="665"/>
      <c r="J8" s="665"/>
      <c r="K8" s="665"/>
      <c r="L8" s="665"/>
      <c r="M8" s="665"/>
      <c r="N8" s="665">
        <v>1</v>
      </c>
      <c r="O8" s="665">
        <v>486</v>
      </c>
      <c r="P8" s="686"/>
      <c r="Q8" s="666">
        <v>486</v>
      </c>
    </row>
    <row r="9" spans="1:17" ht="14.4" customHeight="1" x14ac:dyDescent="0.3">
      <c r="A9" s="661" t="s">
        <v>2406</v>
      </c>
      <c r="B9" s="662" t="s">
        <v>2407</v>
      </c>
      <c r="C9" s="662" t="s">
        <v>1955</v>
      </c>
      <c r="D9" s="662" t="s">
        <v>2408</v>
      </c>
      <c r="E9" s="662" t="s">
        <v>2409</v>
      </c>
      <c r="F9" s="665">
        <v>13</v>
      </c>
      <c r="G9" s="665">
        <v>4563</v>
      </c>
      <c r="H9" s="665">
        <v>0.3791126620139581</v>
      </c>
      <c r="I9" s="665">
        <v>351</v>
      </c>
      <c r="J9" s="665">
        <v>34</v>
      </c>
      <c r="K9" s="665">
        <v>12036</v>
      </c>
      <c r="L9" s="665">
        <v>1</v>
      </c>
      <c r="M9" s="665">
        <v>354</v>
      </c>
      <c r="N9" s="665">
        <v>29</v>
      </c>
      <c r="O9" s="665">
        <v>10266</v>
      </c>
      <c r="P9" s="686">
        <v>0.8529411764705882</v>
      </c>
      <c r="Q9" s="666">
        <v>354</v>
      </c>
    </row>
    <row r="10" spans="1:17" ht="14.4" customHeight="1" x14ac:dyDescent="0.3">
      <c r="A10" s="661" t="s">
        <v>2406</v>
      </c>
      <c r="B10" s="662" t="s">
        <v>2407</v>
      </c>
      <c r="C10" s="662" t="s">
        <v>1955</v>
      </c>
      <c r="D10" s="662" t="s">
        <v>2410</v>
      </c>
      <c r="E10" s="662" t="s">
        <v>2411</v>
      </c>
      <c r="F10" s="665">
        <v>23</v>
      </c>
      <c r="G10" s="665">
        <v>1495</v>
      </c>
      <c r="H10" s="665">
        <v>0.7931034482758621</v>
      </c>
      <c r="I10" s="665">
        <v>65</v>
      </c>
      <c r="J10" s="665">
        <v>29</v>
      </c>
      <c r="K10" s="665">
        <v>1885</v>
      </c>
      <c r="L10" s="665">
        <v>1</v>
      </c>
      <c r="M10" s="665">
        <v>65</v>
      </c>
      <c r="N10" s="665">
        <v>50</v>
      </c>
      <c r="O10" s="665">
        <v>3250</v>
      </c>
      <c r="P10" s="686">
        <v>1.7241379310344827</v>
      </c>
      <c r="Q10" s="666">
        <v>65</v>
      </c>
    </row>
    <row r="11" spans="1:17" ht="14.4" customHeight="1" x14ac:dyDescent="0.3">
      <c r="A11" s="661" t="s">
        <v>2406</v>
      </c>
      <c r="B11" s="662" t="s">
        <v>2407</v>
      </c>
      <c r="C11" s="662" t="s">
        <v>1955</v>
      </c>
      <c r="D11" s="662" t="s">
        <v>2412</v>
      </c>
      <c r="E11" s="662" t="s">
        <v>2413</v>
      </c>
      <c r="F11" s="665">
        <v>6</v>
      </c>
      <c r="G11" s="665">
        <v>144</v>
      </c>
      <c r="H11" s="665">
        <v>2</v>
      </c>
      <c r="I11" s="665">
        <v>24</v>
      </c>
      <c r="J11" s="665">
        <v>3</v>
      </c>
      <c r="K11" s="665">
        <v>72</v>
      </c>
      <c r="L11" s="665">
        <v>1</v>
      </c>
      <c r="M11" s="665">
        <v>24</v>
      </c>
      <c r="N11" s="665">
        <v>6</v>
      </c>
      <c r="O11" s="665">
        <v>144</v>
      </c>
      <c r="P11" s="686">
        <v>2</v>
      </c>
      <c r="Q11" s="666">
        <v>24</v>
      </c>
    </row>
    <row r="12" spans="1:17" ht="14.4" customHeight="1" x14ac:dyDescent="0.3">
      <c r="A12" s="661" t="s">
        <v>2406</v>
      </c>
      <c r="B12" s="662" t="s">
        <v>2407</v>
      </c>
      <c r="C12" s="662" t="s">
        <v>1955</v>
      </c>
      <c r="D12" s="662" t="s">
        <v>2414</v>
      </c>
      <c r="E12" s="662" t="s">
        <v>2415</v>
      </c>
      <c r="F12" s="665">
        <v>5</v>
      </c>
      <c r="G12" s="665">
        <v>270</v>
      </c>
      <c r="H12" s="665">
        <v>1.2272727272727273</v>
      </c>
      <c r="I12" s="665">
        <v>54</v>
      </c>
      <c r="J12" s="665">
        <v>4</v>
      </c>
      <c r="K12" s="665">
        <v>220</v>
      </c>
      <c r="L12" s="665">
        <v>1</v>
      </c>
      <c r="M12" s="665">
        <v>55</v>
      </c>
      <c r="N12" s="665">
        <v>28</v>
      </c>
      <c r="O12" s="665">
        <v>1540</v>
      </c>
      <c r="P12" s="686">
        <v>7</v>
      </c>
      <c r="Q12" s="666">
        <v>55</v>
      </c>
    </row>
    <row r="13" spans="1:17" ht="14.4" customHeight="1" x14ac:dyDescent="0.3">
      <c r="A13" s="661" t="s">
        <v>2406</v>
      </c>
      <c r="B13" s="662" t="s">
        <v>2407</v>
      </c>
      <c r="C13" s="662" t="s">
        <v>1955</v>
      </c>
      <c r="D13" s="662" t="s">
        <v>2416</v>
      </c>
      <c r="E13" s="662" t="s">
        <v>2417</v>
      </c>
      <c r="F13" s="665">
        <v>362</v>
      </c>
      <c r="G13" s="665">
        <v>27874</v>
      </c>
      <c r="H13" s="665">
        <v>0.82272727272727275</v>
      </c>
      <c r="I13" s="665">
        <v>77</v>
      </c>
      <c r="J13" s="665">
        <v>440</v>
      </c>
      <c r="K13" s="665">
        <v>33880</v>
      </c>
      <c r="L13" s="665">
        <v>1</v>
      </c>
      <c r="M13" s="665">
        <v>77</v>
      </c>
      <c r="N13" s="665">
        <v>495</v>
      </c>
      <c r="O13" s="665">
        <v>38115</v>
      </c>
      <c r="P13" s="686">
        <v>1.125</v>
      </c>
      <c r="Q13" s="666">
        <v>77</v>
      </c>
    </row>
    <row r="14" spans="1:17" ht="14.4" customHeight="1" x14ac:dyDescent="0.3">
      <c r="A14" s="661" t="s">
        <v>2406</v>
      </c>
      <c r="B14" s="662" t="s">
        <v>2407</v>
      </c>
      <c r="C14" s="662" t="s">
        <v>1955</v>
      </c>
      <c r="D14" s="662" t="s">
        <v>2418</v>
      </c>
      <c r="E14" s="662" t="s">
        <v>2419</v>
      </c>
      <c r="F14" s="665">
        <v>13</v>
      </c>
      <c r="G14" s="665">
        <v>299</v>
      </c>
      <c r="H14" s="665">
        <v>1.7797619047619047</v>
      </c>
      <c r="I14" s="665">
        <v>23</v>
      </c>
      <c r="J14" s="665">
        <v>7</v>
      </c>
      <c r="K14" s="665">
        <v>168</v>
      </c>
      <c r="L14" s="665">
        <v>1</v>
      </c>
      <c r="M14" s="665">
        <v>24</v>
      </c>
      <c r="N14" s="665">
        <v>15</v>
      </c>
      <c r="O14" s="665">
        <v>360</v>
      </c>
      <c r="P14" s="686">
        <v>2.1428571428571428</v>
      </c>
      <c r="Q14" s="666">
        <v>24</v>
      </c>
    </row>
    <row r="15" spans="1:17" ht="14.4" customHeight="1" x14ac:dyDescent="0.3">
      <c r="A15" s="661" t="s">
        <v>2406</v>
      </c>
      <c r="B15" s="662" t="s">
        <v>2407</v>
      </c>
      <c r="C15" s="662" t="s">
        <v>1955</v>
      </c>
      <c r="D15" s="662" t="s">
        <v>2420</v>
      </c>
      <c r="E15" s="662" t="s">
        <v>2421</v>
      </c>
      <c r="F15" s="665">
        <v>1</v>
      </c>
      <c r="G15" s="665">
        <v>66</v>
      </c>
      <c r="H15" s="665">
        <v>0.33333333333333331</v>
      </c>
      <c r="I15" s="665">
        <v>66</v>
      </c>
      <c r="J15" s="665">
        <v>3</v>
      </c>
      <c r="K15" s="665">
        <v>198</v>
      </c>
      <c r="L15" s="665">
        <v>1</v>
      </c>
      <c r="M15" s="665">
        <v>66</v>
      </c>
      <c r="N15" s="665">
        <v>4</v>
      </c>
      <c r="O15" s="665">
        <v>264</v>
      </c>
      <c r="P15" s="686">
        <v>1.3333333333333333</v>
      </c>
      <c r="Q15" s="666">
        <v>66</v>
      </c>
    </row>
    <row r="16" spans="1:17" ht="14.4" customHeight="1" x14ac:dyDescent="0.3">
      <c r="A16" s="661" t="s">
        <v>2406</v>
      </c>
      <c r="B16" s="662" t="s">
        <v>2407</v>
      </c>
      <c r="C16" s="662" t="s">
        <v>1955</v>
      </c>
      <c r="D16" s="662" t="s">
        <v>2422</v>
      </c>
      <c r="E16" s="662" t="s">
        <v>2423</v>
      </c>
      <c r="F16" s="665">
        <v>6</v>
      </c>
      <c r="G16" s="665">
        <v>144</v>
      </c>
      <c r="H16" s="665">
        <v>1.92</v>
      </c>
      <c r="I16" s="665">
        <v>24</v>
      </c>
      <c r="J16" s="665">
        <v>3</v>
      </c>
      <c r="K16" s="665">
        <v>75</v>
      </c>
      <c r="L16" s="665">
        <v>1</v>
      </c>
      <c r="M16" s="665">
        <v>25</v>
      </c>
      <c r="N16" s="665">
        <v>7</v>
      </c>
      <c r="O16" s="665">
        <v>175</v>
      </c>
      <c r="P16" s="686">
        <v>2.3333333333333335</v>
      </c>
      <c r="Q16" s="666">
        <v>25</v>
      </c>
    </row>
    <row r="17" spans="1:17" ht="14.4" customHeight="1" x14ac:dyDescent="0.3">
      <c r="A17" s="661" t="s">
        <v>2406</v>
      </c>
      <c r="B17" s="662" t="s">
        <v>2407</v>
      </c>
      <c r="C17" s="662" t="s">
        <v>1955</v>
      </c>
      <c r="D17" s="662" t="s">
        <v>2424</v>
      </c>
      <c r="E17" s="662" t="s">
        <v>2425</v>
      </c>
      <c r="F17" s="665">
        <v>30</v>
      </c>
      <c r="G17" s="665">
        <v>5400</v>
      </c>
      <c r="H17" s="665">
        <v>1.420678768745067</v>
      </c>
      <c r="I17" s="665">
        <v>180</v>
      </c>
      <c r="J17" s="665">
        <v>21</v>
      </c>
      <c r="K17" s="665">
        <v>3801</v>
      </c>
      <c r="L17" s="665">
        <v>1</v>
      </c>
      <c r="M17" s="665">
        <v>181</v>
      </c>
      <c r="N17" s="665">
        <v>72</v>
      </c>
      <c r="O17" s="665">
        <v>13032</v>
      </c>
      <c r="P17" s="686">
        <v>3.4285714285714284</v>
      </c>
      <c r="Q17" s="666">
        <v>181</v>
      </c>
    </row>
    <row r="18" spans="1:17" ht="14.4" customHeight="1" x14ac:dyDescent="0.3">
      <c r="A18" s="661" t="s">
        <v>2406</v>
      </c>
      <c r="B18" s="662" t="s">
        <v>2407</v>
      </c>
      <c r="C18" s="662" t="s">
        <v>1955</v>
      </c>
      <c r="D18" s="662" t="s">
        <v>2426</v>
      </c>
      <c r="E18" s="662" t="s">
        <v>2427</v>
      </c>
      <c r="F18" s="665">
        <v>15</v>
      </c>
      <c r="G18" s="665">
        <v>3795</v>
      </c>
      <c r="H18" s="665">
        <v>0.78636552009946126</v>
      </c>
      <c r="I18" s="665">
        <v>253</v>
      </c>
      <c r="J18" s="665">
        <v>19</v>
      </c>
      <c r="K18" s="665">
        <v>4826</v>
      </c>
      <c r="L18" s="665">
        <v>1</v>
      </c>
      <c r="M18" s="665">
        <v>254</v>
      </c>
      <c r="N18" s="665">
        <v>28</v>
      </c>
      <c r="O18" s="665">
        <v>7112</v>
      </c>
      <c r="P18" s="686">
        <v>1.4736842105263157</v>
      </c>
      <c r="Q18" s="666">
        <v>254</v>
      </c>
    </row>
    <row r="19" spans="1:17" ht="14.4" customHeight="1" x14ac:dyDescent="0.3">
      <c r="A19" s="661" t="s">
        <v>2406</v>
      </c>
      <c r="B19" s="662" t="s">
        <v>2407</v>
      </c>
      <c r="C19" s="662" t="s">
        <v>1955</v>
      </c>
      <c r="D19" s="662" t="s">
        <v>2428</v>
      </c>
      <c r="E19" s="662" t="s">
        <v>2429</v>
      </c>
      <c r="F19" s="665">
        <v>43</v>
      </c>
      <c r="G19" s="665">
        <v>9288</v>
      </c>
      <c r="H19" s="665">
        <v>0.67939433838051344</v>
      </c>
      <c r="I19" s="665">
        <v>216</v>
      </c>
      <c r="J19" s="665">
        <v>63</v>
      </c>
      <c r="K19" s="665">
        <v>13671</v>
      </c>
      <c r="L19" s="665">
        <v>1</v>
      </c>
      <c r="M19" s="665">
        <v>217</v>
      </c>
      <c r="N19" s="665">
        <v>141</v>
      </c>
      <c r="O19" s="665">
        <v>30597</v>
      </c>
      <c r="P19" s="686">
        <v>2.2380952380952381</v>
      </c>
      <c r="Q19" s="666">
        <v>217</v>
      </c>
    </row>
    <row r="20" spans="1:17" ht="14.4" customHeight="1" x14ac:dyDescent="0.3">
      <c r="A20" s="661" t="s">
        <v>2406</v>
      </c>
      <c r="B20" s="662" t="s">
        <v>2407</v>
      </c>
      <c r="C20" s="662" t="s">
        <v>1955</v>
      </c>
      <c r="D20" s="662" t="s">
        <v>2430</v>
      </c>
      <c r="E20" s="662" t="s">
        <v>2431</v>
      </c>
      <c r="F20" s="665">
        <v>1</v>
      </c>
      <c r="G20" s="665">
        <v>36</v>
      </c>
      <c r="H20" s="665"/>
      <c r="I20" s="665">
        <v>36</v>
      </c>
      <c r="J20" s="665"/>
      <c r="K20" s="665"/>
      <c r="L20" s="665"/>
      <c r="M20" s="665"/>
      <c r="N20" s="665">
        <v>1</v>
      </c>
      <c r="O20" s="665">
        <v>37</v>
      </c>
      <c r="P20" s="686"/>
      <c r="Q20" s="666">
        <v>37</v>
      </c>
    </row>
    <row r="21" spans="1:17" ht="14.4" customHeight="1" x14ac:dyDescent="0.3">
      <c r="A21" s="661" t="s">
        <v>2406</v>
      </c>
      <c r="B21" s="662" t="s">
        <v>2407</v>
      </c>
      <c r="C21" s="662" t="s">
        <v>1955</v>
      </c>
      <c r="D21" s="662" t="s">
        <v>2432</v>
      </c>
      <c r="E21" s="662" t="s">
        <v>2433</v>
      </c>
      <c r="F21" s="665">
        <v>1</v>
      </c>
      <c r="G21" s="665">
        <v>50</v>
      </c>
      <c r="H21" s="665"/>
      <c r="I21" s="665">
        <v>50</v>
      </c>
      <c r="J21" s="665"/>
      <c r="K21" s="665"/>
      <c r="L21" s="665"/>
      <c r="M21" s="665"/>
      <c r="N21" s="665"/>
      <c r="O21" s="665"/>
      <c r="P21" s="686"/>
      <c r="Q21" s="666"/>
    </row>
    <row r="22" spans="1:17" ht="14.4" customHeight="1" x14ac:dyDescent="0.3">
      <c r="A22" s="661" t="s">
        <v>2406</v>
      </c>
      <c r="B22" s="662" t="s">
        <v>2407</v>
      </c>
      <c r="C22" s="662" t="s">
        <v>1955</v>
      </c>
      <c r="D22" s="662" t="s">
        <v>2434</v>
      </c>
      <c r="E22" s="662" t="s">
        <v>2435</v>
      </c>
      <c r="F22" s="665"/>
      <c r="G22" s="665"/>
      <c r="H22" s="665"/>
      <c r="I22" s="665"/>
      <c r="J22" s="665"/>
      <c r="K22" s="665"/>
      <c r="L22" s="665"/>
      <c r="M22" s="665"/>
      <c r="N22" s="665">
        <v>2</v>
      </c>
      <c r="O22" s="665">
        <v>774</v>
      </c>
      <c r="P22" s="686"/>
      <c r="Q22" s="666">
        <v>387</v>
      </c>
    </row>
    <row r="23" spans="1:17" ht="14.4" customHeight="1" x14ac:dyDescent="0.3">
      <c r="A23" s="661" t="s">
        <v>2406</v>
      </c>
      <c r="B23" s="662" t="s">
        <v>2407</v>
      </c>
      <c r="C23" s="662" t="s">
        <v>1955</v>
      </c>
      <c r="D23" s="662" t="s">
        <v>2436</v>
      </c>
      <c r="E23" s="662" t="s">
        <v>2437</v>
      </c>
      <c r="F23" s="665"/>
      <c r="G23" s="665"/>
      <c r="H23" s="665"/>
      <c r="I23" s="665"/>
      <c r="J23" s="665"/>
      <c r="K23" s="665"/>
      <c r="L23" s="665"/>
      <c r="M23" s="665"/>
      <c r="N23" s="665">
        <v>18</v>
      </c>
      <c r="O23" s="665">
        <v>4392</v>
      </c>
      <c r="P23" s="686"/>
      <c r="Q23" s="666">
        <v>244</v>
      </c>
    </row>
    <row r="24" spans="1:17" ht="14.4" customHeight="1" x14ac:dyDescent="0.3">
      <c r="A24" s="661" t="s">
        <v>2438</v>
      </c>
      <c r="B24" s="662" t="s">
        <v>2439</v>
      </c>
      <c r="C24" s="662" t="s">
        <v>1955</v>
      </c>
      <c r="D24" s="662" t="s">
        <v>2440</v>
      </c>
      <c r="E24" s="662" t="s">
        <v>2441</v>
      </c>
      <c r="F24" s="665">
        <v>34</v>
      </c>
      <c r="G24" s="665">
        <v>918</v>
      </c>
      <c r="H24" s="665">
        <v>0.66666666666666663</v>
      </c>
      <c r="I24" s="665">
        <v>27</v>
      </c>
      <c r="J24" s="665">
        <v>51</v>
      </c>
      <c r="K24" s="665">
        <v>1377</v>
      </c>
      <c r="L24" s="665">
        <v>1</v>
      </c>
      <c r="M24" s="665">
        <v>27</v>
      </c>
      <c r="N24" s="665">
        <v>76</v>
      </c>
      <c r="O24" s="665">
        <v>2052</v>
      </c>
      <c r="P24" s="686">
        <v>1.4901960784313726</v>
      </c>
      <c r="Q24" s="666">
        <v>27</v>
      </c>
    </row>
    <row r="25" spans="1:17" ht="14.4" customHeight="1" x14ac:dyDescent="0.3">
      <c r="A25" s="661" t="s">
        <v>2438</v>
      </c>
      <c r="B25" s="662" t="s">
        <v>2439</v>
      </c>
      <c r="C25" s="662" t="s">
        <v>1955</v>
      </c>
      <c r="D25" s="662" t="s">
        <v>2442</v>
      </c>
      <c r="E25" s="662" t="s">
        <v>2443</v>
      </c>
      <c r="F25" s="665">
        <v>40</v>
      </c>
      <c r="G25" s="665">
        <v>2160</v>
      </c>
      <c r="H25" s="665">
        <v>0.75471698113207553</v>
      </c>
      <c r="I25" s="665">
        <v>54</v>
      </c>
      <c r="J25" s="665">
        <v>53</v>
      </c>
      <c r="K25" s="665">
        <v>2862</v>
      </c>
      <c r="L25" s="665">
        <v>1</v>
      </c>
      <c r="M25" s="665">
        <v>54</v>
      </c>
      <c r="N25" s="665">
        <v>87</v>
      </c>
      <c r="O25" s="665">
        <v>4698</v>
      </c>
      <c r="P25" s="686">
        <v>1.6415094339622642</v>
      </c>
      <c r="Q25" s="666">
        <v>54</v>
      </c>
    </row>
    <row r="26" spans="1:17" ht="14.4" customHeight="1" x14ac:dyDescent="0.3">
      <c r="A26" s="661" t="s">
        <v>2438</v>
      </c>
      <c r="B26" s="662" t="s">
        <v>2439</v>
      </c>
      <c r="C26" s="662" t="s">
        <v>1955</v>
      </c>
      <c r="D26" s="662" t="s">
        <v>2444</v>
      </c>
      <c r="E26" s="662" t="s">
        <v>2445</v>
      </c>
      <c r="F26" s="665">
        <v>172</v>
      </c>
      <c r="G26" s="665">
        <v>4128</v>
      </c>
      <c r="H26" s="665">
        <v>0.87755102040816324</v>
      </c>
      <c r="I26" s="665">
        <v>24</v>
      </c>
      <c r="J26" s="665">
        <v>196</v>
      </c>
      <c r="K26" s="665">
        <v>4704</v>
      </c>
      <c r="L26" s="665">
        <v>1</v>
      </c>
      <c r="M26" s="665">
        <v>24</v>
      </c>
      <c r="N26" s="665">
        <v>240</v>
      </c>
      <c r="O26" s="665">
        <v>5760</v>
      </c>
      <c r="P26" s="686">
        <v>1.2244897959183674</v>
      </c>
      <c r="Q26" s="666">
        <v>24</v>
      </c>
    </row>
    <row r="27" spans="1:17" ht="14.4" customHeight="1" x14ac:dyDescent="0.3">
      <c r="A27" s="661" t="s">
        <v>2438</v>
      </c>
      <c r="B27" s="662" t="s">
        <v>2439</v>
      </c>
      <c r="C27" s="662" t="s">
        <v>1955</v>
      </c>
      <c r="D27" s="662" t="s">
        <v>2446</v>
      </c>
      <c r="E27" s="662" t="s">
        <v>2447</v>
      </c>
      <c r="F27" s="665">
        <v>243</v>
      </c>
      <c r="G27" s="665">
        <v>6561</v>
      </c>
      <c r="H27" s="665">
        <v>0.92395437262357416</v>
      </c>
      <c r="I27" s="665">
        <v>27</v>
      </c>
      <c r="J27" s="665">
        <v>263</v>
      </c>
      <c r="K27" s="665">
        <v>7101</v>
      </c>
      <c r="L27" s="665">
        <v>1</v>
      </c>
      <c r="M27" s="665">
        <v>27</v>
      </c>
      <c r="N27" s="665">
        <v>322</v>
      </c>
      <c r="O27" s="665">
        <v>8694</v>
      </c>
      <c r="P27" s="686">
        <v>1.2243346007604563</v>
      </c>
      <c r="Q27" s="666">
        <v>27</v>
      </c>
    </row>
    <row r="28" spans="1:17" ht="14.4" customHeight="1" x14ac:dyDescent="0.3">
      <c r="A28" s="661" t="s">
        <v>2438</v>
      </c>
      <c r="B28" s="662" t="s">
        <v>2439</v>
      </c>
      <c r="C28" s="662" t="s">
        <v>1955</v>
      </c>
      <c r="D28" s="662" t="s">
        <v>2448</v>
      </c>
      <c r="E28" s="662" t="s">
        <v>2449</v>
      </c>
      <c r="F28" s="665">
        <v>2</v>
      </c>
      <c r="G28" s="665">
        <v>114</v>
      </c>
      <c r="H28" s="665"/>
      <c r="I28" s="665">
        <v>57</v>
      </c>
      <c r="J28" s="665"/>
      <c r="K28" s="665"/>
      <c r="L28" s="665"/>
      <c r="M28" s="665"/>
      <c r="N28" s="665"/>
      <c r="O28" s="665"/>
      <c r="P28" s="686"/>
      <c r="Q28" s="666"/>
    </row>
    <row r="29" spans="1:17" ht="14.4" customHeight="1" x14ac:dyDescent="0.3">
      <c r="A29" s="661" t="s">
        <v>2438</v>
      </c>
      <c r="B29" s="662" t="s">
        <v>2439</v>
      </c>
      <c r="C29" s="662" t="s">
        <v>1955</v>
      </c>
      <c r="D29" s="662" t="s">
        <v>2450</v>
      </c>
      <c r="E29" s="662" t="s">
        <v>2451</v>
      </c>
      <c r="F29" s="665">
        <v>40</v>
      </c>
      <c r="G29" s="665">
        <v>1080</v>
      </c>
      <c r="H29" s="665">
        <v>1.1111111111111112</v>
      </c>
      <c r="I29" s="665">
        <v>27</v>
      </c>
      <c r="J29" s="665">
        <v>36</v>
      </c>
      <c r="K29" s="665">
        <v>972</v>
      </c>
      <c r="L29" s="665">
        <v>1</v>
      </c>
      <c r="M29" s="665">
        <v>27</v>
      </c>
      <c r="N29" s="665">
        <v>69</v>
      </c>
      <c r="O29" s="665">
        <v>1863</v>
      </c>
      <c r="P29" s="686">
        <v>1.9166666666666667</v>
      </c>
      <c r="Q29" s="666">
        <v>27</v>
      </c>
    </row>
    <row r="30" spans="1:17" ht="14.4" customHeight="1" x14ac:dyDescent="0.3">
      <c r="A30" s="661" t="s">
        <v>2438</v>
      </c>
      <c r="B30" s="662" t="s">
        <v>2439</v>
      </c>
      <c r="C30" s="662" t="s">
        <v>1955</v>
      </c>
      <c r="D30" s="662" t="s">
        <v>2452</v>
      </c>
      <c r="E30" s="662" t="s">
        <v>2453</v>
      </c>
      <c r="F30" s="665">
        <v>382</v>
      </c>
      <c r="G30" s="665">
        <v>8404</v>
      </c>
      <c r="H30" s="665">
        <v>0.51137884872824635</v>
      </c>
      <c r="I30" s="665">
        <v>22</v>
      </c>
      <c r="J30" s="665">
        <v>747</v>
      </c>
      <c r="K30" s="665">
        <v>16434</v>
      </c>
      <c r="L30" s="665">
        <v>1</v>
      </c>
      <c r="M30" s="665">
        <v>22</v>
      </c>
      <c r="N30" s="665">
        <v>1305</v>
      </c>
      <c r="O30" s="665">
        <v>28710</v>
      </c>
      <c r="P30" s="686">
        <v>1.7469879518072289</v>
      </c>
      <c r="Q30" s="666">
        <v>22</v>
      </c>
    </row>
    <row r="31" spans="1:17" ht="14.4" customHeight="1" x14ac:dyDescent="0.3">
      <c r="A31" s="661" t="s">
        <v>2438</v>
      </c>
      <c r="B31" s="662" t="s">
        <v>2439</v>
      </c>
      <c r="C31" s="662" t="s">
        <v>1955</v>
      </c>
      <c r="D31" s="662" t="s">
        <v>2454</v>
      </c>
      <c r="E31" s="662" t="s">
        <v>2455</v>
      </c>
      <c r="F31" s="665"/>
      <c r="G31" s="665"/>
      <c r="H31" s="665"/>
      <c r="I31" s="665"/>
      <c r="J31" s="665"/>
      <c r="K31" s="665"/>
      <c r="L31" s="665"/>
      <c r="M31" s="665"/>
      <c r="N31" s="665">
        <v>2</v>
      </c>
      <c r="O31" s="665">
        <v>136</v>
      </c>
      <c r="P31" s="686"/>
      <c r="Q31" s="666">
        <v>68</v>
      </c>
    </row>
    <row r="32" spans="1:17" ht="14.4" customHeight="1" x14ac:dyDescent="0.3">
      <c r="A32" s="661" t="s">
        <v>2438</v>
      </c>
      <c r="B32" s="662" t="s">
        <v>2439</v>
      </c>
      <c r="C32" s="662" t="s">
        <v>1955</v>
      </c>
      <c r="D32" s="662" t="s">
        <v>2456</v>
      </c>
      <c r="E32" s="662" t="s">
        <v>2457</v>
      </c>
      <c r="F32" s="665">
        <v>1</v>
      </c>
      <c r="G32" s="665">
        <v>62</v>
      </c>
      <c r="H32" s="665"/>
      <c r="I32" s="665">
        <v>62</v>
      </c>
      <c r="J32" s="665"/>
      <c r="K32" s="665"/>
      <c r="L32" s="665"/>
      <c r="M32" s="665"/>
      <c r="N32" s="665"/>
      <c r="O32" s="665"/>
      <c r="P32" s="686"/>
      <c r="Q32" s="666"/>
    </row>
    <row r="33" spans="1:17" ht="14.4" customHeight="1" x14ac:dyDescent="0.3">
      <c r="A33" s="661" t="s">
        <v>2438</v>
      </c>
      <c r="B33" s="662" t="s">
        <v>2439</v>
      </c>
      <c r="C33" s="662" t="s">
        <v>1955</v>
      </c>
      <c r="D33" s="662" t="s">
        <v>2458</v>
      </c>
      <c r="E33" s="662" t="s">
        <v>2459</v>
      </c>
      <c r="F33" s="665">
        <v>319</v>
      </c>
      <c r="G33" s="665">
        <v>19778</v>
      </c>
      <c r="H33" s="665">
        <v>0.50554675118858949</v>
      </c>
      <c r="I33" s="665">
        <v>62</v>
      </c>
      <c r="J33" s="665">
        <v>631</v>
      </c>
      <c r="K33" s="665">
        <v>39122</v>
      </c>
      <c r="L33" s="665">
        <v>1</v>
      </c>
      <c r="M33" s="665">
        <v>62</v>
      </c>
      <c r="N33" s="665">
        <v>1167</v>
      </c>
      <c r="O33" s="665">
        <v>72354</v>
      </c>
      <c r="P33" s="686">
        <v>1.8494453248811411</v>
      </c>
      <c r="Q33" s="666">
        <v>62</v>
      </c>
    </row>
    <row r="34" spans="1:17" ht="14.4" customHeight="1" x14ac:dyDescent="0.3">
      <c r="A34" s="661" t="s">
        <v>2438</v>
      </c>
      <c r="B34" s="662" t="s">
        <v>2439</v>
      </c>
      <c r="C34" s="662" t="s">
        <v>1955</v>
      </c>
      <c r="D34" s="662" t="s">
        <v>2460</v>
      </c>
      <c r="E34" s="662" t="s">
        <v>2461</v>
      </c>
      <c r="F34" s="665"/>
      <c r="G34" s="665"/>
      <c r="H34" s="665"/>
      <c r="I34" s="665"/>
      <c r="J34" s="665"/>
      <c r="K34" s="665"/>
      <c r="L34" s="665"/>
      <c r="M34" s="665"/>
      <c r="N34" s="665">
        <v>1</v>
      </c>
      <c r="O34" s="665">
        <v>394</v>
      </c>
      <c r="P34" s="686"/>
      <c r="Q34" s="666">
        <v>394</v>
      </c>
    </row>
    <row r="35" spans="1:17" ht="14.4" customHeight="1" x14ac:dyDescent="0.3">
      <c r="A35" s="661" t="s">
        <v>2438</v>
      </c>
      <c r="B35" s="662" t="s">
        <v>2439</v>
      </c>
      <c r="C35" s="662" t="s">
        <v>1955</v>
      </c>
      <c r="D35" s="662" t="s">
        <v>2462</v>
      </c>
      <c r="E35" s="662" t="s">
        <v>2463</v>
      </c>
      <c r="F35" s="665">
        <v>25</v>
      </c>
      <c r="G35" s="665">
        <v>24675</v>
      </c>
      <c r="H35" s="665">
        <v>0.80563536633146138</v>
      </c>
      <c r="I35" s="665">
        <v>987</v>
      </c>
      <c r="J35" s="665">
        <v>31</v>
      </c>
      <c r="K35" s="665">
        <v>30628</v>
      </c>
      <c r="L35" s="665">
        <v>1</v>
      </c>
      <c r="M35" s="665">
        <v>988</v>
      </c>
      <c r="N35" s="665">
        <v>25</v>
      </c>
      <c r="O35" s="665">
        <v>24700</v>
      </c>
      <c r="P35" s="686">
        <v>0.80645161290322576</v>
      </c>
      <c r="Q35" s="666">
        <v>988</v>
      </c>
    </row>
    <row r="36" spans="1:17" ht="14.4" customHeight="1" x14ac:dyDescent="0.3">
      <c r="A36" s="661" t="s">
        <v>2438</v>
      </c>
      <c r="B36" s="662" t="s">
        <v>2439</v>
      </c>
      <c r="C36" s="662" t="s">
        <v>1955</v>
      </c>
      <c r="D36" s="662" t="s">
        <v>2464</v>
      </c>
      <c r="E36" s="662" t="s">
        <v>2465</v>
      </c>
      <c r="F36" s="665">
        <v>1</v>
      </c>
      <c r="G36" s="665">
        <v>191</v>
      </c>
      <c r="H36" s="665"/>
      <c r="I36" s="665">
        <v>191</v>
      </c>
      <c r="J36" s="665"/>
      <c r="K36" s="665"/>
      <c r="L36" s="665"/>
      <c r="M36" s="665"/>
      <c r="N36" s="665"/>
      <c r="O36" s="665"/>
      <c r="P36" s="686"/>
      <c r="Q36" s="666"/>
    </row>
    <row r="37" spans="1:17" ht="14.4" customHeight="1" x14ac:dyDescent="0.3">
      <c r="A37" s="661" t="s">
        <v>2438</v>
      </c>
      <c r="B37" s="662" t="s">
        <v>2439</v>
      </c>
      <c r="C37" s="662" t="s">
        <v>1955</v>
      </c>
      <c r="D37" s="662" t="s">
        <v>2466</v>
      </c>
      <c r="E37" s="662" t="s">
        <v>2467</v>
      </c>
      <c r="F37" s="665">
        <v>2</v>
      </c>
      <c r="G37" s="665">
        <v>164</v>
      </c>
      <c r="H37" s="665"/>
      <c r="I37" s="665">
        <v>82</v>
      </c>
      <c r="J37" s="665"/>
      <c r="K37" s="665"/>
      <c r="L37" s="665"/>
      <c r="M37" s="665"/>
      <c r="N37" s="665">
        <v>1</v>
      </c>
      <c r="O37" s="665">
        <v>82</v>
      </c>
      <c r="P37" s="686"/>
      <c r="Q37" s="666">
        <v>82</v>
      </c>
    </row>
    <row r="38" spans="1:17" ht="14.4" customHeight="1" x14ac:dyDescent="0.3">
      <c r="A38" s="661" t="s">
        <v>2438</v>
      </c>
      <c r="B38" s="662" t="s">
        <v>2439</v>
      </c>
      <c r="C38" s="662" t="s">
        <v>1955</v>
      </c>
      <c r="D38" s="662" t="s">
        <v>2468</v>
      </c>
      <c r="E38" s="662" t="s">
        <v>2469</v>
      </c>
      <c r="F38" s="665">
        <v>1</v>
      </c>
      <c r="G38" s="665">
        <v>63</v>
      </c>
      <c r="H38" s="665">
        <v>0.33333333333333331</v>
      </c>
      <c r="I38" s="665">
        <v>63</v>
      </c>
      <c r="J38" s="665">
        <v>3</v>
      </c>
      <c r="K38" s="665">
        <v>189</v>
      </c>
      <c r="L38" s="665">
        <v>1</v>
      </c>
      <c r="M38" s="665">
        <v>63</v>
      </c>
      <c r="N38" s="665">
        <v>2</v>
      </c>
      <c r="O38" s="665">
        <v>126</v>
      </c>
      <c r="P38" s="686">
        <v>0.66666666666666663</v>
      </c>
      <c r="Q38" s="666">
        <v>63</v>
      </c>
    </row>
    <row r="39" spans="1:17" ht="14.4" customHeight="1" x14ac:dyDescent="0.3">
      <c r="A39" s="661" t="s">
        <v>2438</v>
      </c>
      <c r="B39" s="662" t="s">
        <v>2439</v>
      </c>
      <c r="C39" s="662" t="s">
        <v>1955</v>
      </c>
      <c r="D39" s="662" t="s">
        <v>2470</v>
      </c>
      <c r="E39" s="662" t="s">
        <v>2471</v>
      </c>
      <c r="F39" s="665">
        <v>113</v>
      </c>
      <c r="G39" s="665">
        <v>1921</v>
      </c>
      <c r="H39" s="665">
        <v>0.78472222222222221</v>
      </c>
      <c r="I39" s="665">
        <v>17</v>
      </c>
      <c r="J39" s="665">
        <v>144</v>
      </c>
      <c r="K39" s="665">
        <v>2448</v>
      </c>
      <c r="L39" s="665">
        <v>1</v>
      </c>
      <c r="M39" s="665">
        <v>17</v>
      </c>
      <c r="N39" s="665">
        <v>177</v>
      </c>
      <c r="O39" s="665">
        <v>3009</v>
      </c>
      <c r="P39" s="686">
        <v>1.2291666666666667</v>
      </c>
      <c r="Q39" s="666">
        <v>17</v>
      </c>
    </row>
    <row r="40" spans="1:17" ht="14.4" customHeight="1" x14ac:dyDescent="0.3">
      <c r="A40" s="661" t="s">
        <v>2438</v>
      </c>
      <c r="B40" s="662" t="s">
        <v>2439</v>
      </c>
      <c r="C40" s="662" t="s">
        <v>1955</v>
      </c>
      <c r="D40" s="662" t="s">
        <v>2472</v>
      </c>
      <c r="E40" s="662" t="s">
        <v>2473</v>
      </c>
      <c r="F40" s="665"/>
      <c r="G40" s="665"/>
      <c r="H40" s="665"/>
      <c r="I40" s="665"/>
      <c r="J40" s="665">
        <v>1</v>
      </c>
      <c r="K40" s="665">
        <v>64</v>
      </c>
      <c r="L40" s="665">
        <v>1</v>
      </c>
      <c r="M40" s="665">
        <v>64</v>
      </c>
      <c r="N40" s="665"/>
      <c r="O40" s="665"/>
      <c r="P40" s="686"/>
      <c r="Q40" s="666"/>
    </row>
    <row r="41" spans="1:17" ht="14.4" customHeight="1" x14ac:dyDescent="0.3">
      <c r="A41" s="661" t="s">
        <v>2438</v>
      </c>
      <c r="B41" s="662" t="s">
        <v>2439</v>
      </c>
      <c r="C41" s="662" t="s">
        <v>1955</v>
      </c>
      <c r="D41" s="662" t="s">
        <v>2474</v>
      </c>
      <c r="E41" s="662" t="s">
        <v>2475</v>
      </c>
      <c r="F41" s="665"/>
      <c r="G41" s="665"/>
      <c r="H41" s="665"/>
      <c r="I41" s="665"/>
      <c r="J41" s="665">
        <v>1</v>
      </c>
      <c r="K41" s="665">
        <v>47</v>
      </c>
      <c r="L41" s="665">
        <v>1</v>
      </c>
      <c r="M41" s="665">
        <v>47</v>
      </c>
      <c r="N41" s="665">
        <v>2</v>
      </c>
      <c r="O41" s="665">
        <v>94</v>
      </c>
      <c r="P41" s="686">
        <v>2</v>
      </c>
      <c r="Q41" s="666">
        <v>47</v>
      </c>
    </row>
    <row r="42" spans="1:17" ht="14.4" customHeight="1" x14ac:dyDescent="0.3">
      <c r="A42" s="661" t="s">
        <v>2438</v>
      </c>
      <c r="B42" s="662" t="s">
        <v>2439</v>
      </c>
      <c r="C42" s="662" t="s">
        <v>1955</v>
      </c>
      <c r="D42" s="662" t="s">
        <v>2476</v>
      </c>
      <c r="E42" s="662" t="s">
        <v>2477</v>
      </c>
      <c r="F42" s="665"/>
      <c r="G42" s="665"/>
      <c r="H42" s="665"/>
      <c r="I42" s="665"/>
      <c r="J42" s="665"/>
      <c r="K42" s="665"/>
      <c r="L42" s="665"/>
      <c r="M42" s="665"/>
      <c r="N42" s="665">
        <v>1</v>
      </c>
      <c r="O42" s="665">
        <v>60</v>
      </c>
      <c r="P42" s="686"/>
      <c r="Q42" s="666">
        <v>60</v>
      </c>
    </row>
    <row r="43" spans="1:17" ht="14.4" customHeight="1" x14ac:dyDescent="0.3">
      <c r="A43" s="661" t="s">
        <v>2438</v>
      </c>
      <c r="B43" s="662" t="s">
        <v>2439</v>
      </c>
      <c r="C43" s="662" t="s">
        <v>1955</v>
      </c>
      <c r="D43" s="662" t="s">
        <v>2478</v>
      </c>
      <c r="E43" s="662" t="s">
        <v>2479</v>
      </c>
      <c r="F43" s="665"/>
      <c r="G43" s="665"/>
      <c r="H43" s="665"/>
      <c r="I43" s="665"/>
      <c r="J43" s="665">
        <v>2</v>
      </c>
      <c r="K43" s="665">
        <v>928</v>
      </c>
      <c r="L43" s="665">
        <v>1</v>
      </c>
      <c r="M43" s="665">
        <v>464</v>
      </c>
      <c r="N43" s="665"/>
      <c r="O43" s="665"/>
      <c r="P43" s="686"/>
      <c r="Q43" s="666"/>
    </row>
    <row r="44" spans="1:17" ht="14.4" customHeight="1" x14ac:dyDescent="0.3">
      <c r="A44" s="661" t="s">
        <v>2438</v>
      </c>
      <c r="B44" s="662" t="s">
        <v>2439</v>
      </c>
      <c r="C44" s="662" t="s">
        <v>1955</v>
      </c>
      <c r="D44" s="662" t="s">
        <v>2480</v>
      </c>
      <c r="E44" s="662" t="s">
        <v>2481</v>
      </c>
      <c r="F44" s="665">
        <v>15</v>
      </c>
      <c r="G44" s="665">
        <v>12780</v>
      </c>
      <c r="H44" s="665">
        <v>1.1524934619893588</v>
      </c>
      <c r="I44" s="665">
        <v>852</v>
      </c>
      <c r="J44" s="665">
        <v>13</v>
      </c>
      <c r="K44" s="665">
        <v>11089</v>
      </c>
      <c r="L44" s="665">
        <v>1</v>
      </c>
      <c r="M44" s="665">
        <v>853</v>
      </c>
      <c r="N44" s="665">
        <v>21</v>
      </c>
      <c r="O44" s="665">
        <v>17913</v>
      </c>
      <c r="P44" s="686">
        <v>1.6153846153846154</v>
      </c>
      <c r="Q44" s="666">
        <v>853</v>
      </c>
    </row>
    <row r="45" spans="1:17" ht="14.4" customHeight="1" x14ac:dyDescent="0.3">
      <c r="A45" s="661" t="s">
        <v>2438</v>
      </c>
      <c r="B45" s="662" t="s">
        <v>2439</v>
      </c>
      <c r="C45" s="662" t="s">
        <v>1955</v>
      </c>
      <c r="D45" s="662" t="s">
        <v>2482</v>
      </c>
      <c r="E45" s="662" t="s">
        <v>2483</v>
      </c>
      <c r="F45" s="665"/>
      <c r="G45" s="665"/>
      <c r="H45" s="665"/>
      <c r="I45" s="665"/>
      <c r="J45" s="665"/>
      <c r="K45" s="665"/>
      <c r="L45" s="665"/>
      <c r="M45" s="665"/>
      <c r="N45" s="665">
        <v>10</v>
      </c>
      <c r="O45" s="665">
        <v>1870</v>
      </c>
      <c r="P45" s="686"/>
      <c r="Q45" s="666">
        <v>187</v>
      </c>
    </row>
    <row r="46" spans="1:17" ht="14.4" customHeight="1" x14ac:dyDescent="0.3">
      <c r="A46" s="661" t="s">
        <v>2438</v>
      </c>
      <c r="B46" s="662" t="s">
        <v>2439</v>
      </c>
      <c r="C46" s="662" t="s">
        <v>1955</v>
      </c>
      <c r="D46" s="662" t="s">
        <v>2484</v>
      </c>
      <c r="E46" s="662" t="s">
        <v>2485</v>
      </c>
      <c r="F46" s="665">
        <v>1</v>
      </c>
      <c r="G46" s="665">
        <v>351</v>
      </c>
      <c r="H46" s="665"/>
      <c r="I46" s="665">
        <v>351</v>
      </c>
      <c r="J46" s="665"/>
      <c r="K46" s="665"/>
      <c r="L46" s="665"/>
      <c r="M46" s="665"/>
      <c r="N46" s="665"/>
      <c r="O46" s="665"/>
      <c r="P46" s="686"/>
      <c r="Q46" s="666"/>
    </row>
    <row r="47" spans="1:17" ht="14.4" customHeight="1" x14ac:dyDescent="0.3">
      <c r="A47" s="661" t="s">
        <v>2438</v>
      </c>
      <c r="B47" s="662" t="s">
        <v>2439</v>
      </c>
      <c r="C47" s="662" t="s">
        <v>1955</v>
      </c>
      <c r="D47" s="662" t="s">
        <v>2486</v>
      </c>
      <c r="E47" s="662" t="s">
        <v>2487</v>
      </c>
      <c r="F47" s="665">
        <v>1</v>
      </c>
      <c r="G47" s="665">
        <v>1216</v>
      </c>
      <c r="H47" s="665"/>
      <c r="I47" s="665">
        <v>1216</v>
      </c>
      <c r="J47" s="665"/>
      <c r="K47" s="665"/>
      <c r="L47" s="665"/>
      <c r="M47" s="665"/>
      <c r="N47" s="665">
        <v>1</v>
      </c>
      <c r="O47" s="665">
        <v>1222</v>
      </c>
      <c r="P47" s="686"/>
      <c r="Q47" s="666">
        <v>1222</v>
      </c>
    </row>
    <row r="48" spans="1:17" ht="14.4" customHeight="1" x14ac:dyDescent="0.3">
      <c r="A48" s="661" t="s">
        <v>2438</v>
      </c>
      <c r="B48" s="662" t="s">
        <v>2439</v>
      </c>
      <c r="C48" s="662" t="s">
        <v>1955</v>
      </c>
      <c r="D48" s="662" t="s">
        <v>2488</v>
      </c>
      <c r="E48" s="662" t="s">
        <v>2489</v>
      </c>
      <c r="F48" s="665">
        <v>53</v>
      </c>
      <c r="G48" s="665">
        <v>41658</v>
      </c>
      <c r="H48" s="665">
        <v>0.8822109275730623</v>
      </c>
      <c r="I48" s="665">
        <v>786</v>
      </c>
      <c r="J48" s="665">
        <v>60</v>
      </c>
      <c r="K48" s="665">
        <v>47220</v>
      </c>
      <c r="L48" s="665">
        <v>1</v>
      </c>
      <c r="M48" s="665">
        <v>787</v>
      </c>
      <c r="N48" s="665">
        <v>142</v>
      </c>
      <c r="O48" s="665">
        <v>111896</v>
      </c>
      <c r="P48" s="686">
        <v>2.3696738670055062</v>
      </c>
      <c r="Q48" s="666">
        <v>788</v>
      </c>
    </row>
    <row r="49" spans="1:17" ht="14.4" customHeight="1" x14ac:dyDescent="0.3">
      <c r="A49" s="661" t="s">
        <v>2438</v>
      </c>
      <c r="B49" s="662" t="s">
        <v>2439</v>
      </c>
      <c r="C49" s="662" t="s">
        <v>1955</v>
      </c>
      <c r="D49" s="662" t="s">
        <v>2490</v>
      </c>
      <c r="E49" s="662" t="s">
        <v>2491</v>
      </c>
      <c r="F49" s="665"/>
      <c r="G49" s="665"/>
      <c r="H49" s="665"/>
      <c r="I49" s="665"/>
      <c r="J49" s="665"/>
      <c r="K49" s="665"/>
      <c r="L49" s="665"/>
      <c r="M49" s="665"/>
      <c r="N49" s="665">
        <v>1</v>
      </c>
      <c r="O49" s="665">
        <v>189</v>
      </c>
      <c r="P49" s="686"/>
      <c r="Q49" s="666">
        <v>189</v>
      </c>
    </row>
    <row r="50" spans="1:17" ht="14.4" customHeight="1" x14ac:dyDescent="0.3">
      <c r="A50" s="661" t="s">
        <v>2438</v>
      </c>
      <c r="B50" s="662" t="s">
        <v>2439</v>
      </c>
      <c r="C50" s="662" t="s">
        <v>1955</v>
      </c>
      <c r="D50" s="662" t="s">
        <v>2492</v>
      </c>
      <c r="E50" s="662" t="s">
        <v>2493</v>
      </c>
      <c r="F50" s="665">
        <v>1</v>
      </c>
      <c r="G50" s="665">
        <v>228</v>
      </c>
      <c r="H50" s="665"/>
      <c r="I50" s="665">
        <v>228</v>
      </c>
      <c r="J50" s="665"/>
      <c r="K50" s="665"/>
      <c r="L50" s="665"/>
      <c r="M50" s="665"/>
      <c r="N50" s="665"/>
      <c r="O50" s="665"/>
      <c r="P50" s="686"/>
      <c r="Q50" s="666"/>
    </row>
    <row r="51" spans="1:17" ht="14.4" customHeight="1" x14ac:dyDescent="0.3">
      <c r="A51" s="661" t="s">
        <v>2438</v>
      </c>
      <c r="B51" s="662" t="s">
        <v>2439</v>
      </c>
      <c r="C51" s="662" t="s">
        <v>1955</v>
      </c>
      <c r="D51" s="662" t="s">
        <v>2494</v>
      </c>
      <c r="E51" s="662" t="s">
        <v>2495</v>
      </c>
      <c r="F51" s="665">
        <v>1</v>
      </c>
      <c r="G51" s="665">
        <v>132</v>
      </c>
      <c r="H51" s="665">
        <v>0.99248120300751874</v>
      </c>
      <c r="I51" s="665">
        <v>132</v>
      </c>
      <c r="J51" s="665">
        <v>1</v>
      </c>
      <c r="K51" s="665">
        <v>133</v>
      </c>
      <c r="L51" s="665">
        <v>1</v>
      </c>
      <c r="M51" s="665">
        <v>133</v>
      </c>
      <c r="N51" s="665"/>
      <c r="O51" s="665"/>
      <c r="P51" s="686"/>
      <c r="Q51" s="666"/>
    </row>
    <row r="52" spans="1:17" ht="14.4" customHeight="1" x14ac:dyDescent="0.3">
      <c r="A52" s="661" t="s">
        <v>2438</v>
      </c>
      <c r="B52" s="662" t="s">
        <v>2439</v>
      </c>
      <c r="C52" s="662" t="s">
        <v>1955</v>
      </c>
      <c r="D52" s="662" t="s">
        <v>2496</v>
      </c>
      <c r="E52" s="662" t="s">
        <v>2497</v>
      </c>
      <c r="F52" s="665">
        <v>3</v>
      </c>
      <c r="G52" s="665">
        <v>267</v>
      </c>
      <c r="H52" s="665">
        <v>1.5</v>
      </c>
      <c r="I52" s="665">
        <v>89</v>
      </c>
      <c r="J52" s="665">
        <v>2</v>
      </c>
      <c r="K52" s="665">
        <v>178</v>
      </c>
      <c r="L52" s="665">
        <v>1</v>
      </c>
      <c r="M52" s="665">
        <v>89</v>
      </c>
      <c r="N52" s="665">
        <v>1</v>
      </c>
      <c r="O52" s="665">
        <v>89</v>
      </c>
      <c r="P52" s="686">
        <v>0.5</v>
      </c>
      <c r="Q52" s="666">
        <v>89</v>
      </c>
    </row>
    <row r="53" spans="1:17" ht="14.4" customHeight="1" x14ac:dyDescent="0.3">
      <c r="A53" s="661" t="s">
        <v>2438</v>
      </c>
      <c r="B53" s="662" t="s">
        <v>2439</v>
      </c>
      <c r="C53" s="662" t="s">
        <v>1955</v>
      </c>
      <c r="D53" s="662" t="s">
        <v>2498</v>
      </c>
      <c r="E53" s="662" t="s">
        <v>2499</v>
      </c>
      <c r="F53" s="665">
        <v>393</v>
      </c>
      <c r="G53" s="665">
        <v>11790</v>
      </c>
      <c r="H53" s="665">
        <v>0.52400000000000002</v>
      </c>
      <c r="I53" s="665">
        <v>30</v>
      </c>
      <c r="J53" s="665">
        <v>750</v>
      </c>
      <c r="K53" s="665">
        <v>22500</v>
      </c>
      <c r="L53" s="665">
        <v>1</v>
      </c>
      <c r="M53" s="665">
        <v>30</v>
      </c>
      <c r="N53" s="665">
        <v>1306</v>
      </c>
      <c r="O53" s="665">
        <v>39180</v>
      </c>
      <c r="P53" s="686">
        <v>1.7413333333333334</v>
      </c>
      <c r="Q53" s="666">
        <v>30</v>
      </c>
    </row>
    <row r="54" spans="1:17" ht="14.4" customHeight="1" x14ac:dyDescent="0.3">
      <c r="A54" s="661" t="s">
        <v>2438</v>
      </c>
      <c r="B54" s="662" t="s">
        <v>2439</v>
      </c>
      <c r="C54" s="662" t="s">
        <v>1955</v>
      </c>
      <c r="D54" s="662" t="s">
        <v>2500</v>
      </c>
      <c r="E54" s="662" t="s">
        <v>2501</v>
      </c>
      <c r="F54" s="665"/>
      <c r="G54" s="665"/>
      <c r="H54" s="665"/>
      <c r="I54" s="665"/>
      <c r="J54" s="665"/>
      <c r="K54" s="665"/>
      <c r="L54" s="665"/>
      <c r="M54" s="665"/>
      <c r="N54" s="665">
        <v>1</v>
      </c>
      <c r="O54" s="665">
        <v>50</v>
      </c>
      <c r="P54" s="686"/>
      <c r="Q54" s="666">
        <v>50</v>
      </c>
    </row>
    <row r="55" spans="1:17" ht="14.4" customHeight="1" x14ac:dyDescent="0.3">
      <c r="A55" s="661" t="s">
        <v>2438</v>
      </c>
      <c r="B55" s="662" t="s">
        <v>2439</v>
      </c>
      <c r="C55" s="662" t="s">
        <v>1955</v>
      </c>
      <c r="D55" s="662" t="s">
        <v>2502</v>
      </c>
      <c r="E55" s="662" t="s">
        <v>2503</v>
      </c>
      <c r="F55" s="665">
        <v>62</v>
      </c>
      <c r="G55" s="665">
        <v>744</v>
      </c>
      <c r="H55" s="665">
        <v>0.60784313725490191</v>
      </c>
      <c r="I55" s="665">
        <v>12</v>
      </c>
      <c r="J55" s="665">
        <v>102</v>
      </c>
      <c r="K55" s="665">
        <v>1224</v>
      </c>
      <c r="L55" s="665">
        <v>1</v>
      </c>
      <c r="M55" s="665">
        <v>12</v>
      </c>
      <c r="N55" s="665">
        <v>121</v>
      </c>
      <c r="O55" s="665">
        <v>1452</v>
      </c>
      <c r="P55" s="686">
        <v>1.1862745098039216</v>
      </c>
      <c r="Q55" s="666">
        <v>12</v>
      </c>
    </row>
    <row r="56" spans="1:17" ht="14.4" customHeight="1" x14ac:dyDescent="0.3">
      <c r="A56" s="661" t="s">
        <v>2438</v>
      </c>
      <c r="B56" s="662" t="s">
        <v>2439</v>
      </c>
      <c r="C56" s="662" t="s">
        <v>1955</v>
      </c>
      <c r="D56" s="662" t="s">
        <v>2504</v>
      </c>
      <c r="E56" s="662" t="s">
        <v>2505</v>
      </c>
      <c r="F56" s="665">
        <v>3</v>
      </c>
      <c r="G56" s="665">
        <v>546</v>
      </c>
      <c r="H56" s="665">
        <v>0.99453551912568305</v>
      </c>
      <c r="I56" s="665">
        <v>182</v>
      </c>
      <c r="J56" s="665">
        <v>3</v>
      </c>
      <c r="K56" s="665">
        <v>549</v>
      </c>
      <c r="L56" s="665">
        <v>1</v>
      </c>
      <c r="M56" s="665">
        <v>183</v>
      </c>
      <c r="N56" s="665">
        <v>1</v>
      </c>
      <c r="O56" s="665">
        <v>183</v>
      </c>
      <c r="P56" s="686">
        <v>0.33333333333333331</v>
      </c>
      <c r="Q56" s="666">
        <v>183</v>
      </c>
    </row>
    <row r="57" spans="1:17" ht="14.4" customHeight="1" x14ac:dyDescent="0.3">
      <c r="A57" s="661" t="s">
        <v>2438</v>
      </c>
      <c r="B57" s="662" t="s">
        <v>2439</v>
      </c>
      <c r="C57" s="662" t="s">
        <v>1955</v>
      </c>
      <c r="D57" s="662" t="s">
        <v>2506</v>
      </c>
      <c r="E57" s="662" t="s">
        <v>2507</v>
      </c>
      <c r="F57" s="665"/>
      <c r="G57" s="665"/>
      <c r="H57" s="665"/>
      <c r="I57" s="665"/>
      <c r="J57" s="665">
        <v>1</v>
      </c>
      <c r="K57" s="665">
        <v>73</v>
      </c>
      <c r="L57" s="665">
        <v>1</v>
      </c>
      <c r="M57" s="665">
        <v>73</v>
      </c>
      <c r="N57" s="665">
        <v>4</v>
      </c>
      <c r="O57" s="665">
        <v>292</v>
      </c>
      <c r="P57" s="686">
        <v>4</v>
      </c>
      <c r="Q57" s="666">
        <v>73</v>
      </c>
    </row>
    <row r="58" spans="1:17" ht="14.4" customHeight="1" x14ac:dyDescent="0.3">
      <c r="A58" s="661" t="s">
        <v>2438</v>
      </c>
      <c r="B58" s="662" t="s">
        <v>2439</v>
      </c>
      <c r="C58" s="662" t="s">
        <v>1955</v>
      </c>
      <c r="D58" s="662" t="s">
        <v>2508</v>
      </c>
      <c r="E58" s="662" t="s">
        <v>2509</v>
      </c>
      <c r="F58" s="665">
        <v>2</v>
      </c>
      <c r="G58" s="665">
        <v>366</v>
      </c>
      <c r="H58" s="665">
        <v>1.9891304347826086</v>
      </c>
      <c r="I58" s="665">
        <v>183</v>
      </c>
      <c r="J58" s="665">
        <v>1</v>
      </c>
      <c r="K58" s="665">
        <v>184</v>
      </c>
      <c r="L58" s="665">
        <v>1</v>
      </c>
      <c r="M58" s="665">
        <v>184</v>
      </c>
      <c r="N58" s="665"/>
      <c r="O58" s="665"/>
      <c r="P58" s="686"/>
      <c r="Q58" s="666"/>
    </row>
    <row r="59" spans="1:17" ht="14.4" customHeight="1" x14ac:dyDescent="0.3">
      <c r="A59" s="661" t="s">
        <v>2438</v>
      </c>
      <c r="B59" s="662" t="s">
        <v>2439</v>
      </c>
      <c r="C59" s="662" t="s">
        <v>1955</v>
      </c>
      <c r="D59" s="662" t="s">
        <v>2510</v>
      </c>
      <c r="E59" s="662" t="s">
        <v>2511</v>
      </c>
      <c r="F59" s="665">
        <v>342</v>
      </c>
      <c r="G59" s="665">
        <v>50616</v>
      </c>
      <c r="H59" s="665">
        <v>1.0170799340915484</v>
      </c>
      <c r="I59" s="665">
        <v>148</v>
      </c>
      <c r="J59" s="665">
        <v>334</v>
      </c>
      <c r="K59" s="665">
        <v>49766</v>
      </c>
      <c r="L59" s="665">
        <v>1</v>
      </c>
      <c r="M59" s="665">
        <v>149</v>
      </c>
      <c r="N59" s="665">
        <v>449</v>
      </c>
      <c r="O59" s="665">
        <v>66901</v>
      </c>
      <c r="P59" s="686">
        <v>1.3443113772455091</v>
      </c>
      <c r="Q59" s="666">
        <v>149</v>
      </c>
    </row>
    <row r="60" spans="1:17" ht="14.4" customHeight="1" x14ac:dyDescent="0.3">
      <c r="A60" s="661" t="s">
        <v>2438</v>
      </c>
      <c r="B60" s="662" t="s">
        <v>2439</v>
      </c>
      <c r="C60" s="662" t="s">
        <v>1955</v>
      </c>
      <c r="D60" s="662" t="s">
        <v>2512</v>
      </c>
      <c r="E60" s="662" t="s">
        <v>2513</v>
      </c>
      <c r="F60" s="665">
        <v>579</v>
      </c>
      <c r="G60" s="665">
        <v>17370</v>
      </c>
      <c r="H60" s="665">
        <v>0.73477157360406087</v>
      </c>
      <c r="I60" s="665">
        <v>30</v>
      </c>
      <c r="J60" s="665">
        <v>788</v>
      </c>
      <c r="K60" s="665">
        <v>23640</v>
      </c>
      <c r="L60" s="665">
        <v>1</v>
      </c>
      <c r="M60" s="665">
        <v>30</v>
      </c>
      <c r="N60" s="665">
        <v>1327</v>
      </c>
      <c r="O60" s="665">
        <v>39810</v>
      </c>
      <c r="P60" s="686">
        <v>1.6840101522842639</v>
      </c>
      <c r="Q60" s="666">
        <v>30</v>
      </c>
    </row>
    <row r="61" spans="1:17" ht="14.4" customHeight="1" x14ac:dyDescent="0.3">
      <c r="A61" s="661" t="s">
        <v>2438</v>
      </c>
      <c r="B61" s="662" t="s">
        <v>2439</v>
      </c>
      <c r="C61" s="662" t="s">
        <v>1955</v>
      </c>
      <c r="D61" s="662" t="s">
        <v>2514</v>
      </c>
      <c r="E61" s="662" t="s">
        <v>2515</v>
      </c>
      <c r="F61" s="665">
        <v>28</v>
      </c>
      <c r="G61" s="665">
        <v>868</v>
      </c>
      <c r="H61" s="665">
        <v>0.73684210526315785</v>
      </c>
      <c r="I61" s="665">
        <v>31</v>
      </c>
      <c r="J61" s="665">
        <v>38</v>
      </c>
      <c r="K61" s="665">
        <v>1178</v>
      </c>
      <c r="L61" s="665">
        <v>1</v>
      </c>
      <c r="M61" s="665">
        <v>31</v>
      </c>
      <c r="N61" s="665">
        <v>61</v>
      </c>
      <c r="O61" s="665">
        <v>1891</v>
      </c>
      <c r="P61" s="686">
        <v>1.6052631578947369</v>
      </c>
      <c r="Q61" s="666">
        <v>31</v>
      </c>
    </row>
    <row r="62" spans="1:17" ht="14.4" customHeight="1" x14ac:dyDescent="0.3">
      <c r="A62" s="661" t="s">
        <v>2438</v>
      </c>
      <c r="B62" s="662" t="s">
        <v>2439</v>
      </c>
      <c r="C62" s="662" t="s">
        <v>1955</v>
      </c>
      <c r="D62" s="662" t="s">
        <v>2516</v>
      </c>
      <c r="E62" s="662" t="s">
        <v>2517</v>
      </c>
      <c r="F62" s="665">
        <v>31</v>
      </c>
      <c r="G62" s="665">
        <v>837</v>
      </c>
      <c r="H62" s="665">
        <v>0.63265306122448983</v>
      </c>
      <c r="I62" s="665">
        <v>27</v>
      </c>
      <c r="J62" s="665">
        <v>49</v>
      </c>
      <c r="K62" s="665">
        <v>1323</v>
      </c>
      <c r="L62" s="665">
        <v>1</v>
      </c>
      <c r="M62" s="665">
        <v>27</v>
      </c>
      <c r="N62" s="665">
        <v>75</v>
      </c>
      <c r="O62" s="665">
        <v>2025</v>
      </c>
      <c r="P62" s="686">
        <v>1.5306122448979591</v>
      </c>
      <c r="Q62" s="666">
        <v>27</v>
      </c>
    </row>
    <row r="63" spans="1:17" ht="14.4" customHeight="1" x14ac:dyDescent="0.3">
      <c r="A63" s="661" t="s">
        <v>2438</v>
      </c>
      <c r="B63" s="662" t="s">
        <v>2439</v>
      </c>
      <c r="C63" s="662" t="s">
        <v>1955</v>
      </c>
      <c r="D63" s="662" t="s">
        <v>2518</v>
      </c>
      <c r="E63" s="662" t="s">
        <v>2519</v>
      </c>
      <c r="F63" s="665"/>
      <c r="G63" s="665"/>
      <c r="H63" s="665"/>
      <c r="I63" s="665"/>
      <c r="J63" s="665"/>
      <c r="K63" s="665"/>
      <c r="L63" s="665"/>
      <c r="M63" s="665"/>
      <c r="N63" s="665">
        <v>1</v>
      </c>
      <c r="O63" s="665">
        <v>256</v>
      </c>
      <c r="P63" s="686"/>
      <c r="Q63" s="666">
        <v>256</v>
      </c>
    </row>
    <row r="64" spans="1:17" ht="14.4" customHeight="1" x14ac:dyDescent="0.3">
      <c r="A64" s="661" t="s">
        <v>2438</v>
      </c>
      <c r="B64" s="662" t="s">
        <v>2439</v>
      </c>
      <c r="C64" s="662" t="s">
        <v>1955</v>
      </c>
      <c r="D64" s="662" t="s">
        <v>2520</v>
      </c>
      <c r="E64" s="662" t="s">
        <v>2521</v>
      </c>
      <c r="F64" s="665"/>
      <c r="G64" s="665"/>
      <c r="H64" s="665"/>
      <c r="I64" s="665"/>
      <c r="J64" s="665"/>
      <c r="K64" s="665"/>
      <c r="L64" s="665"/>
      <c r="M64" s="665"/>
      <c r="N64" s="665">
        <v>5</v>
      </c>
      <c r="O64" s="665">
        <v>110</v>
      </c>
      <c r="P64" s="686"/>
      <c r="Q64" s="666">
        <v>22</v>
      </c>
    </row>
    <row r="65" spans="1:17" ht="14.4" customHeight="1" x14ac:dyDescent="0.3">
      <c r="A65" s="661" t="s">
        <v>2438</v>
      </c>
      <c r="B65" s="662" t="s">
        <v>2439</v>
      </c>
      <c r="C65" s="662" t="s">
        <v>1955</v>
      </c>
      <c r="D65" s="662" t="s">
        <v>2522</v>
      </c>
      <c r="E65" s="662" t="s">
        <v>2523</v>
      </c>
      <c r="F65" s="665">
        <v>251</v>
      </c>
      <c r="G65" s="665">
        <v>6275</v>
      </c>
      <c r="H65" s="665">
        <v>0.94007490636704116</v>
      </c>
      <c r="I65" s="665">
        <v>25</v>
      </c>
      <c r="J65" s="665">
        <v>267</v>
      </c>
      <c r="K65" s="665">
        <v>6675</v>
      </c>
      <c r="L65" s="665">
        <v>1</v>
      </c>
      <c r="M65" s="665">
        <v>25</v>
      </c>
      <c r="N65" s="665">
        <v>324</v>
      </c>
      <c r="O65" s="665">
        <v>8100</v>
      </c>
      <c r="P65" s="686">
        <v>1.2134831460674158</v>
      </c>
      <c r="Q65" s="666">
        <v>25</v>
      </c>
    </row>
    <row r="66" spans="1:17" ht="14.4" customHeight="1" x14ac:dyDescent="0.3">
      <c r="A66" s="661" t="s">
        <v>2438</v>
      </c>
      <c r="B66" s="662" t="s">
        <v>2439</v>
      </c>
      <c r="C66" s="662" t="s">
        <v>1955</v>
      </c>
      <c r="D66" s="662" t="s">
        <v>2524</v>
      </c>
      <c r="E66" s="662" t="s">
        <v>2525</v>
      </c>
      <c r="F66" s="665">
        <v>3</v>
      </c>
      <c r="G66" s="665">
        <v>99</v>
      </c>
      <c r="H66" s="665">
        <v>1.5</v>
      </c>
      <c r="I66" s="665">
        <v>33</v>
      </c>
      <c r="J66" s="665">
        <v>2</v>
      </c>
      <c r="K66" s="665">
        <v>66</v>
      </c>
      <c r="L66" s="665">
        <v>1</v>
      </c>
      <c r="M66" s="665">
        <v>33</v>
      </c>
      <c r="N66" s="665">
        <v>7</v>
      </c>
      <c r="O66" s="665">
        <v>231</v>
      </c>
      <c r="P66" s="686">
        <v>3.5</v>
      </c>
      <c r="Q66" s="666">
        <v>33</v>
      </c>
    </row>
    <row r="67" spans="1:17" ht="14.4" customHeight="1" x14ac:dyDescent="0.3">
      <c r="A67" s="661" t="s">
        <v>2438</v>
      </c>
      <c r="B67" s="662" t="s">
        <v>2439</v>
      </c>
      <c r="C67" s="662" t="s">
        <v>1955</v>
      </c>
      <c r="D67" s="662" t="s">
        <v>2526</v>
      </c>
      <c r="E67" s="662" t="s">
        <v>2527</v>
      </c>
      <c r="F67" s="665">
        <v>58</v>
      </c>
      <c r="G67" s="665">
        <v>1508</v>
      </c>
      <c r="H67" s="665">
        <v>0.82857142857142863</v>
      </c>
      <c r="I67" s="665">
        <v>26</v>
      </c>
      <c r="J67" s="665">
        <v>70</v>
      </c>
      <c r="K67" s="665">
        <v>1820</v>
      </c>
      <c r="L67" s="665">
        <v>1</v>
      </c>
      <c r="M67" s="665">
        <v>26</v>
      </c>
      <c r="N67" s="665">
        <v>134</v>
      </c>
      <c r="O67" s="665">
        <v>3484</v>
      </c>
      <c r="P67" s="686">
        <v>1.9142857142857144</v>
      </c>
      <c r="Q67" s="666">
        <v>26</v>
      </c>
    </row>
    <row r="68" spans="1:17" ht="14.4" customHeight="1" x14ac:dyDescent="0.3">
      <c r="A68" s="661" t="s">
        <v>2438</v>
      </c>
      <c r="B68" s="662" t="s">
        <v>2439</v>
      </c>
      <c r="C68" s="662" t="s">
        <v>1955</v>
      </c>
      <c r="D68" s="662" t="s">
        <v>2528</v>
      </c>
      <c r="E68" s="662" t="s">
        <v>2529</v>
      </c>
      <c r="F68" s="665">
        <v>12</v>
      </c>
      <c r="G68" s="665">
        <v>1008</v>
      </c>
      <c r="H68" s="665">
        <v>0.41379310344827586</v>
      </c>
      <c r="I68" s="665">
        <v>84</v>
      </c>
      <c r="J68" s="665">
        <v>29</v>
      </c>
      <c r="K68" s="665">
        <v>2436</v>
      </c>
      <c r="L68" s="665">
        <v>1</v>
      </c>
      <c r="M68" s="665">
        <v>84</v>
      </c>
      <c r="N68" s="665">
        <v>40</v>
      </c>
      <c r="O68" s="665">
        <v>3360</v>
      </c>
      <c r="P68" s="686">
        <v>1.3793103448275863</v>
      </c>
      <c r="Q68" s="666">
        <v>84</v>
      </c>
    </row>
    <row r="69" spans="1:17" ht="14.4" customHeight="1" x14ac:dyDescent="0.3">
      <c r="A69" s="661" t="s">
        <v>2438</v>
      </c>
      <c r="B69" s="662" t="s">
        <v>2439</v>
      </c>
      <c r="C69" s="662" t="s">
        <v>1955</v>
      </c>
      <c r="D69" s="662" t="s">
        <v>2530</v>
      </c>
      <c r="E69" s="662" t="s">
        <v>2531</v>
      </c>
      <c r="F69" s="665">
        <v>4</v>
      </c>
      <c r="G69" s="665">
        <v>700</v>
      </c>
      <c r="H69" s="665">
        <v>1.3257575757575757</v>
      </c>
      <c r="I69" s="665">
        <v>175</v>
      </c>
      <c r="J69" s="665">
        <v>3</v>
      </c>
      <c r="K69" s="665">
        <v>528</v>
      </c>
      <c r="L69" s="665">
        <v>1</v>
      </c>
      <c r="M69" s="665">
        <v>176</v>
      </c>
      <c r="N69" s="665">
        <v>3</v>
      </c>
      <c r="O69" s="665">
        <v>528</v>
      </c>
      <c r="P69" s="686">
        <v>1</v>
      </c>
      <c r="Q69" s="666">
        <v>176</v>
      </c>
    </row>
    <row r="70" spans="1:17" ht="14.4" customHeight="1" x14ac:dyDescent="0.3">
      <c r="A70" s="661" t="s">
        <v>2438</v>
      </c>
      <c r="B70" s="662" t="s">
        <v>2439</v>
      </c>
      <c r="C70" s="662" t="s">
        <v>1955</v>
      </c>
      <c r="D70" s="662" t="s">
        <v>2532</v>
      </c>
      <c r="E70" s="662" t="s">
        <v>2533</v>
      </c>
      <c r="F70" s="665">
        <v>35</v>
      </c>
      <c r="G70" s="665">
        <v>525</v>
      </c>
      <c r="H70" s="665">
        <v>1.2068965517241379</v>
      </c>
      <c r="I70" s="665">
        <v>15</v>
      </c>
      <c r="J70" s="665">
        <v>29</v>
      </c>
      <c r="K70" s="665">
        <v>435</v>
      </c>
      <c r="L70" s="665">
        <v>1</v>
      </c>
      <c r="M70" s="665">
        <v>15</v>
      </c>
      <c r="N70" s="665">
        <v>46</v>
      </c>
      <c r="O70" s="665">
        <v>690</v>
      </c>
      <c r="P70" s="686">
        <v>1.5862068965517242</v>
      </c>
      <c r="Q70" s="666">
        <v>15</v>
      </c>
    </row>
    <row r="71" spans="1:17" ht="14.4" customHeight="1" x14ac:dyDescent="0.3">
      <c r="A71" s="661" t="s">
        <v>2438</v>
      </c>
      <c r="B71" s="662" t="s">
        <v>2439</v>
      </c>
      <c r="C71" s="662" t="s">
        <v>1955</v>
      </c>
      <c r="D71" s="662" t="s">
        <v>2534</v>
      </c>
      <c r="E71" s="662" t="s">
        <v>2535</v>
      </c>
      <c r="F71" s="665">
        <v>22</v>
      </c>
      <c r="G71" s="665">
        <v>506</v>
      </c>
      <c r="H71" s="665">
        <v>2.4444444444444446</v>
      </c>
      <c r="I71" s="665">
        <v>23</v>
      </c>
      <c r="J71" s="665">
        <v>9</v>
      </c>
      <c r="K71" s="665">
        <v>207</v>
      </c>
      <c r="L71" s="665">
        <v>1</v>
      </c>
      <c r="M71" s="665">
        <v>23</v>
      </c>
      <c r="N71" s="665">
        <v>39</v>
      </c>
      <c r="O71" s="665">
        <v>897</v>
      </c>
      <c r="P71" s="686">
        <v>4.333333333333333</v>
      </c>
      <c r="Q71" s="666">
        <v>23</v>
      </c>
    </row>
    <row r="72" spans="1:17" ht="14.4" customHeight="1" x14ac:dyDescent="0.3">
      <c r="A72" s="661" t="s">
        <v>2438</v>
      </c>
      <c r="B72" s="662" t="s">
        <v>2439</v>
      </c>
      <c r="C72" s="662" t="s">
        <v>1955</v>
      </c>
      <c r="D72" s="662" t="s">
        <v>2536</v>
      </c>
      <c r="E72" s="662" t="s">
        <v>2537</v>
      </c>
      <c r="F72" s="665">
        <v>1</v>
      </c>
      <c r="G72" s="665">
        <v>251</v>
      </c>
      <c r="H72" s="665"/>
      <c r="I72" s="665">
        <v>251</v>
      </c>
      <c r="J72" s="665"/>
      <c r="K72" s="665"/>
      <c r="L72" s="665"/>
      <c r="M72" s="665"/>
      <c r="N72" s="665"/>
      <c r="O72" s="665"/>
      <c r="P72" s="686"/>
      <c r="Q72" s="666"/>
    </row>
    <row r="73" spans="1:17" ht="14.4" customHeight="1" x14ac:dyDescent="0.3">
      <c r="A73" s="661" t="s">
        <v>2438</v>
      </c>
      <c r="B73" s="662" t="s">
        <v>2439</v>
      </c>
      <c r="C73" s="662" t="s">
        <v>1955</v>
      </c>
      <c r="D73" s="662" t="s">
        <v>2538</v>
      </c>
      <c r="E73" s="662" t="s">
        <v>2539</v>
      </c>
      <c r="F73" s="665">
        <v>25</v>
      </c>
      <c r="G73" s="665">
        <v>925</v>
      </c>
      <c r="H73" s="665">
        <v>0.32051282051282054</v>
      </c>
      <c r="I73" s="665">
        <v>37</v>
      </c>
      <c r="J73" s="665">
        <v>78</v>
      </c>
      <c r="K73" s="665">
        <v>2886</v>
      </c>
      <c r="L73" s="665">
        <v>1</v>
      </c>
      <c r="M73" s="665">
        <v>37</v>
      </c>
      <c r="N73" s="665">
        <v>102</v>
      </c>
      <c r="O73" s="665">
        <v>3774</v>
      </c>
      <c r="P73" s="686">
        <v>1.3076923076923077</v>
      </c>
      <c r="Q73" s="666">
        <v>37</v>
      </c>
    </row>
    <row r="74" spans="1:17" ht="14.4" customHeight="1" x14ac:dyDescent="0.3">
      <c r="A74" s="661" t="s">
        <v>2438</v>
      </c>
      <c r="B74" s="662" t="s">
        <v>2439</v>
      </c>
      <c r="C74" s="662" t="s">
        <v>1955</v>
      </c>
      <c r="D74" s="662" t="s">
        <v>2540</v>
      </c>
      <c r="E74" s="662" t="s">
        <v>2541</v>
      </c>
      <c r="F74" s="665">
        <v>547</v>
      </c>
      <c r="G74" s="665">
        <v>12581</v>
      </c>
      <c r="H74" s="665">
        <v>0.73521505376344087</v>
      </c>
      <c r="I74" s="665">
        <v>23</v>
      </c>
      <c r="J74" s="665">
        <v>744</v>
      </c>
      <c r="K74" s="665">
        <v>17112</v>
      </c>
      <c r="L74" s="665">
        <v>1</v>
      </c>
      <c r="M74" s="665">
        <v>23</v>
      </c>
      <c r="N74" s="665">
        <v>1281</v>
      </c>
      <c r="O74" s="665">
        <v>29463</v>
      </c>
      <c r="P74" s="686">
        <v>1.721774193548387</v>
      </c>
      <c r="Q74" s="666">
        <v>23</v>
      </c>
    </row>
    <row r="75" spans="1:17" ht="14.4" customHeight="1" x14ac:dyDescent="0.3">
      <c r="A75" s="661" t="s">
        <v>2438</v>
      </c>
      <c r="B75" s="662" t="s">
        <v>2439</v>
      </c>
      <c r="C75" s="662" t="s">
        <v>1955</v>
      </c>
      <c r="D75" s="662" t="s">
        <v>2542</v>
      </c>
      <c r="E75" s="662" t="s">
        <v>2543</v>
      </c>
      <c r="F75" s="665">
        <v>1</v>
      </c>
      <c r="G75" s="665">
        <v>331</v>
      </c>
      <c r="H75" s="665"/>
      <c r="I75" s="665">
        <v>331</v>
      </c>
      <c r="J75" s="665"/>
      <c r="K75" s="665"/>
      <c r="L75" s="665"/>
      <c r="M75" s="665"/>
      <c r="N75" s="665"/>
      <c r="O75" s="665"/>
      <c r="P75" s="686"/>
      <c r="Q75" s="666"/>
    </row>
    <row r="76" spans="1:17" ht="14.4" customHeight="1" x14ac:dyDescent="0.3">
      <c r="A76" s="661" t="s">
        <v>2438</v>
      </c>
      <c r="B76" s="662" t="s">
        <v>2439</v>
      </c>
      <c r="C76" s="662" t="s">
        <v>1955</v>
      </c>
      <c r="D76" s="662" t="s">
        <v>2544</v>
      </c>
      <c r="E76" s="662" t="s">
        <v>2545</v>
      </c>
      <c r="F76" s="665">
        <v>26</v>
      </c>
      <c r="G76" s="665">
        <v>754</v>
      </c>
      <c r="H76" s="665">
        <v>1.368421052631579</v>
      </c>
      <c r="I76" s="665">
        <v>29</v>
      </c>
      <c r="J76" s="665">
        <v>19</v>
      </c>
      <c r="K76" s="665">
        <v>551</v>
      </c>
      <c r="L76" s="665">
        <v>1</v>
      </c>
      <c r="M76" s="665">
        <v>29</v>
      </c>
      <c r="N76" s="665">
        <v>35</v>
      </c>
      <c r="O76" s="665">
        <v>1015</v>
      </c>
      <c r="P76" s="686">
        <v>1.8421052631578947</v>
      </c>
      <c r="Q76" s="666">
        <v>29</v>
      </c>
    </row>
    <row r="77" spans="1:17" ht="14.4" customHeight="1" x14ac:dyDescent="0.3">
      <c r="A77" s="661" t="s">
        <v>2438</v>
      </c>
      <c r="B77" s="662" t="s">
        <v>2439</v>
      </c>
      <c r="C77" s="662" t="s">
        <v>1955</v>
      </c>
      <c r="D77" s="662" t="s">
        <v>2546</v>
      </c>
      <c r="E77" s="662" t="s">
        <v>2547</v>
      </c>
      <c r="F77" s="665">
        <v>113</v>
      </c>
      <c r="G77" s="665">
        <v>20001</v>
      </c>
      <c r="H77" s="665">
        <v>0.88476510660886487</v>
      </c>
      <c r="I77" s="665">
        <v>177</v>
      </c>
      <c r="J77" s="665">
        <v>127</v>
      </c>
      <c r="K77" s="665">
        <v>22606</v>
      </c>
      <c r="L77" s="665">
        <v>1</v>
      </c>
      <c r="M77" s="665">
        <v>178</v>
      </c>
      <c r="N77" s="665">
        <v>162</v>
      </c>
      <c r="O77" s="665">
        <v>28836</v>
      </c>
      <c r="P77" s="686">
        <v>1.2755905511811023</v>
      </c>
      <c r="Q77" s="666">
        <v>178</v>
      </c>
    </row>
    <row r="78" spans="1:17" ht="14.4" customHeight="1" x14ac:dyDescent="0.3">
      <c r="A78" s="661" t="s">
        <v>2438</v>
      </c>
      <c r="B78" s="662" t="s">
        <v>2439</v>
      </c>
      <c r="C78" s="662" t="s">
        <v>1955</v>
      </c>
      <c r="D78" s="662" t="s">
        <v>2548</v>
      </c>
      <c r="E78" s="662" t="s">
        <v>2549</v>
      </c>
      <c r="F78" s="665">
        <v>1</v>
      </c>
      <c r="G78" s="665">
        <v>15</v>
      </c>
      <c r="H78" s="665"/>
      <c r="I78" s="665">
        <v>15</v>
      </c>
      <c r="J78" s="665"/>
      <c r="K78" s="665"/>
      <c r="L78" s="665"/>
      <c r="M78" s="665"/>
      <c r="N78" s="665"/>
      <c r="O78" s="665"/>
      <c r="P78" s="686"/>
      <c r="Q78" s="666"/>
    </row>
    <row r="79" spans="1:17" ht="14.4" customHeight="1" x14ac:dyDescent="0.3">
      <c r="A79" s="661" t="s">
        <v>2438</v>
      </c>
      <c r="B79" s="662" t="s">
        <v>2439</v>
      </c>
      <c r="C79" s="662" t="s">
        <v>1955</v>
      </c>
      <c r="D79" s="662" t="s">
        <v>2550</v>
      </c>
      <c r="E79" s="662" t="s">
        <v>2551</v>
      </c>
      <c r="F79" s="665">
        <v>45</v>
      </c>
      <c r="G79" s="665">
        <v>855</v>
      </c>
      <c r="H79" s="665">
        <v>1.25</v>
      </c>
      <c r="I79" s="665">
        <v>19</v>
      </c>
      <c r="J79" s="665">
        <v>36</v>
      </c>
      <c r="K79" s="665">
        <v>684</v>
      </c>
      <c r="L79" s="665">
        <v>1</v>
      </c>
      <c r="M79" s="665">
        <v>19</v>
      </c>
      <c r="N79" s="665">
        <v>43</v>
      </c>
      <c r="O79" s="665">
        <v>817</v>
      </c>
      <c r="P79" s="686">
        <v>1.1944444444444444</v>
      </c>
      <c r="Q79" s="666">
        <v>19</v>
      </c>
    </row>
    <row r="80" spans="1:17" ht="14.4" customHeight="1" x14ac:dyDescent="0.3">
      <c r="A80" s="661" t="s">
        <v>2438</v>
      </c>
      <c r="B80" s="662" t="s">
        <v>2439</v>
      </c>
      <c r="C80" s="662" t="s">
        <v>1955</v>
      </c>
      <c r="D80" s="662" t="s">
        <v>2552</v>
      </c>
      <c r="E80" s="662" t="s">
        <v>2553</v>
      </c>
      <c r="F80" s="665">
        <v>148</v>
      </c>
      <c r="G80" s="665">
        <v>2960</v>
      </c>
      <c r="H80" s="665">
        <v>0.84090909090909094</v>
      </c>
      <c r="I80" s="665">
        <v>20</v>
      </c>
      <c r="J80" s="665">
        <v>176</v>
      </c>
      <c r="K80" s="665">
        <v>3520</v>
      </c>
      <c r="L80" s="665">
        <v>1</v>
      </c>
      <c r="M80" s="665">
        <v>20</v>
      </c>
      <c r="N80" s="665">
        <v>275</v>
      </c>
      <c r="O80" s="665">
        <v>5500</v>
      </c>
      <c r="P80" s="686">
        <v>1.5625</v>
      </c>
      <c r="Q80" s="666">
        <v>20</v>
      </c>
    </row>
    <row r="81" spans="1:17" ht="14.4" customHeight="1" x14ac:dyDescent="0.3">
      <c r="A81" s="661" t="s">
        <v>2438</v>
      </c>
      <c r="B81" s="662" t="s">
        <v>2439</v>
      </c>
      <c r="C81" s="662" t="s">
        <v>1955</v>
      </c>
      <c r="D81" s="662" t="s">
        <v>2554</v>
      </c>
      <c r="E81" s="662" t="s">
        <v>2555</v>
      </c>
      <c r="F81" s="665">
        <v>1</v>
      </c>
      <c r="G81" s="665">
        <v>187</v>
      </c>
      <c r="H81" s="665"/>
      <c r="I81" s="665">
        <v>187</v>
      </c>
      <c r="J81" s="665"/>
      <c r="K81" s="665"/>
      <c r="L81" s="665"/>
      <c r="M81" s="665"/>
      <c r="N81" s="665"/>
      <c r="O81" s="665"/>
      <c r="P81" s="686"/>
      <c r="Q81" s="666"/>
    </row>
    <row r="82" spans="1:17" ht="14.4" customHeight="1" x14ac:dyDescent="0.3">
      <c r="A82" s="661" t="s">
        <v>2438</v>
      </c>
      <c r="B82" s="662" t="s">
        <v>2439</v>
      </c>
      <c r="C82" s="662" t="s">
        <v>1955</v>
      </c>
      <c r="D82" s="662" t="s">
        <v>2556</v>
      </c>
      <c r="E82" s="662" t="s">
        <v>2557</v>
      </c>
      <c r="F82" s="665">
        <v>7</v>
      </c>
      <c r="G82" s="665">
        <v>588</v>
      </c>
      <c r="H82" s="665">
        <v>0.17948717948717949</v>
      </c>
      <c r="I82" s="665">
        <v>84</v>
      </c>
      <c r="J82" s="665">
        <v>39</v>
      </c>
      <c r="K82" s="665">
        <v>3276</v>
      </c>
      <c r="L82" s="665">
        <v>1</v>
      </c>
      <c r="M82" s="665">
        <v>84</v>
      </c>
      <c r="N82" s="665">
        <v>51</v>
      </c>
      <c r="O82" s="665">
        <v>4284</v>
      </c>
      <c r="P82" s="686">
        <v>1.3076923076923077</v>
      </c>
      <c r="Q82" s="666">
        <v>84</v>
      </c>
    </row>
    <row r="83" spans="1:17" ht="14.4" customHeight="1" x14ac:dyDescent="0.3">
      <c r="A83" s="661" t="s">
        <v>2438</v>
      </c>
      <c r="B83" s="662" t="s">
        <v>2439</v>
      </c>
      <c r="C83" s="662" t="s">
        <v>1955</v>
      </c>
      <c r="D83" s="662" t="s">
        <v>2558</v>
      </c>
      <c r="E83" s="662" t="s">
        <v>2559</v>
      </c>
      <c r="F83" s="665">
        <v>2</v>
      </c>
      <c r="G83" s="665">
        <v>600</v>
      </c>
      <c r="H83" s="665"/>
      <c r="I83" s="665">
        <v>300</v>
      </c>
      <c r="J83" s="665"/>
      <c r="K83" s="665"/>
      <c r="L83" s="665"/>
      <c r="M83" s="665"/>
      <c r="N83" s="665">
        <v>1</v>
      </c>
      <c r="O83" s="665">
        <v>301</v>
      </c>
      <c r="P83" s="686"/>
      <c r="Q83" s="666">
        <v>301</v>
      </c>
    </row>
    <row r="84" spans="1:17" ht="14.4" customHeight="1" x14ac:dyDescent="0.3">
      <c r="A84" s="661" t="s">
        <v>2438</v>
      </c>
      <c r="B84" s="662" t="s">
        <v>2439</v>
      </c>
      <c r="C84" s="662" t="s">
        <v>1955</v>
      </c>
      <c r="D84" s="662" t="s">
        <v>2560</v>
      </c>
      <c r="E84" s="662" t="s">
        <v>2561</v>
      </c>
      <c r="F84" s="665">
        <v>1</v>
      </c>
      <c r="G84" s="665">
        <v>21</v>
      </c>
      <c r="H84" s="665"/>
      <c r="I84" s="665">
        <v>21</v>
      </c>
      <c r="J84" s="665"/>
      <c r="K84" s="665"/>
      <c r="L84" s="665"/>
      <c r="M84" s="665"/>
      <c r="N84" s="665">
        <v>1</v>
      </c>
      <c r="O84" s="665">
        <v>21</v>
      </c>
      <c r="P84" s="686"/>
      <c r="Q84" s="666">
        <v>21</v>
      </c>
    </row>
    <row r="85" spans="1:17" ht="14.4" customHeight="1" x14ac:dyDescent="0.3">
      <c r="A85" s="661" t="s">
        <v>2438</v>
      </c>
      <c r="B85" s="662" t="s">
        <v>2439</v>
      </c>
      <c r="C85" s="662" t="s">
        <v>1955</v>
      </c>
      <c r="D85" s="662" t="s">
        <v>2562</v>
      </c>
      <c r="E85" s="662" t="s">
        <v>2563</v>
      </c>
      <c r="F85" s="665">
        <v>24</v>
      </c>
      <c r="G85" s="665">
        <v>528</v>
      </c>
      <c r="H85" s="665">
        <v>2.6666666666666665</v>
      </c>
      <c r="I85" s="665">
        <v>22</v>
      </c>
      <c r="J85" s="665">
        <v>9</v>
      </c>
      <c r="K85" s="665">
        <v>198</v>
      </c>
      <c r="L85" s="665">
        <v>1</v>
      </c>
      <c r="M85" s="665">
        <v>22</v>
      </c>
      <c r="N85" s="665">
        <v>29</v>
      </c>
      <c r="O85" s="665">
        <v>638</v>
      </c>
      <c r="P85" s="686">
        <v>3.2222222222222223</v>
      </c>
      <c r="Q85" s="666">
        <v>22</v>
      </c>
    </row>
    <row r="86" spans="1:17" ht="14.4" customHeight="1" x14ac:dyDescent="0.3">
      <c r="A86" s="661" t="s">
        <v>2438</v>
      </c>
      <c r="B86" s="662" t="s">
        <v>2439</v>
      </c>
      <c r="C86" s="662" t="s">
        <v>1955</v>
      </c>
      <c r="D86" s="662" t="s">
        <v>2564</v>
      </c>
      <c r="E86" s="662" t="s">
        <v>2565</v>
      </c>
      <c r="F86" s="665">
        <v>1</v>
      </c>
      <c r="G86" s="665">
        <v>495</v>
      </c>
      <c r="H86" s="665"/>
      <c r="I86" s="665">
        <v>495</v>
      </c>
      <c r="J86" s="665"/>
      <c r="K86" s="665"/>
      <c r="L86" s="665"/>
      <c r="M86" s="665"/>
      <c r="N86" s="665"/>
      <c r="O86" s="665"/>
      <c r="P86" s="686"/>
      <c r="Q86" s="666"/>
    </row>
    <row r="87" spans="1:17" ht="14.4" customHeight="1" x14ac:dyDescent="0.3">
      <c r="A87" s="661" t="s">
        <v>2438</v>
      </c>
      <c r="B87" s="662" t="s">
        <v>2439</v>
      </c>
      <c r="C87" s="662" t="s">
        <v>1955</v>
      </c>
      <c r="D87" s="662" t="s">
        <v>2566</v>
      </c>
      <c r="E87" s="662" t="s">
        <v>2567</v>
      </c>
      <c r="F87" s="665"/>
      <c r="G87" s="665"/>
      <c r="H87" s="665"/>
      <c r="I87" s="665"/>
      <c r="J87" s="665">
        <v>1</v>
      </c>
      <c r="K87" s="665">
        <v>168</v>
      </c>
      <c r="L87" s="665">
        <v>1</v>
      </c>
      <c r="M87" s="665">
        <v>168</v>
      </c>
      <c r="N87" s="665"/>
      <c r="O87" s="665"/>
      <c r="P87" s="686"/>
      <c r="Q87" s="666"/>
    </row>
    <row r="88" spans="1:17" ht="14.4" customHeight="1" x14ac:dyDescent="0.3">
      <c r="A88" s="661" t="s">
        <v>2438</v>
      </c>
      <c r="B88" s="662" t="s">
        <v>2439</v>
      </c>
      <c r="C88" s="662" t="s">
        <v>1955</v>
      </c>
      <c r="D88" s="662" t="s">
        <v>2568</v>
      </c>
      <c r="E88" s="662" t="s">
        <v>2569</v>
      </c>
      <c r="F88" s="665"/>
      <c r="G88" s="665"/>
      <c r="H88" s="665"/>
      <c r="I88" s="665"/>
      <c r="J88" s="665"/>
      <c r="K88" s="665"/>
      <c r="L88" s="665"/>
      <c r="M88" s="665"/>
      <c r="N88" s="665">
        <v>1</v>
      </c>
      <c r="O88" s="665">
        <v>127</v>
      </c>
      <c r="P88" s="686"/>
      <c r="Q88" s="666">
        <v>127</v>
      </c>
    </row>
    <row r="89" spans="1:17" ht="14.4" customHeight="1" x14ac:dyDescent="0.3">
      <c r="A89" s="661" t="s">
        <v>2438</v>
      </c>
      <c r="B89" s="662" t="s">
        <v>2439</v>
      </c>
      <c r="C89" s="662" t="s">
        <v>1955</v>
      </c>
      <c r="D89" s="662" t="s">
        <v>2570</v>
      </c>
      <c r="E89" s="662" t="s">
        <v>2571</v>
      </c>
      <c r="F89" s="665">
        <v>1</v>
      </c>
      <c r="G89" s="665">
        <v>310</v>
      </c>
      <c r="H89" s="665"/>
      <c r="I89" s="665">
        <v>310</v>
      </c>
      <c r="J89" s="665"/>
      <c r="K89" s="665"/>
      <c r="L89" s="665"/>
      <c r="M89" s="665"/>
      <c r="N89" s="665"/>
      <c r="O89" s="665"/>
      <c r="P89" s="686"/>
      <c r="Q89" s="666"/>
    </row>
    <row r="90" spans="1:17" ht="14.4" customHeight="1" x14ac:dyDescent="0.3">
      <c r="A90" s="661" t="s">
        <v>2438</v>
      </c>
      <c r="B90" s="662" t="s">
        <v>2439</v>
      </c>
      <c r="C90" s="662" t="s">
        <v>1955</v>
      </c>
      <c r="D90" s="662" t="s">
        <v>2572</v>
      </c>
      <c r="E90" s="662" t="s">
        <v>2573</v>
      </c>
      <c r="F90" s="665">
        <v>1</v>
      </c>
      <c r="G90" s="665">
        <v>23</v>
      </c>
      <c r="H90" s="665"/>
      <c r="I90" s="665">
        <v>23</v>
      </c>
      <c r="J90" s="665"/>
      <c r="K90" s="665"/>
      <c r="L90" s="665"/>
      <c r="M90" s="665"/>
      <c r="N90" s="665">
        <v>1</v>
      </c>
      <c r="O90" s="665">
        <v>23</v>
      </c>
      <c r="P90" s="686"/>
      <c r="Q90" s="666">
        <v>23</v>
      </c>
    </row>
    <row r="91" spans="1:17" ht="14.4" customHeight="1" x14ac:dyDescent="0.3">
      <c r="A91" s="661" t="s">
        <v>2438</v>
      </c>
      <c r="B91" s="662" t="s">
        <v>2439</v>
      </c>
      <c r="C91" s="662" t="s">
        <v>1955</v>
      </c>
      <c r="D91" s="662" t="s">
        <v>2574</v>
      </c>
      <c r="E91" s="662" t="s">
        <v>2575</v>
      </c>
      <c r="F91" s="665">
        <v>1</v>
      </c>
      <c r="G91" s="665">
        <v>132</v>
      </c>
      <c r="H91" s="665"/>
      <c r="I91" s="665">
        <v>132</v>
      </c>
      <c r="J91" s="665"/>
      <c r="K91" s="665"/>
      <c r="L91" s="665"/>
      <c r="M91" s="665"/>
      <c r="N91" s="665"/>
      <c r="O91" s="665"/>
      <c r="P91" s="686"/>
      <c r="Q91" s="666"/>
    </row>
    <row r="92" spans="1:17" ht="14.4" customHeight="1" x14ac:dyDescent="0.3">
      <c r="A92" s="661" t="s">
        <v>2438</v>
      </c>
      <c r="B92" s="662" t="s">
        <v>2439</v>
      </c>
      <c r="C92" s="662" t="s">
        <v>1955</v>
      </c>
      <c r="D92" s="662" t="s">
        <v>2576</v>
      </c>
      <c r="E92" s="662" t="s">
        <v>2577</v>
      </c>
      <c r="F92" s="665">
        <v>6</v>
      </c>
      <c r="G92" s="665">
        <v>1758</v>
      </c>
      <c r="H92" s="665">
        <v>0.39863945578231291</v>
      </c>
      <c r="I92" s="665">
        <v>293</v>
      </c>
      <c r="J92" s="665">
        <v>15</v>
      </c>
      <c r="K92" s="665">
        <v>4410</v>
      </c>
      <c r="L92" s="665">
        <v>1</v>
      </c>
      <c r="M92" s="665">
        <v>294</v>
      </c>
      <c r="N92" s="665">
        <v>19</v>
      </c>
      <c r="O92" s="665">
        <v>5586</v>
      </c>
      <c r="P92" s="686">
        <v>1.2666666666666666</v>
      </c>
      <c r="Q92" s="666">
        <v>294</v>
      </c>
    </row>
    <row r="93" spans="1:17" ht="14.4" customHeight="1" x14ac:dyDescent="0.3">
      <c r="A93" s="661" t="s">
        <v>2438</v>
      </c>
      <c r="B93" s="662" t="s">
        <v>2439</v>
      </c>
      <c r="C93" s="662" t="s">
        <v>1955</v>
      </c>
      <c r="D93" s="662" t="s">
        <v>2578</v>
      </c>
      <c r="E93" s="662" t="s">
        <v>2579</v>
      </c>
      <c r="F93" s="665">
        <v>1</v>
      </c>
      <c r="G93" s="665">
        <v>45</v>
      </c>
      <c r="H93" s="665"/>
      <c r="I93" s="665">
        <v>45</v>
      </c>
      <c r="J93" s="665"/>
      <c r="K93" s="665"/>
      <c r="L93" s="665"/>
      <c r="M93" s="665"/>
      <c r="N93" s="665"/>
      <c r="O93" s="665"/>
      <c r="P93" s="686"/>
      <c r="Q93" s="666"/>
    </row>
    <row r="94" spans="1:17" ht="14.4" customHeight="1" x14ac:dyDescent="0.3">
      <c r="A94" s="661" t="s">
        <v>2438</v>
      </c>
      <c r="B94" s="662" t="s">
        <v>2439</v>
      </c>
      <c r="C94" s="662" t="s">
        <v>1955</v>
      </c>
      <c r="D94" s="662" t="s">
        <v>2580</v>
      </c>
      <c r="E94" s="662" t="s">
        <v>2581</v>
      </c>
      <c r="F94" s="665"/>
      <c r="G94" s="665"/>
      <c r="H94" s="665"/>
      <c r="I94" s="665"/>
      <c r="J94" s="665"/>
      <c r="K94" s="665"/>
      <c r="L94" s="665"/>
      <c r="M94" s="665"/>
      <c r="N94" s="665">
        <v>1</v>
      </c>
      <c r="O94" s="665">
        <v>528</v>
      </c>
      <c r="P94" s="686"/>
      <c r="Q94" s="666">
        <v>528</v>
      </c>
    </row>
    <row r="95" spans="1:17" ht="14.4" customHeight="1" x14ac:dyDescent="0.3">
      <c r="A95" s="661" t="s">
        <v>2438</v>
      </c>
      <c r="B95" s="662" t="s">
        <v>2439</v>
      </c>
      <c r="C95" s="662" t="s">
        <v>1955</v>
      </c>
      <c r="D95" s="662" t="s">
        <v>2582</v>
      </c>
      <c r="E95" s="662" t="s">
        <v>2583</v>
      </c>
      <c r="F95" s="665">
        <v>1</v>
      </c>
      <c r="G95" s="665">
        <v>31</v>
      </c>
      <c r="H95" s="665"/>
      <c r="I95" s="665">
        <v>31</v>
      </c>
      <c r="J95" s="665"/>
      <c r="K95" s="665"/>
      <c r="L95" s="665"/>
      <c r="M95" s="665"/>
      <c r="N95" s="665"/>
      <c r="O95" s="665"/>
      <c r="P95" s="686"/>
      <c r="Q95" s="666"/>
    </row>
    <row r="96" spans="1:17" ht="14.4" customHeight="1" x14ac:dyDescent="0.3">
      <c r="A96" s="661" t="s">
        <v>2438</v>
      </c>
      <c r="B96" s="662" t="s">
        <v>2439</v>
      </c>
      <c r="C96" s="662" t="s">
        <v>1955</v>
      </c>
      <c r="D96" s="662" t="s">
        <v>2584</v>
      </c>
      <c r="E96" s="662" t="s">
        <v>2585</v>
      </c>
      <c r="F96" s="665"/>
      <c r="G96" s="665"/>
      <c r="H96" s="665"/>
      <c r="I96" s="665"/>
      <c r="J96" s="665"/>
      <c r="K96" s="665"/>
      <c r="L96" s="665"/>
      <c r="M96" s="665"/>
      <c r="N96" s="665">
        <v>1</v>
      </c>
      <c r="O96" s="665">
        <v>407</v>
      </c>
      <c r="P96" s="686"/>
      <c r="Q96" s="666">
        <v>407</v>
      </c>
    </row>
    <row r="97" spans="1:17" ht="14.4" customHeight="1" x14ac:dyDescent="0.3">
      <c r="A97" s="661" t="s">
        <v>2438</v>
      </c>
      <c r="B97" s="662" t="s">
        <v>2439</v>
      </c>
      <c r="C97" s="662" t="s">
        <v>1955</v>
      </c>
      <c r="D97" s="662" t="s">
        <v>2586</v>
      </c>
      <c r="E97" s="662" t="s">
        <v>2587</v>
      </c>
      <c r="F97" s="665"/>
      <c r="G97" s="665"/>
      <c r="H97" s="665"/>
      <c r="I97" s="665"/>
      <c r="J97" s="665"/>
      <c r="K97" s="665"/>
      <c r="L97" s="665"/>
      <c r="M97" s="665"/>
      <c r="N97" s="665">
        <v>1</v>
      </c>
      <c r="O97" s="665">
        <v>190</v>
      </c>
      <c r="P97" s="686"/>
      <c r="Q97" s="666">
        <v>190</v>
      </c>
    </row>
    <row r="98" spans="1:17" ht="14.4" customHeight="1" x14ac:dyDescent="0.3">
      <c r="A98" s="661" t="s">
        <v>2438</v>
      </c>
      <c r="B98" s="662" t="s">
        <v>2439</v>
      </c>
      <c r="C98" s="662" t="s">
        <v>1955</v>
      </c>
      <c r="D98" s="662" t="s">
        <v>2588</v>
      </c>
      <c r="E98" s="662" t="s">
        <v>2589</v>
      </c>
      <c r="F98" s="665"/>
      <c r="G98" s="665"/>
      <c r="H98" s="665"/>
      <c r="I98" s="665"/>
      <c r="J98" s="665">
        <v>3</v>
      </c>
      <c r="K98" s="665">
        <v>822</v>
      </c>
      <c r="L98" s="665">
        <v>1</v>
      </c>
      <c r="M98" s="665">
        <v>274</v>
      </c>
      <c r="N98" s="665">
        <v>1</v>
      </c>
      <c r="O98" s="665">
        <v>274</v>
      </c>
      <c r="P98" s="686">
        <v>0.33333333333333331</v>
      </c>
      <c r="Q98" s="666">
        <v>274</v>
      </c>
    </row>
    <row r="99" spans="1:17" ht="14.4" customHeight="1" x14ac:dyDescent="0.3">
      <c r="A99" s="661" t="s">
        <v>2438</v>
      </c>
      <c r="B99" s="662" t="s">
        <v>2439</v>
      </c>
      <c r="C99" s="662" t="s">
        <v>1955</v>
      </c>
      <c r="D99" s="662" t="s">
        <v>2590</v>
      </c>
      <c r="E99" s="662" t="s">
        <v>2591</v>
      </c>
      <c r="F99" s="665"/>
      <c r="G99" s="665"/>
      <c r="H99" s="665"/>
      <c r="I99" s="665"/>
      <c r="J99" s="665">
        <v>4</v>
      </c>
      <c r="K99" s="665">
        <v>532</v>
      </c>
      <c r="L99" s="665">
        <v>1</v>
      </c>
      <c r="M99" s="665">
        <v>133</v>
      </c>
      <c r="N99" s="665">
        <v>1</v>
      </c>
      <c r="O99" s="665">
        <v>133</v>
      </c>
      <c r="P99" s="686">
        <v>0.25</v>
      </c>
      <c r="Q99" s="666">
        <v>133</v>
      </c>
    </row>
    <row r="100" spans="1:17" ht="14.4" customHeight="1" x14ac:dyDescent="0.3">
      <c r="A100" s="661" t="s">
        <v>2438</v>
      </c>
      <c r="B100" s="662" t="s">
        <v>2439</v>
      </c>
      <c r="C100" s="662" t="s">
        <v>1955</v>
      </c>
      <c r="D100" s="662" t="s">
        <v>2592</v>
      </c>
      <c r="E100" s="662" t="s">
        <v>2593</v>
      </c>
      <c r="F100" s="665"/>
      <c r="G100" s="665"/>
      <c r="H100" s="665"/>
      <c r="I100" s="665"/>
      <c r="J100" s="665">
        <v>62</v>
      </c>
      <c r="K100" s="665">
        <v>2294</v>
      </c>
      <c r="L100" s="665">
        <v>1</v>
      </c>
      <c r="M100" s="665">
        <v>37</v>
      </c>
      <c r="N100" s="665">
        <v>92</v>
      </c>
      <c r="O100" s="665">
        <v>3404</v>
      </c>
      <c r="P100" s="686">
        <v>1.4838709677419355</v>
      </c>
      <c r="Q100" s="666">
        <v>37</v>
      </c>
    </row>
    <row r="101" spans="1:17" ht="14.4" customHeight="1" x14ac:dyDescent="0.3">
      <c r="A101" s="661" t="s">
        <v>2438</v>
      </c>
      <c r="B101" s="662" t="s">
        <v>2439</v>
      </c>
      <c r="C101" s="662" t="s">
        <v>1955</v>
      </c>
      <c r="D101" s="662" t="s">
        <v>2594</v>
      </c>
      <c r="E101" s="662" t="s">
        <v>2595</v>
      </c>
      <c r="F101" s="665"/>
      <c r="G101" s="665"/>
      <c r="H101" s="665"/>
      <c r="I101" s="665"/>
      <c r="J101" s="665"/>
      <c r="K101" s="665"/>
      <c r="L101" s="665"/>
      <c r="M101" s="665"/>
      <c r="N101" s="665">
        <v>1</v>
      </c>
      <c r="O101" s="665">
        <v>930</v>
      </c>
      <c r="P101" s="686"/>
      <c r="Q101" s="666">
        <v>930</v>
      </c>
    </row>
    <row r="102" spans="1:17" ht="14.4" customHeight="1" x14ac:dyDescent="0.3">
      <c r="A102" s="661" t="s">
        <v>2438</v>
      </c>
      <c r="B102" s="662" t="s">
        <v>2439</v>
      </c>
      <c r="C102" s="662" t="s">
        <v>1955</v>
      </c>
      <c r="D102" s="662" t="s">
        <v>2596</v>
      </c>
      <c r="E102" s="662" t="s">
        <v>2597</v>
      </c>
      <c r="F102" s="665"/>
      <c r="G102" s="665"/>
      <c r="H102" s="665"/>
      <c r="I102" s="665"/>
      <c r="J102" s="665"/>
      <c r="K102" s="665"/>
      <c r="L102" s="665"/>
      <c r="M102" s="665"/>
      <c r="N102" s="665">
        <v>1</v>
      </c>
      <c r="O102" s="665">
        <v>932</v>
      </c>
      <c r="P102" s="686"/>
      <c r="Q102" s="666">
        <v>932</v>
      </c>
    </row>
    <row r="103" spans="1:17" ht="14.4" customHeight="1" x14ac:dyDescent="0.3">
      <c r="A103" s="661" t="s">
        <v>2438</v>
      </c>
      <c r="B103" s="662" t="s">
        <v>2439</v>
      </c>
      <c r="C103" s="662" t="s">
        <v>1955</v>
      </c>
      <c r="D103" s="662" t="s">
        <v>2598</v>
      </c>
      <c r="E103" s="662" t="s">
        <v>2599</v>
      </c>
      <c r="F103" s="665"/>
      <c r="G103" s="665"/>
      <c r="H103" s="665"/>
      <c r="I103" s="665"/>
      <c r="J103" s="665"/>
      <c r="K103" s="665"/>
      <c r="L103" s="665"/>
      <c r="M103" s="665"/>
      <c r="N103" s="665">
        <v>10</v>
      </c>
      <c r="O103" s="665">
        <v>930</v>
      </c>
      <c r="P103" s="686"/>
      <c r="Q103" s="666">
        <v>93</v>
      </c>
    </row>
    <row r="104" spans="1:17" ht="14.4" customHeight="1" x14ac:dyDescent="0.3">
      <c r="A104" s="661" t="s">
        <v>2438</v>
      </c>
      <c r="B104" s="662" t="s">
        <v>2600</v>
      </c>
      <c r="C104" s="662" t="s">
        <v>1955</v>
      </c>
      <c r="D104" s="662" t="s">
        <v>2601</v>
      </c>
      <c r="E104" s="662" t="s">
        <v>2602</v>
      </c>
      <c r="F104" s="665">
        <v>2</v>
      </c>
      <c r="G104" s="665">
        <v>2074</v>
      </c>
      <c r="H104" s="665">
        <v>1.9980732177263969</v>
      </c>
      <c r="I104" s="665">
        <v>1037</v>
      </c>
      <c r="J104" s="665">
        <v>1</v>
      </c>
      <c r="K104" s="665">
        <v>1038</v>
      </c>
      <c r="L104" s="665">
        <v>1</v>
      </c>
      <c r="M104" s="665">
        <v>1038</v>
      </c>
      <c r="N104" s="665">
        <v>1</v>
      </c>
      <c r="O104" s="665">
        <v>1038</v>
      </c>
      <c r="P104" s="686">
        <v>1</v>
      </c>
      <c r="Q104" s="666">
        <v>1038</v>
      </c>
    </row>
    <row r="105" spans="1:17" ht="14.4" customHeight="1" x14ac:dyDescent="0.3">
      <c r="A105" s="661" t="s">
        <v>2603</v>
      </c>
      <c r="B105" s="662" t="s">
        <v>2323</v>
      </c>
      <c r="C105" s="662" t="s">
        <v>2052</v>
      </c>
      <c r="D105" s="662" t="s">
        <v>2604</v>
      </c>
      <c r="E105" s="662" t="s">
        <v>2071</v>
      </c>
      <c r="F105" s="665">
        <v>0.1</v>
      </c>
      <c r="G105" s="665">
        <v>494.39</v>
      </c>
      <c r="H105" s="665">
        <v>0.14285549169693448</v>
      </c>
      <c r="I105" s="665">
        <v>4943.8999999999996</v>
      </c>
      <c r="J105" s="665">
        <v>0.7</v>
      </c>
      <c r="K105" s="665">
        <v>3460.77</v>
      </c>
      <c r="L105" s="665">
        <v>1</v>
      </c>
      <c r="M105" s="665">
        <v>4943.9571428571435</v>
      </c>
      <c r="N105" s="665"/>
      <c r="O105" s="665"/>
      <c r="P105" s="686"/>
      <c r="Q105" s="666"/>
    </row>
    <row r="106" spans="1:17" ht="14.4" customHeight="1" x14ac:dyDescent="0.3">
      <c r="A106" s="661" t="s">
        <v>2603</v>
      </c>
      <c r="B106" s="662" t="s">
        <v>2323</v>
      </c>
      <c r="C106" s="662" t="s">
        <v>2052</v>
      </c>
      <c r="D106" s="662" t="s">
        <v>2605</v>
      </c>
      <c r="E106" s="662" t="s">
        <v>2606</v>
      </c>
      <c r="F106" s="665">
        <v>1.92</v>
      </c>
      <c r="G106" s="665">
        <v>1826.56</v>
      </c>
      <c r="H106" s="665">
        <v>38.405382674516396</v>
      </c>
      <c r="I106" s="665">
        <v>951.33333333333337</v>
      </c>
      <c r="J106" s="665">
        <v>0.05</v>
      </c>
      <c r="K106" s="665">
        <v>47.56</v>
      </c>
      <c r="L106" s="665">
        <v>1</v>
      </c>
      <c r="M106" s="665">
        <v>951.2</v>
      </c>
      <c r="N106" s="665">
        <v>4.3999999999999995</v>
      </c>
      <c r="O106" s="665">
        <v>4421.24</v>
      </c>
      <c r="P106" s="686">
        <v>92.961312026913362</v>
      </c>
      <c r="Q106" s="666">
        <v>1004.8272727272728</v>
      </c>
    </row>
    <row r="107" spans="1:17" ht="14.4" customHeight="1" x14ac:dyDescent="0.3">
      <c r="A107" s="661" t="s">
        <v>2603</v>
      </c>
      <c r="B107" s="662" t="s">
        <v>2323</v>
      </c>
      <c r="C107" s="662" t="s">
        <v>2052</v>
      </c>
      <c r="D107" s="662" t="s">
        <v>2607</v>
      </c>
      <c r="E107" s="662" t="s">
        <v>2071</v>
      </c>
      <c r="F107" s="665">
        <v>0.43</v>
      </c>
      <c r="G107" s="665">
        <v>4251.78</v>
      </c>
      <c r="H107" s="665">
        <v>0.50588303883436225</v>
      </c>
      <c r="I107" s="665">
        <v>9887.8604651162786</v>
      </c>
      <c r="J107" s="665">
        <v>0.85000000000000009</v>
      </c>
      <c r="K107" s="665">
        <v>8404.67</v>
      </c>
      <c r="L107" s="665">
        <v>1</v>
      </c>
      <c r="M107" s="665">
        <v>9887.8470588235286</v>
      </c>
      <c r="N107" s="665">
        <v>0.37</v>
      </c>
      <c r="O107" s="665">
        <v>3658.52</v>
      </c>
      <c r="P107" s="686">
        <v>0.43529609133969566</v>
      </c>
      <c r="Q107" s="666">
        <v>9887.8918918918916</v>
      </c>
    </row>
    <row r="108" spans="1:17" ht="14.4" customHeight="1" x14ac:dyDescent="0.3">
      <c r="A108" s="661" t="s">
        <v>2603</v>
      </c>
      <c r="B108" s="662" t="s">
        <v>2323</v>
      </c>
      <c r="C108" s="662" t="s">
        <v>2052</v>
      </c>
      <c r="D108" s="662" t="s">
        <v>2089</v>
      </c>
      <c r="E108" s="662" t="s">
        <v>2090</v>
      </c>
      <c r="F108" s="665">
        <v>0.84</v>
      </c>
      <c r="G108" s="665">
        <v>3718.68</v>
      </c>
      <c r="H108" s="665">
        <v>3.5</v>
      </c>
      <c r="I108" s="665">
        <v>4427</v>
      </c>
      <c r="J108" s="665">
        <v>0.24000000000000002</v>
      </c>
      <c r="K108" s="665">
        <v>1062.48</v>
      </c>
      <c r="L108" s="665">
        <v>1</v>
      </c>
      <c r="M108" s="665">
        <v>4427</v>
      </c>
      <c r="N108" s="665">
        <v>0.04</v>
      </c>
      <c r="O108" s="665">
        <v>181.9</v>
      </c>
      <c r="P108" s="686">
        <v>0.17120322264889692</v>
      </c>
      <c r="Q108" s="666">
        <v>4547.5</v>
      </c>
    </row>
    <row r="109" spans="1:17" ht="14.4" customHeight="1" x14ac:dyDescent="0.3">
      <c r="A109" s="661" t="s">
        <v>2603</v>
      </c>
      <c r="B109" s="662" t="s">
        <v>2323</v>
      </c>
      <c r="C109" s="662" t="s">
        <v>2052</v>
      </c>
      <c r="D109" s="662" t="s">
        <v>2608</v>
      </c>
      <c r="E109" s="662" t="s">
        <v>2090</v>
      </c>
      <c r="F109" s="665">
        <v>0.27</v>
      </c>
      <c r="G109" s="665">
        <v>2390.58</v>
      </c>
      <c r="H109" s="665">
        <v>1.8</v>
      </c>
      <c r="I109" s="665">
        <v>8854</v>
      </c>
      <c r="J109" s="665">
        <v>0.15000000000000002</v>
      </c>
      <c r="K109" s="665">
        <v>1328.1</v>
      </c>
      <c r="L109" s="665">
        <v>1</v>
      </c>
      <c r="M109" s="665">
        <v>8853.9999999999982</v>
      </c>
      <c r="N109" s="665">
        <v>0.21000000000000002</v>
      </c>
      <c r="O109" s="665">
        <v>1909.98</v>
      </c>
      <c r="P109" s="686">
        <v>1.4381296589112267</v>
      </c>
      <c r="Q109" s="666">
        <v>9095.1428571428569</v>
      </c>
    </row>
    <row r="110" spans="1:17" ht="14.4" customHeight="1" x14ac:dyDescent="0.3">
      <c r="A110" s="661" t="s">
        <v>2603</v>
      </c>
      <c r="B110" s="662" t="s">
        <v>2323</v>
      </c>
      <c r="C110" s="662" t="s">
        <v>2052</v>
      </c>
      <c r="D110" s="662" t="s">
        <v>2609</v>
      </c>
      <c r="E110" s="662" t="s">
        <v>2610</v>
      </c>
      <c r="F110" s="665">
        <v>0.70000000000000007</v>
      </c>
      <c r="G110" s="665">
        <v>1364.51</v>
      </c>
      <c r="H110" s="665">
        <v>3.5</v>
      </c>
      <c r="I110" s="665">
        <v>1949.2999999999997</v>
      </c>
      <c r="J110" s="665">
        <v>0.2</v>
      </c>
      <c r="K110" s="665">
        <v>389.86</v>
      </c>
      <c r="L110" s="665">
        <v>1</v>
      </c>
      <c r="M110" s="665">
        <v>1949.3</v>
      </c>
      <c r="N110" s="665">
        <v>0.7</v>
      </c>
      <c r="O110" s="665">
        <v>1364.51</v>
      </c>
      <c r="P110" s="686">
        <v>3.5</v>
      </c>
      <c r="Q110" s="666">
        <v>1949.3000000000002</v>
      </c>
    </row>
    <row r="111" spans="1:17" ht="14.4" customHeight="1" x14ac:dyDescent="0.3">
      <c r="A111" s="661" t="s">
        <v>2603</v>
      </c>
      <c r="B111" s="662" t="s">
        <v>2323</v>
      </c>
      <c r="C111" s="662" t="s">
        <v>2052</v>
      </c>
      <c r="D111" s="662" t="s">
        <v>2611</v>
      </c>
      <c r="E111" s="662" t="s">
        <v>2090</v>
      </c>
      <c r="F111" s="665">
        <v>2.5500000000000003</v>
      </c>
      <c r="G111" s="665">
        <v>4515.54</v>
      </c>
      <c r="H111" s="665">
        <v>0.77272727272727282</v>
      </c>
      <c r="I111" s="665">
        <v>1770.7999999999997</v>
      </c>
      <c r="J111" s="665">
        <v>3.3</v>
      </c>
      <c r="K111" s="665">
        <v>5843.6399999999994</v>
      </c>
      <c r="L111" s="665">
        <v>1</v>
      </c>
      <c r="M111" s="665">
        <v>1770.8</v>
      </c>
      <c r="N111" s="665">
        <v>3.0199999999999996</v>
      </c>
      <c r="O111" s="665">
        <v>5493.48</v>
      </c>
      <c r="P111" s="686">
        <v>0.94007844425734644</v>
      </c>
      <c r="Q111" s="666">
        <v>1819.0331125827815</v>
      </c>
    </row>
    <row r="112" spans="1:17" ht="14.4" customHeight="1" x14ac:dyDescent="0.3">
      <c r="A112" s="661" t="s">
        <v>2603</v>
      </c>
      <c r="B112" s="662" t="s">
        <v>2323</v>
      </c>
      <c r="C112" s="662" t="s">
        <v>2052</v>
      </c>
      <c r="D112" s="662" t="s">
        <v>2612</v>
      </c>
      <c r="E112" s="662" t="s">
        <v>2613</v>
      </c>
      <c r="F112" s="665"/>
      <c r="G112" s="665"/>
      <c r="H112" s="665"/>
      <c r="I112" s="665"/>
      <c r="J112" s="665">
        <v>0.3</v>
      </c>
      <c r="K112" s="665">
        <v>155.28</v>
      </c>
      <c r="L112" s="665">
        <v>1</v>
      </c>
      <c r="M112" s="665">
        <v>517.6</v>
      </c>
      <c r="N112" s="665">
        <v>0.15</v>
      </c>
      <c r="O112" s="665">
        <v>77.64</v>
      </c>
      <c r="P112" s="686">
        <v>0.5</v>
      </c>
      <c r="Q112" s="666">
        <v>517.6</v>
      </c>
    </row>
    <row r="113" spans="1:17" ht="14.4" customHeight="1" x14ac:dyDescent="0.3">
      <c r="A113" s="661" t="s">
        <v>2603</v>
      </c>
      <c r="B113" s="662" t="s">
        <v>2323</v>
      </c>
      <c r="C113" s="662" t="s">
        <v>2052</v>
      </c>
      <c r="D113" s="662" t="s">
        <v>2614</v>
      </c>
      <c r="E113" s="662" t="s">
        <v>2615</v>
      </c>
      <c r="F113" s="665"/>
      <c r="G113" s="665"/>
      <c r="H113" s="665"/>
      <c r="I113" s="665"/>
      <c r="J113" s="665">
        <v>0.1</v>
      </c>
      <c r="K113" s="665">
        <v>90.38</v>
      </c>
      <c r="L113" s="665">
        <v>1</v>
      </c>
      <c r="M113" s="665">
        <v>903.8</v>
      </c>
      <c r="N113" s="665">
        <v>0.1</v>
      </c>
      <c r="O113" s="665">
        <v>90.38</v>
      </c>
      <c r="P113" s="686">
        <v>1</v>
      </c>
      <c r="Q113" s="666">
        <v>903.8</v>
      </c>
    </row>
    <row r="114" spans="1:17" ht="14.4" customHeight="1" x14ac:dyDescent="0.3">
      <c r="A114" s="661" t="s">
        <v>2603</v>
      </c>
      <c r="B114" s="662" t="s">
        <v>2323</v>
      </c>
      <c r="C114" s="662" t="s">
        <v>2052</v>
      </c>
      <c r="D114" s="662" t="s">
        <v>2616</v>
      </c>
      <c r="E114" s="662" t="s">
        <v>2090</v>
      </c>
      <c r="F114" s="665">
        <v>0.14000000000000001</v>
      </c>
      <c r="G114" s="665">
        <v>4427.01</v>
      </c>
      <c r="H114" s="665">
        <v>0.91240931574608408</v>
      </c>
      <c r="I114" s="665">
        <v>31621.5</v>
      </c>
      <c r="J114" s="665">
        <v>0.14000000000000001</v>
      </c>
      <c r="K114" s="665">
        <v>4852</v>
      </c>
      <c r="L114" s="665">
        <v>1</v>
      </c>
      <c r="M114" s="665">
        <v>34657.142857142855</v>
      </c>
      <c r="N114" s="665">
        <v>0.1</v>
      </c>
      <c r="O114" s="665">
        <v>3747.21</v>
      </c>
      <c r="P114" s="686">
        <v>0.77230214344600168</v>
      </c>
      <c r="Q114" s="666">
        <v>37472.1</v>
      </c>
    </row>
    <row r="115" spans="1:17" ht="14.4" customHeight="1" x14ac:dyDescent="0.3">
      <c r="A115" s="661" t="s">
        <v>2603</v>
      </c>
      <c r="B115" s="662" t="s">
        <v>2323</v>
      </c>
      <c r="C115" s="662" t="s">
        <v>2164</v>
      </c>
      <c r="D115" s="662" t="s">
        <v>2617</v>
      </c>
      <c r="E115" s="662" t="s">
        <v>2618</v>
      </c>
      <c r="F115" s="665"/>
      <c r="G115" s="665"/>
      <c r="H115" s="665"/>
      <c r="I115" s="665"/>
      <c r="J115" s="665">
        <v>1</v>
      </c>
      <c r="K115" s="665">
        <v>589.59</v>
      </c>
      <c r="L115" s="665">
        <v>1</v>
      </c>
      <c r="M115" s="665">
        <v>589.59</v>
      </c>
      <c r="N115" s="665"/>
      <c r="O115" s="665"/>
      <c r="P115" s="686"/>
      <c r="Q115" s="666"/>
    </row>
    <row r="116" spans="1:17" ht="14.4" customHeight="1" x14ac:dyDescent="0.3">
      <c r="A116" s="661" t="s">
        <v>2603</v>
      </c>
      <c r="B116" s="662" t="s">
        <v>2323</v>
      </c>
      <c r="C116" s="662" t="s">
        <v>2164</v>
      </c>
      <c r="D116" s="662" t="s">
        <v>2619</v>
      </c>
      <c r="E116" s="662" t="s">
        <v>2620</v>
      </c>
      <c r="F116" s="665">
        <v>2</v>
      </c>
      <c r="G116" s="665">
        <v>1944.64</v>
      </c>
      <c r="H116" s="665">
        <v>1</v>
      </c>
      <c r="I116" s="665">
        <v>972.32</v>
      </c>
      <c r="J116" s="665">
        <v>2</v>
      </c>
      <c r="K116" s="665">
        <v>1944.64</v>
      </c>
      <c r="L116" s="665">
        <v>1</v>
      </c>
      <c r="M116" s="665">
        <v>972.32</v>
      </c>
      <c r="N116" s="665">
        <v>1</v>
      </c>
      <c r="O116" s="665">
        <v>972.32</v>
      </c>
      <c r="P116" s="686">
        <v>0.5</v>
      </c>
      <c r="Q116" s="666">
        <v>972.32</v>
      </c>
    </row>
    <row r="117" spans="1:17" ht="14.4" customHeight="1" x14ac:dyDescent="0.3">
      <c r="A117" s="661" t="s">
        <v>2603</v>
      </c>
      <c r="B117" s="662" t="s">
        <v>2323</v>
      </c>
      <c r="C117" s="662" t="s">
        <v>2164</v>
      </c>
      <c r="D117" s="662" t="s">
        <v>2621</v>
      </c>
      <c r="E117" s="662" t="s">
        <v>2620</v>
      </c>
      <c r="F117" s="665"/>
      <c r="G117" s="665"/>
      <c r="H117" s="665"/>
      <c r="I117" s="665"/>
      <c r="J117" s="665">
        <v>1</v>
      </c>
      <c r="K117" s="665">
        <v>1408.42</v>
      </c>
      <c r="L117" s="665">
        <v>1</v>
      </c>
      <c r="M117" s="665">
        <v>1408.42</v>
      </c>
      <c r="N117" s="665"/>
      <c r="O117" s="665"/>
      <c r="P117" s="686"/>
      <c r="Q117" s="666"/>
    </row>
    <row r="118" spans="1:17" ht="14.4" customHeight="1" x14ac:dyDescent="0.3">
      <c r="A118" s="661" t="s">
        <v>2603</v>
      </c>
      <c r="B118" s="662" t="s">
        <v>2323</v>
      </c>
      <c r="C118" s="662" t="s">
        <v>2164</v>
      </c>
      <c r="D118" s="662" t="s">
        <v>2622</v>
      </c>
      <c r="E118" s="662" t="s">
        <v>2620</v>
      </c>
      <c r="F118" s="665">
        <v>1</v>
      </c>
      <c r="G118" s="665">
        <v>1707.31</v>
      </c>
      <c r="H118" s="665">
        <v>0.14285714285714285</v>
      </c>
      <c r="I118" s="665">
        <v>1707.31</v>
      </c>
      <c r="J118" s="665">
        <v>7</v>
      </c>
      <c r="K118" s="665">
        <v>11951.17</v>
      </c>
      <c r="L118" s="665">
        <v>1</v>
      </c>
      <c r="M118" s="665">
        <v>1707.31</v>
      </c>
      <c r="N118" s="665">
        <v>3</v>
      </c>
      <c r="O118" s="665">
        <v>5121.93</v>
      </c>
      <c r="P118" s="686">
        <v>0.4285714285714286</v>
      </c>
      <c r="Q118" s="666">
        <v>1707.3100000000002</v>
      </c>
    </row>
    <row r="119" spans="1:17" ht="14.4" customHeight="1" x14ac:dyDescent="0.3">
      <c r="A119" s="661" t="s">
        <v>2603</v>
      </c>
      <c r="B119" s="662" t="s">
        <v>2323</v>
      </c>
      <c r="C119" s="662" t="s">
        <v>2164</v>
      </c>
      <c r="D119" s="662" t="s">
        <v>2623</v>
      </c>
      <c r="E119" s="662" t="s">
        <v>2620</v>
      </c>
      <c r="F119" s="665"/>
      <c r="G119" s="665"/>
      <c r="H119" s="665"/>
      <c r="I119" s="665"/>
      <c r="J119" s="665">
        <v>3</v>
      </c>
      <c r="K119" s="665">
        <v>6198.9000000000005</v>
      </c>
      <c r="L119" s="665">
        <v>1</v>
      </c>
      <c r="M119" s="665">
        <v>2066.3000000000002</v>
      </c>
      <c r="N119" s="665">
        <v>1</v>
      </c>
      <c r="O119" s="665">
        <v>2066.3000000000002</v>
      </c>
      <c r="P119" s="686">
        <v>0.33333333333333331</v>
      </c>
      <c r="Q119" s="666">
        <v>2066.3000000000002</v>
      </c>
    </row>
    <row r="120" spans="1:17" ht="14.4" customHeight="1" x14ac:dyDescent="0.3">
      <c r="A120" s="661" t="s">
        <v>2603</v>
      </c>
      <c r="B120" s="662" t="s">
        <v>2323</v>
      </c>
      <c r="C120" s="662" t="s">
        <v>2164</v>
      </c>
      <c r="D120" s="662" t="s">
        <v>2624</v>
      </c>
      <c r="E120" s="662" t="s">
        <v>2625</v>
      </c>
      <c r="F120" s="665">
        <v>1</v>
      </c>
      <c r="G120" s="665">
        <v>1932.09</v>
      </c>
      <c r="H120" s="665"/>
      <c r="I120" s="665">
        <v>1932.09</v>
      </c>
      <c r="J120" s="665"/>
      <c r="K120" s="665"/>
      <c r="L120" s="665"/>
      <c r="M120" s="665"/>
      <c r="N120" s="665"/>
      <c r="O120" s="665"/>
      <c r="P120" s="686"/>
      <c r="Q120" s="666"/>
    </row>
    <row r="121" spans="1:17" ht="14.4" customHeight="1" x14ac:dyDescent="0.3">
      <c r="A121" s="661" t="s">
        <v>2603</v>
      </c>
      <c r="B121" s="662" t="s">
        <v>2323</v>
      </c>
      <c r="C121" s="662" t="s">
        <v>2164</v>
      </c>
      <c r="D121" s="662" t="s">
        <v>2626</v>
      </c>
      <c r="E121" s="662" t="s">
        <v>2627</v>
      </c>
      <c r="F121" s="665"/>
      <c r="G121" s="665"/>
      <c r="H121" s="665"/>
      <c r="I121" s="665"/>
      <c r="J121" s="665">
        <v>5</v>
      </c>
      <c r="K121" s="665">
        <v>5138.8</v>
      </c>
      <c r="L121" s="665">
        <v>1</v>
      </c>
      <c r="M121" s="665">
        <v>1027.76</v>
      </c>
      <c r="N121" s="665">
        <v>2</v>
      </c>
      <c r="O121" s="665">
        <v>2055.52</v>
      </c>
      <c r="P121" s="686">
        <v>0.39999999999999997</v>
      </c>
      <c r="Q121" s="666">
        <v>1027.76</v>
      </c>
    </row>
    <row r="122" spans="1:17" ht="14.4" customHeight="1" x14ac:dyDescent="0.3">
      <c r="A122" s="661" t="s">
        <v>2603</v>
      </c>
      <c r="B122" s="662" t="s">
        <v>2323</v>
      </c>
      <c r="C122" s="662" t="s">
        <v>2164</v>
      </c>
      <c r="D122" s="662" t="s">
        <v>2628</v>
      </c>
      <c r="E122" s="662" t="s">
        <v>2627</v>
      </c>
      <c r="F122" s="665">
        <v>1</v>
      </c>
      <c r="G122" s="665">
        <v>2141.85</v>
      </c>
      <c r="H122" s="665">
        <v>0.33333333333333337</v>
      </c>
      <c r="I122" s="665">
        <v>2141.85</v>
      </c>
      <c r="J122" s="665">
        <v>3</v>
      </c>
      <c r="K122" s="665">
        <v>6425.5499999999993</v>
      </c>
      <c r="L122" s="665">
        <v>1</v>
      </c>
      <c r="M122" s="665">
        <v>2141.85</v>
      </c>
      <c r="N122" s="665">
        <v>1</v>
      </c>
      <c r="O122" s="665">
        <v>2141.85</v>
      </c>
      <c r="P122" s="686">
        <v>0.33333333333333337</v>
      </c>
      <c r="Q122" s="666">
        <v>2141.85</v>
      </c>
    </row>
    <row r="123" spans="1:17" ht="14.4" customHeight="1" x14ac:dyDescent="0.3">
      <c r="A123" s="661" t="s">
        <v>2603</v>
      </c>
      <c r="B123" s="662" t="s">
        <v>2323</v>
      </c>
      <c r="C123" s="662" t="s">
        <v>2164</v>
      </c>
      <c r="D123" s="662" t="s">
        <v>2629</v>
      </c>
      <c r="E123" s="662" t="s">
        <v>2630</v>
      </c>
      <c r="F123" s="665"/>
      <c r="G123" s="665"/>
      <c r="H123" s="665"/>
      <c r="I123" s="665"/>
      <c r="J123" s="665">
        <v>1</v>
      </c>
      <c r="K123" s="665">
        <v>8536.5499999999993</v>
      </c>
      <c r="L123" s="665">
        <v>1</v>
      </c>
      <c r="M123" s="665">
        <v>8536.5499999999993</v>
      </c>
      <c r="N123" s="665"/>
      <c r="O123" s="665"/>
      <c r="P123" s="686"/>
      <c r="Q123" s="666"/>
    </row>
    <row r="124" spans="1:17" ht="14.4" customHeight="1" x14ac:dyDescent="0.3">
      <c r="A124" s="661" t="s">
        <v>2603</v>
      </c>
      <c r="B124" s="662" t="s">
        <v>2323</v>
      </c>
      <c r="C124" s="662" t="s">
        <v>2164</v>
      </c>
      <c r="D124" s="662" t="s">
        <v>2631</v>
      </c>
      <c r="E124" s="662" t="s">
        <v>2632</v>
      </c>
      <c r="F124" s="665"/>
      <c r="G124" s="665"/>
      <c r="H124" s="665"/>
      <c r="I124" s="665"/>
      <c r="J124" s="665">
        <v>3</v>
      </c>
      <c r="K124" s="665">
        <v>9010.14</v>
      </c>
      <c r="L124" s="665">
        <v>1</v>
      </c>
      <c r="M124" s="665">
        <v>3003.3799999999997</v>
      </c>
      <c r="N124" s="665">
        <v>1</v>
      </c>
      <c r="O124" s="665">
        <v>3003.38</v>
      </c>
      <c r="P124" s="686">
        <v>0.33333333333333337</v>
      </c>
      <c r="Q124" s="666">
        <v>3003.38</v>
      </c>
    </row>
    <row r="125" spans="1:17" ht="14.4" customHeight="1" x14ac:dyDescent="0.3">
      <c r="A125" s="661" t="s">
        <v>2603</v>
      </c>
      <c r="B125" s="662" t="s">
        <v>2323</v>
      </c>
      <c r="C125" s="662" t="s">
        <v>2164</v>
      </c>
      <c r="D125" s="662" t="s">
        <v>2633</v>
      </c>
      <c r="E125" s="662" t="s">
        <v>2634</v>
      </c>
      <c r="F125" s="665"/>
      <c r="G125" s="665"/>
      <c r="H125" s="665"/>
      <c r="I125" s="665"/>
      <c r="J125" s="665">
        <v>1</v>
      </c>
      <c r="K125" s="665">
        <v>2236.5</v>
      </c>
      <c r="L125" s="665">
        <v>1</v>
      </c>
      <c r="M125" s="665">
        <v>2236.5</v>
      </c>
      <c r="N125" s="665"/>
      <c r="O125" s="665"/>
      <c r="P125" s="686"/>
      <c r="Q125" s="666"/>
    </row>
    <row r="126" spans="1:17" ht="14.4" customHeight="1" x14ac:dyDescent="0.3">
      <c r="A126" s="661" t="s">
        <v>2603</v>
      </c>
      <c r="B126" s="662" t="s">
        <v>2323</v>
      </c>
      <c r="C126" s="662" t="s">
        <v>2164</v>
      </c>
      <c r="D126" s="662" t="s">
        <v>2635</v>
      </c>
      <c r="E126" s="662" t="s">
        <v>2636</v>
      </c>
      <c r="F126" s="665">
        <v>1</v>
      </c>
      <c r="G126" s="665">
        <v>6890.78</v>
      </c>
      <c r="H126" s="665">
        <v>9.9999999999999992E-2</v>
      </c>
      <c r="I126" s="665">
        <v>6890.78</v>
      </c>
      <c r="J126" s="665">
        <v>10</v>
      </c>
      <c r="K126" s="665">
        <v>68907.8</v>
      </c>
      <c r="L126" s="665">
        <v>1</v>
      </c>
      <c r="M126" s="665">
        <v>6890.7800000000007</v>
      </c>
      <c r="N126" s="665">
        <v>5</v>
      </c>
      <c r="O126" s="665">
        <v>34453.9</v>
      </c>
      <c r="P126" s="686">
        <v>0.5</v>
      </c>
      <c r="Q126" s="666">
        <v>6890.7800000000007</v>
      </c>
    </row>
    <row r="127" spans="1:17" ht="14.4" customHeight="1" x14ac:dyDescent="0.3">
      <c r="A127" s="661" t="s">
        <v>2603</v>
      </c>
      <c r="B127" s="662" t="s">
        <v>2323</v>
      </c>
      <c r="C127" s="662" t="s">
        <v>2164</v>
      </c>
      <c r="D127" s="662" t="s">
        <v>2637</v>
      </c>
      <c r="E127" s="662" t="s">
        <v>2638</v>
      </c>
      <c r="F127" s="665"/>
      <c r="G127" s="665"/>
      <c r="H127" s="665"/>
      <c r="I127" s="665"/>
      <c r="J127" s="665">
        <v>1</v>
      </c>
      <c r="K127" s="665">
        <v>4137.8900000000003</v>
      </c>
      <c r="L127" s="665">
        <v>1</v>
      </c>
      <c r="M127" s="665">
        <v>4137.8900000000003</v>
      </c>
      <c r="N127" s="665">
        <v>1</v>
      </c>
      <c r="O127" s="665">
        <v>4137.8900000000003</v>
      </c>
      <c r="P127" s="686">
        <v>1</v>
      </c>
      <c r="Q127" s="666">
        <v>4137.8900000000003</v>
      </c>
    </row>
    <row r="128" spans="1:17" ht="14.4" customHeight="1" x14ac:dyDescent="0.3">
      <c r="A128" s="661" t="s">
        <v>2603</v>
      </c>
      <c r="B128" s="662" t="s">
        <v>2323</v>
      </c>
      <c r="C128" s="662" t="s">
        <v>2164</v>
      </c>
      <c r="D128" s="662" t="s">
        <v>2639</v>
      </c>
      <c r="E128" s="662" t="s">
        <v>2640</v>
      </c>
      <c r="F128" s="665"/>
      <c r="G128" s="665"/>
      <c r="H128" s="665"/>
      <c r="I128" s="665"/>
      <c r="J128" s="665">
        <v>2</v>
      </c>
      <c r="K128" s="665">
        <v>2005.6</v>
      </c>
      <c r="L128" s="665">
        <v>1</v>
      </c>
      <c r="M128" s="665">
        <v>1002.8</v>
      </c>
      <c r="N128" s="665">
        <v>3</v>
      </c>
      <c r="O128" s="665">
        <v>3008.3999999999996</v>
      </c>
      <c r="P128" s="686">
        <v>1.4999999999999998</v>
      </c>
      <c r="Q128" s="666">
        <v>1002.7999999999998</v>
      </c>
    </row>
    <row r="129" spans="1:17" ht="14.4" customHeight="1" x14ac:dyDescent="0.3">
      <c r="A129" s="661" t="s">
        <v>2603</v>
      </c>
      <c r="B129" s="662" t="s">
        <v>2323</v>
      </c>
      <c r="C129" s="662" t="s">
        <v>2164</v>
      </c>
      <c r="D129" s="662" t="s">
        <v>2641</v>
      </c>
      <c r="E129" s="662" t="s">
        <v>2642</v>
      </c>
      <c r="F129" s="665">
        <v>1</v>
      </c>
      <c r="G129" s="665">
        <v>7650</v>
      </c>
      <c r="H129" s="665">
        <v>0.5</v>
      </c>
      <c r="I129" s="665">
        <v>7650</v>
      </c>
      <c r="J129" s="665">
        <v>2</v>
      </c>
      <c r="K129" s="665">
        <v>15300</v>
      </c>
      <c r="L129" s="665">
        <v>1</v>
      </c>
      <c r="M129" s="665">
        <v>7650</v>
      </c>
      <c r="N129" s="665"/>
      <c r="O129" s="665"/>
      <c r="P129" s="686"/>
      <c r="Q129" s="666"/>
    </row>
    <row r="130" spans="1:17" ht="14.4" customHeight="1" x14ac:dyDescent="0.3">
      <c r="A130" s="661" t="s">
        <v>2603</v>
      </c>
      <c r="B130" s="662" t="s">
        <v>2323</v>
      </c>
      <c r="C130" s="662" t="s">
        <v>2164</v>
      </c>
      <c r="D130" s="662" t="s">
        <v>2643</v>
      </c>
      <c r="E130" s="662" t="s">
        <v>2644</v>
      </c>
      <c r="F130" s="665"/>
      <c r="G130" s="665"/>
      <c r="H130" s="665"/>
      <c r="I130" s="665"/>
      <c r="J130" s="665">
        <v>3</v>
      </c>
      <c r="K130" s="665">
        <v>6512.91</v>
      </c>
      <c r="L130" s="665">
        <v>1</v>
      </c>
      <c r="M130" s="665">
        <v>2170.9699999999998</v>
      </c>
      <c r="N130" s="665">
        <v>1</v>
      </c>
      <c r="O130" s="665">
        <v>2170.9699999999998</v>
      </c>
      <c r="P130" s="686">
        <v>0.33333333333333331</v>
      </c>
      <c r="Q130" s="666">
        <v>2170.9699999999998</v>
      </c>
    </row>
    <row r="131" spans="1:17" ht="14.4" customHeight="1" x14ac:dyDescent="0.3">
      <c r="A131" s="661" t="s">
        <v>2603</v>
      </c>
      <c r="B131" s="662" t="s">
        <v>2323</v>
      </c>
      <c r="C131" s="662" t="s">
        <v>2164</v>
      </c>
      <c r="D131" s="662" t="s">
        <v>2645</v>
      </c>
      <c r="E131" s="662" t="s">
        <v>2646</v>
      </c>
      <c r="F131" s="665"/>
      <c r="G131" s="665"/>
      <c r="H131" s="665"/>
      <c r="I131" s="665"/>
      <c r="J131" s="665">
        <v>2</v>
      </c>
      <c r="K131" s="665">
        <v>1594</v>
      </c>
      <c r="L131" s="665">
        <v>1</v>
      </c>
      <c r="M131" s="665">
        <v>797</v>
      </c>
      <c r="N131" s="665"/>
      <c r="O131" s="665"/>
      <c r="P131" s="686"/>
      <c r="Q131" s="666"/>
    </row>
    <row r="132" spans="1:17" ht="14.4" customHeight="1" x14ac:dyDescent="0.3">
      <c r="A132" s="661" t="s">
        <v>2603</v>
      </c>
      <c r="B132" s="662" t="s">
        <v>2323</v>
      </c>
      <c r="C132" s="662" t="s">
        <v>2164</v>
      </c>
      <c r="D132" s="662" t="s">
        <v>2647</v>
      </c>
      <c r="E132" s="662" t="s">
        <v>2648</v>
      </c>
      <c r="F132" s="665">
        <v>2</v>
      </c>
      <c r="G132" s="665">
        <v>10518.46</v>
      </c>
      <c r="H132" s="665">
        <v>1</v>
      </c>
      <c r="I132" s="665">
        <v>5259.23</v>
      </c>
      <c r="J132" s="665">
        <v>2</v>
      </c>
      <c r="K132" s="665">
        <v>10518.46</v>
      </c>
      <c r="L132" s="665">
        <v>1</v>
      </c>
      <c r="M132" s="665">
        <v>5259.23</v>
      </c>
      <c r="N132" s="665">
        <v>1</v>
      </c>
      <c r="O132" s="665">
        <v>5259.23</v>
      </c>
      <c r="P132" s="686">
        <v>0.5</v>
      </c>
      <c r="Q132" s="666">
        <v>5259.23</v>
      </c>
    </row>
    <row r="133" spans="1:17" ht="14.4" customHeight="1" x14ac:dyDescent="0.3">
      <c r="A133" s="661" t="s">
        <v>2603</v>
      </c>
      <c r="B133" s="662" t="s">
        <v>2323</v>
      </c>
      <c r="C133" s="662" t="s">
        <v>2164</v>
      </c>
      <c r="D133" s="662" t="s">
        <v>2649</v>
      </c>
      <c r="E133" s="662" t="s">
        <v>2650</v>
      </c>
      <c r="F133" s="665"/>
      <c r="G133" s="665"/>
      <c r="H133" s="665"/>
      <c r="I133" s="665"/>
      <c r="J133" s="665">
        <v>1</v>
      </c>
      <c r="K133" s="665">
        <v>605.65</v>
      </c>
      <c r="L133" s="665">
        <v>1</v>
      </c>
      <c r="M133" s="665">
        <v>605.65</v>
      </c>
      <c r="N133" s="665">
        <v>1</v>
      </c>
      <c r="O133" s="665">
        <v>605.65</v>
      </c>
      <c r="P133" s="686">
        <v>1</v>
      </c>
      <c r="Q133" s="666">
        <v>605.65</v>
      </c>
    </row>
    <row r="134" spans="1:17" ht="14.4" customHeight="1" x14ac:dyDescent="0.3">
      <c r="A134" s="661" t="s">
        <v>2603</v>
      </c>
      <c r="B134" s="662" t="s">
        <v>2323</v>
      </c>
      <c r="C134" s="662" t="s">
        <v>2164</v>
      </c>
      <c r="D134" s="662" t="s">
        <v>2651</v>
      </c>
      <c r="E134" s="662" t="s">
        <v>2652</v>
      </c>
      <c r="F134" s="665"/>
      <c r="G134" s="665"/>
      <c r="H134" s="665"/>
      <c r="I134" s="665"/>
      <c r="J134" s="665">
        <v>2</v>
      </c>
      <c r="K134" s="665">
        <v>1662.32</v>
      </c>
      <c r="L134" s="665">
        <v>1</v>
      </c>
      <c r="M134" s="665">
        <v>831.16</v>
      </c>
      <c r="N134" s="665"/>
      <c r="O134" s="665"/>
      <c r="P134" s="686"/>
      <c r="Q134" s="666"/>
    </row>
    <row r="135" spans="1:17" ht="14.4" customHeight="1" x14ac:dyDescent="0.3">
      <c r="A135" s="661" t="s">
        <v>2603</v>
      </c>
      <c r="B135" s="662" t="s">
        <v>2323</v>
      </c>
      <c r="C135" s="662" t="s">
        <v>2164</v>
      </c>
      <c r="D135" s="662" t="s">
        <v>2653</v>
      </c>
      <c r="E135" s="662" t="s">
        <v>2652</v>
      </c>
      <c r="F135" s="665">
        <v>3</v>
      </c>
      <c r="G135" s="665">
        <v>2664.18</v>
      </c>
      <c r="H135" s="665">
        <v>0.75</v>
      </c>
      <c r="I135" s="665">
        <v>888.06</v>
      </c>
      <c r="J135" s="665">
        <v>4</v>
      </c>
      <c r="K135" s="665">
        <v>3552.24</v>
      </c>
      <c r="L135" s="665">
        <v>1</v>
      </c>
      <c r="M135" s="665">
        <v>888.06</v>
      </c>
      <c r="N135" s="665"/>
      <c r="O135" s="665"/>
      <c r="P135" s="686"/>
      <c r="Q135" s="666"/>
    </row>
    <row r="136" spans="1:17" ht="14.4" customHeight="1" x14ac:dyDescent="0.3">
      <c r="A136" s="661" t="s">
        <v>2603</v>
      </c>
      <c r="B136" s="662" t="s">
        <v>2323</v>
      </c>
      <c r="C136" s="662" t="s">
        <v>2164</v>
      </c>
      <c r="D136" s="662" t="s">
        <v>2654</v>
      </c>
      <c r="E136" s="662" t="s">
        <v>2655</v>
      </c>
      <c r="F136" s="665"/>
      <c r="G136" s="665"/>
      <c r="H136" s="665"/>
      <c r="I136" s="665"/>
      <c r="J136" s="665">
        <v>1</v>
      </c>
      <c r="K136" s="665">
        <v>888.06</v>
      </c>
      <c r="L136" s="665">
        <v>1</v>
      </c>
      <c r="M136" s="665">
        <v>888.06</v>
      </c>
      <c r="N136" s="665"/>
      <c r="O136" s="665"/>
      <c r="P136" s="686"/>
      <c r="Q136" s="666"/>
    </row>
    <row r="137" spans="1:17" ht="14.4" customHeight="1" x14ac:dyDescent="0.3">
      <c r="A137" s="661" t="s">
        <v>2603</v>
      </c>
      <c r="B137" s="662" t="s">
        <v>2323</v>
      </c>
      <c r="C137" s="662" t="s">
        <v>2164</v>
      </c>
      <c r="D137" s="662" t="s">
        <v>2656</v>
      </c>
      <c r="E137" s="662" t="s">
        <v>2657</v>
      </c>
      <c r="F137" s="665"/>
      <c r="G137" s="665"/>
      <c r="H137" s="665"/>
      <c r="I137" s="665"/>
      <c r="J137" s="665">
        <v>2</v>
      </c>
      <c r="K137" s="665">
        <v>2187.7600000000002</v>
      </c>
      <c r="L137" s="665">
        <v>1</v>
      </c>
      <c r="M137" s="665">
        <v>1093.8800000000001</v>
      </c>
      <c r="N137" s="665"/>
      <c r="O137" s="665"/>
      <c r="P137" s="686"/>
      <c r="Q137" s="666"/>
    </row>
    <row r="138" spans="1:17" ht="14.4" customHeight="1" x14ac:dyDescent="0.3">
      <c r="A138" s="661" t="s">
        <v>2603</v>
      </c>
      <c r="B138" s="662" t="s">
        <v>2323</v>
      </c>
      <c r="C138" s="662" t="s">
        <v>2164</v>
      </c>
      <c r="D138" s="662" t="s">
        <v>2658</v>
      </c>
      <c r="E138" s="662" t="s">
        <v>2659</v>
      </c>
      <c r="F138" s="665">
        <v>1</v>
      </c>
      <c r="G138" s="665">
        <v>3898.8</v>
      </c>
      <c r="H138" s="665"/>
      <c r="I138" s="665">
        <v>3898.8</v>
      </c>
      <c r="J138" s="665"/>
      <c r="K138" s="665"/>
      <c r="L138" s="665"/>
      <c r="M138" s="665"/>
      <c r="N138" s="665"/>
      <c r="O138" s="665"/>
      <c r="P138" s="686"/>
      <c r="Q138" s="666"/>
    </row>
    <row r="139" spans="1:17" ht="14.4" customHeight="1" x14ac:dyDescent="0.3">
      <c r="A139" s="661" t="s">
        <v>2603</v>
      </c>
      <c r="B139" s="662" t="s">
        <v>2323</v>
      </c>
      <c r="C139" s="662" t="s">
        <v>2164</v>
      </c>
      <c r="D139" s="662" t="s">
        <v>2660</v>
      </c>
      <c r="E139" s="662" t="s">
        <v>2661</v>
      </c>
      <c r="F139" s="665"/>
      <c r="G139" s="665"/>
      <c r="H139" s="665"/>
      <c r="I139" s="665"/>
      <c r="J139" s="665">
        <v>10</v>
      </c>
      <c r="K139" s="665">
        <v>36445.800000000003</v>
      </c>
      <c r="L139" s="665">
        <v>1</v>
      </c>
      <c r="M139" s="665">
        <v>3644.5800000000004</v>
      </c>
      <c r="N139" s="665"/>
      <c r="O139" s="665"/>
      <c r="P139" s="686"/>
      <c r="Q139" s="666"/>
    </row>
    <row r="140" spans="1:17" ht="14.4" customHeight="1" x14ac:dyDescent="0.3">
      <c r="A140" s="661" t="s">
        <v>2603</v>
      </c>
      <c r="B140" s="662" t="s">
        <v>2323</v>
      </c>
      <c r="C140" s="662" t="s">
        <v>2164</v>
      </c>
      <c r="D140" s="662" t="s">
        <v>2662</v>
      </c>
      <c r="E140" s="662" t="s">
        <v>2663</v>
      </c>
      <c r="F140" s="665">
        <v>1</v>
      </c>
      <c r="G140" s="665">
        <v>1146.33</v>
      </c>
      <c r="H140" s="665">
        <v>0.16666666666666666</v>
      </c>
      <c r="I140" s="665">
        <v>1146.33</v>
      </c>
      <c r="J140" s="665">
        <v>6</v>
      </c>
      <c r="K140" s="665">
        <v>6877.98</v>
      </c>
      <c r="L140" s="665">
        <v>1</v>
      </c>
      <c r="M140" s="665">
        <v>1146.33</v>
      </c>
      <c r="N140" s="665">
        <v>2</v>
      </c>
      <c r="O140" s="665">
        <v>2292.66</v>
      </c>
      <c r="P140" s="686">
        <v>0.33333333333333331</v>
      </c>
      <c r="Q140" s="666">
        <v>1146.33</v>
      </c>
    </row>
    <row r="141" spans="1:17" ht="14.4" customHeight="1" x14ac:dyDescent="0.3">
      <c r="A141" s="661" t="s">
        <v>2603</v>
      </c>
      <c r="B141" s="662" t="s">
        <v>2323</v>
      </c>
      <c r="C141" s="662" t="s">
        <v>2164</v>
      </c>
      <c r="D141" s="662" t="s">
        <v>2664</v>
      </c>
      <c r="E141" s="662" t="s">
        <v>2665</v>
      </c>
      <c r="F141" s="665">
        <v>2</v>
      </c>
      <c r="G141" s="665">
        <v>718.2</v>
      </c>
      <c r="H141" s="665">
        <v>1</v>
      </c>
      <c r="I141" s="665">
        <v>359.1</v>
      </c>
      <c r="J141" s="665">
        <v>2</v>
      </c>
      <c r="K141" s="665">
        <v>718.2</v>
      </c>
      <c r="L141" s="665">
        <v>1</v>
      </c>
      <c r="M141" s="665">
        <v>359.1</v>
      </c>
      <c r="N141" s="665"/>
      <c r="O141" s="665"/>
      <c r="P141" s="686"/>
      <c r="Q141" s="666"/>
    </row>
    <row r="142" spans="1:17" ht="14.4" customHeight="1" x14ac:dyDescent="0.3">
      <c r="A142" s="661" t="s">
        <v>2603</v>
      </c>
      <c r="B142" s="662" t="s">
        <v>2323</v>
      </c>
      <c r="C142" s="662" t="s">
        <v>2164</v>
      </c>
      <c r="D142" s="662" t="s">
        <v>2666</v>
      </c>
      <c r="E142" s="662" t="s">
        <v>2667</v>
      </c>
      <c r="F142" s="665">
        <v>1</v>
      </c>
      <c r="G142" s="665">
        <v>16831.689999999999</v>
      </c>
      <c r="H142" s="665"/>
      <c r="I142" s="665">
        <v>16831.689999999999</v>
      </c>
      <c r="J142" s="665"/>
      <c r="K142" s="665"/>
      <c r="L142" s="665"/>
      <c r="M142" s="665"/>
      <c r="N142" s="665">
        <v>1</v>
      </c>
      <c r="O142" s="665">
        <v>16831.689999999999</v>
      </c>
      <c r="P142" s="686"/>
      <c r="Q142" s="666">
        <v>16831.689999999999</v>
      </c>
    </row>
    <row r="143" spans="1:17" ht="14.4" customHeight="1" x14ac:dyDescent="0.3">
      <c r="A143" s="661" t="s">
        <v>2603</v>
      </c>
      <c r="B143" s="662" t="s">
        <v>2323</v>
      </c>
      <c r="C143" s="662" t="s">
        <v>2164</v>
      </c>
      <c r="D143" s="662" t="s">
        <v>2668</v>
      </c>
      <c r="E143" s="662" t="s">
        <v>2669</v>
      </c>
      <c r="F143" s="665">
        <v>1</v>
      </c>
      <c r="G143" s="665">
        <v>10645.01</v>
      </c>
      <c r="H143" s="665"/>
      <c r="I143" s="665">
        <v>10645.01</v>
      </c>
      <c r="J143" s="665"/>
      <c r="K143" s="665"/>
      <c r="L143" s="665"/>
      <c r="M143" s="665"/>
      <c r="N143" s="665"/>
      <c r="O143" s="665"/>
      <c r="P143" s="686"/>
      <c r="Q143" s="666"/>
    </row>
    <row r="144" spans="1:17" ht="14.4" customHeight="1" x14ac:dyDescent="0.3">
      <c r="A144" s="661" t="s">
        <v>2603</v>
      </c>
      <c r="B144" s="662" t="s">
        <v>2323</v>
      </c>
      <c r="C144" s="662" t="s">
        <v>2164</v>
      </c>
      <c r="D144" s="662" t="s">
        <v>2670</v>
      </c>
      <c r="E144" s="662" t="s">
        <v>2671</v>
      </c>
      <c r="F144" s="665">
        <v>2</v>
      </c>
      <c r="G144" s="665">
        <v>13174.26</v>
      </c>
      <c r="H144" s="665">
        <v>0.66666666666666674</v>
      </c>
      <c r="I144" s="665">
        <v>6587.13</v>
      </c>
      <c r="J144" s="665">
        <v>3</v>
      </c>
      <c r="K144" s="665">
        <v>19761.39</v>
      </c>
      <c r="L144" s="665">
        <v>1</v>
      </c>
      <c r="M144" s="665">
        <v>6587.13</v>
      </c>
      <c r="N144" s="665">
        <v>1</v>
      </c>
      <c r="O144" s="665">
        <v>6587.13</v>
      </c>
      <c r="P144" s="686">
        <v>0.33333333333333337</v>
      </c>
      <c r="Q144" s="666">
        <v>6587.13</v>
      </c>
    </row>
    <row r="145" spans="1:17" ht="14.4" customHeight="1" x14ac:dyDescent="0.3">
      <c r="A145" s="661" t="s">
        <v>2603</v>
      </c>
      <c r="B145" s="662" t="s">
        <v>2323</v>
      </c>
      <c r="C145" s="662" t="s">
        <v>2164</v>
      </c>
      <c r="D145" s="662" t="s">
        <v>2672</v>
      </c>
      <c r="E145" s="662" t="s">
        <v>2673</v>
      </c>
      <c r="F145" s="665"/>
      <c r="G145" s="665"/>
      <c r="H145" s="665"/>
      <c r="I145" s="665"/>
      <c r="J145" s="665">
        <v>6</v>
      </c>
      <c r="K145" s="665">
        <v>26160</v>
      </c>
      <c r="L145" s="665">
        <v>1</v>
      </c>
      <c r="M145" s="665">
        <v>4360</v>
      </c>
      <c r="N145" s="665"/>
      <c r="O145" s="665"/>
      <c r="P145" s="686"/>
      <c r="Q145" s="666"/>
    </row>
    <row r="146" spans="1:17" ht="14.4" customHeight="1" x14ac:dyDescent="0.3">
      <c r="A146" s="661" t="s">
        <v>2603</v>
      </c>
      <c r="B146" s="662" t="s">
        <v>2323</v>
      </c>
      <c r="C146" s="662" t="s">
        <v>2164</v>
      </c>
      <c r="D146" s="662" t="s">
        <v>2674</v>
      </c>
      <c r="E146" s="662" t="s">
        <v>2675</v>
      </c>
      <c r="F146" s="665">
        <v>1</v>
      </c>
      <c r="G146" s="665">
        <v>33125.26</v>
      </c>
      <c r="H146" s="665">
        <v>1.2499999056611251</v>
      </c>
      <c r="I146" s="665">
        <v>33125.26</v>
      </c>
      <c r="J146" s="665">
        <v>1</v>
      </c>
      <c r="K146" s="665">
        <v>26500.21</v>
      </c>
      <c r="L146" s="665">
        <v>1</v>
      </c>
      <c r="M146" s="665">
        <v>26500.21</v>
      </c>
      <c r="N146" s="665"/>
      <c r="O146" s="665"/>
      <c r="P146" s="686"/>
      <c r="Q146" s="666"/>
    </row>
    <row r="147" spans="1:17" ht="14.4" customHeight="1" x14ac:dyDescent="0.3">
      <c r="A147" s="661" t="s">
        <v>2603</v>
      </c>
      <c r="B147" s="662" t="s">
        <v>2323</v>
      </c>
      <c r="C147" s="662" t="s">
        <v>2164</v>
      </c>
      <c r="D147" s="662" t="s">
        <v>2676</v>
      </c>
      <c r="E147" s="662" t="s">
        <v>2677</v>
      </c>
      <c r="F147" s="665"/>
      <c r="G147" s="665"/>
      <c r="H147" s="665"/>
      <c r="I147" s="665"/>
      <c r="J147" s="665">
        <v>1</v>
      </c>
      <c r="K147" s="665">
        <v>17527.810000000001</v>
      </c>
      <c r="L147" s="665">
        <v>1</v>
      </c>
      <c r="M147" s="665">
        <v>17527.810000000001</v>
      </c>
      <c r="N147" s="665"/>
      <c r="O147" s="665"/>
      <c r="P147" s="686"/>
      <c r="Q147" s="666"/>
    </row>
    <row r="148" spans="1:17" ht="14.4" customHeight="1" x14ac:dyDescent="0.3">
      <c r="A148" s="661" t="s">
        <v>2603</v>
      </c>
      <c r="B148" s="662" t="s">
        <v>2323</v>
      </c>
      <c r="C148" s="662" t="s">
        <v>2164</v>
      </c>
      <c r="D148" s="662" t="s">
        <v>2678</v>
      </c>
      <c r="E148" s="662" t="s">
        <v>2679</v>
      </c>
      <c r="F148" s="665"/>
      <c r="G148" s="665"/>
      <c r="H148" s="665"/>
      <c r="I148" s="665"/>
      <c r="J148" s="665">
        <v>1</v>
      </c>
      <c r="K148" s="665">
        <v>33448</v>
      </c>
      <c r="L148" s="665">
        <v>1</v>
      </c>
      <c r="M148" s="665">
        <v>33448</v>
      </c>
      <c r="N148" s="665"/>
      <c r="O148" s="665"/>
      <c r="P148" s="686"/>
      <c r="Q148" s="666"/>
    </row>
    <row r="149" spans="1:17" ht="14.4" customHeight="1" x14ac:dyDescent="0.3">
      <c r="A149" s="661" t="s">
        <v>2603</v>
      </c>
      <c r="B149" s="662" t="s">
        <v>2323</v>
      </c>
      <c r="C149" s="662" t="s">
        <v>2164</v>
      </c>
      <c r="D149" s="662" t="s">
        <v>2680</v>
      </c>
      <c r="E149" s="662" t="s">
        <v>2681</v>
      </c>
      <c r="F149" s="665"/>
      <c r="G149" s="665"/>
      <c r="H149" s="665"/>
      <c r="I149" s="665"/>
      <c r="J149" s="665">
        <v>1</v>
      </c>
      <c r="K149" s="665">
        <v>1261.46</v>
      </c>
      <c r="L149" s="665">
        <v>1</v>
      </c>
      <c r="M149" s="665">
        <v>1261.46</v>
      </c>
      <c r="N149" s="665"/>
      <c r="O149" s="665"/>
      <c r="P149" s="686"/>
      <c r="Q149" s="666"/>
    </row>
    <row r="150" spans="1:17" ht="14.4" customHeight="1" x14ac:dyDescent="0.3">
      <c r="A150" s="661" t="s">
        <v>2603</v>
      </c>
      <c r="B150" s="662" t="s">
        <v>2323</v>
      </c>
      <c r="C150" s="662" t="s">
        <v>1955</v>
      </c>
      <c r="D150" s="662" t="s">
        <v>2682</v>
      </c>
      <c r="E150" s="662" t="s">
        <v>2683</v>
      </c>
      <c r="F150" s="665">
        <v>1</v>
      </c>
      <c r="G150" s="665">
        <v>207</v>
      </c>
      <c r="H150" s="665"/>
      <c r="I150" s="665">
        <v>207</v>
      </c>
      <c r="J150" s="665"/>
      <c r="K150" s="665"/>
      <c r="L150" s="665"/>
      <c r="M150" s="665"/>
      <c r="N150" s="665"/>
      <c r="O150" s="665"/>
      <c r="P150" s="686"/>
      <c r="Q150" s="666"/>
    </row>
    <row r="151" spans="1:17" ht="14.4" customHeight="1" x14ac:dyDescent="0.3">
      <c r="A151" s="661" t="s">
        <v>2603</v>
      </c>
      <c r="B151" s="662" t="s">
        <v>2323</v>
      </c>
      <c r="C151" s="662" t="s">
        <v>1955</v>
      </c>
      <c r="D151" s="662" t="s">
        <v>2684</v>
      </c>
      <c r="E151" s="662" t="s">
        <v>2685</v>
      </c>
      <c r="F151" s="665"/>
      <c r="G151" s="665"/>
      <c r="H151" s="665"/>
      <c r="I151" s="665"/>
      <c r="J151" s="665">
        <v>1</v>
      </c>
      <c r="K151" s="665">
        <v>155</v>
      </c>
      <c r="L151" s="665">
        <v>1</v>
      </c>
      <c r="M151" s="665">
        <v>155</v>
      </c>
      <c r="N151" s="665">
        <v>2</v>
      </c>
      <c r="O151" s="665">
        <v>310</v>
      </c>
      <c r="P151" s="686">
        <v>2</v>
      </c>
      <c r="Q151" s="666">
        <v>155</v>
      </c>
    </row>
    <row r="152" spans="1:17" ht="14.4" customHeight="1" x14ac:dyDescent="0.3">
      <c r="A152" s="661" t="s">
        <v>2603</v>
      </c>
      <c r="B152" s="662" t="s">
        <v>2323</v>
      </c>
      <c r="C152" s="662" t="s">
        <v>1955</v>
      </c>
      <c r="D152" s="662" t="s">
        <v>2686</v>
      </c>
      <c r="E152" s="662" t="s">
        <v>2687</v>
      </c>
      <c r="F152" s="665"/>
      <c r="G152" s="665"/>
      <c r="H152" s="665"/>
      <c r="I152" s="665"/>
      <c r="J152" s="665">
        <v>1</v>
      </c>
      <c r="K152" s="665">
        <v>187</v>
      </c>
      <c r="L152" s="665">
        <v>1</v>
      </c>
      <c r="M152" s="665">
        <v>187</v>
      </c>
      <c r="N152" s="665"/>
      <c r="O152" s="665"/>
      <c r="P152" s="686"/>
      <c r="Q152" s="666"/>
    </row>
    <row r="153" spans="1:17" ht="14.4" customHeight="1" x14ac:dyDescent="0.3">
      <c r="A153" s="661" t="s">
        <v>2603</v>
      </c>
      <c r="B153" s="662" t="s">
        <v>2323</v>
      </c>
      <c r="C153" s="662" t="s">
        <v>1955</v>
      </c>
      <c r="D153" s="662" t="s">
        <v>2688</v>
      </c>
      <c r="E153" s="662" t="s">
        <v>2689</v>
      </c>
      <c r="F153" s="665">
        <v>4</v>
      </c>
      <c r="G153" s="665">
        <v>500</v>
      </c>
      <c r="H153" s="665">
        <v>0.390625</v>
      </c>
      <c r="I153" s="665">
        <v>125</v>
      </c>
      <c r="J153" s="665">
        <v>10</v>
      </c>
      <c r="K153" s="665">
        <v>1280</v>
      </c>
      <c r="L153" s="665">
        <v>1</v>
      </c>
      <c r="M153" s="665">
        <v>128</v>
      </c>
      <c r="N153" s="665">
        <v>11</v>
      </c>
      <c r="O153" s="665">
        <v>1408</v>
      </c>
      <c r="P153" s="686">
        <v>1.1000000000000001</v>
      </c>
      <c r="Q153" s="666">
        <v>128</v>
      </c>
    </row>
    <row r="154" spans="1:17" ht="14.4" customHeight="1" x14ac:dyDescent="0.3">
      <c r="A154" s="661" t="s">
        <v>2603</v>
      </c>
      <c r="B154" s="662" t="s">
        <v>2323</v>
      </c>
      <c r="C154" s="662" t="s">
        <v>1955</v>
      </c>
      <c r="D154" s="662" t="s">
        <v>2690</v>
      </c>
      <c r="E154" s="662" t="s">
        <v>2691</v>
      </c>
      <c r="F154" s="665">
        <v>1</v>
      </c>
      <c r="G154" s="665">
        <v>219</v>
      </c>
      <c r="H154" s="665">
        <v>6.137892376681614E-2</v>
      </c>
      <c r="I154" s="665">
        <v>219</v>
      </c>
      <c r="J154" s="665">
        <v>16</v>
      </c>
      <c r="K154" s="665">
        <v>3568</v>
      </c>
      <c r="L154" s="665">
        <v>1</v>
      </c>
      <c r="M154" s="665">
        <v>223</v>
      </c>
      <c r="N154" s="665">
        <v>8</v>
      </c>
      <c r="O154" s="665">
        <v>1784</v>
      </c>
      <c r="P154" s="686">
        <v>0.5</v>
      </c>
      <c r="Q154" s="666">
        <v>223</v>
      </c>
    </row>
    <row r="155" spans="1:17" ht="14.4" customHeight="1" x14ac:dyDescent="0.3">
      <c r="A155" s="661" t="s">
        <v>2603</v>
      </c>
      <c r="B155" s="662" t="s">
        <v>2323</v>
      </c>
      <c r="C155" s="662" t="s">
        <v>1955</v>
      </c>
      <c r="D155" s="662" t="s">
        <v>2692</v>
      </c>
      <c r="E155" s="662" t="s">
        <v>2693</v>
      </c>
      <c r="F155" s="665">
        <v>21</v>
      </c>
      <c r="G155" s="665">
        <v>4641</v>
      </c>
      <c r="H155" s="665">
        <v>1.2891666666666666</v>
      </c>
      <c r="I155" s="665">
        <v>221</v>
      </c>
      <c r="J155" s="665">
        <v>16</v>
      </c>
      <c r="K155" s="665">
        <v>3600</v>
      </c>
      <c r="L155" s="665">
        <v>1</v>
      </c>
      <c r="M155" s="665">
        <v>225</v>
      </c>
      <c r="N155" s="665">
        <v>16</v>
      </c>
      <c r="O155" s="665">
        <v>3600</v>
      </c>
      <c r="P155" s="686">
        <v>1</v>
      </c>
      <c r="Q155" s="666">
        <v>225</v>
      </c>
    </row>
    <row r="156" spans="1:17" ht="14.4" customHeight="1" x14ac:dyDescent="0.3">
      <c r="A156" s="661" t="s">
        <v>2603</v>
      </c>
      <c r="B156" s="662" t="s">
        <v>2323</v>
      </c>
      <c r="C156" s="662" t="s">
        <v>1955</v>
      </c>
      <c r="D156" s="662" t="s">
        <v>2694</v>
      </c>
      <c r="E156" s="662" t="s">
        <v>2695</v>
      </c>
      <c r="F156" s="665">
        <v>5</v>
      </c>
      <c r="G156" s="665">
        <v>3065</v>
      </c>
      <c r="H156" s="665">
        <v>4.9039999999999999</v>
      </c>
      <c r="I156" s="665">
        <v>613</v>
      </c>
      <c r="J156" s="665">
        <v>1</v>
      </c>
      <c r="K156" s="665">
        <v>625</v>
      </c>
      <c r="L156" s="665">
        <v>1</v>
      </c>
      <c r="M156" s="665">
        <v>625</v>
      </c>
      <c r="N156" s="665">
        <v>1</v>
      </c>
      <c r="O156" s="665">
        <v>626</v>
      </c>
      <c r="P156" s="686">
        <v>1.0016</v>
      </c>
      <c r="Q156" s="666">
        <v>626</v>
      </c>
    </row>
    <row r="157" spans="1:17" ht="14.4" customHeight="1" x14ac:dyDescent="0.3">
      <c r="A157" s="661" t="s">
        <v>2603</v>
      </c>
      <c r="B157" s="662" t="s">
        <v>2323</v>
      </c>
      <c r="C157" s="662" t="s">
        <v>1955</v>
      </c>
      <c r="D157" s="662" t="s">
        <v>2696</v>
      </c>
      <c r="E157" s="662" t="s">
        <v>2697</v>
      </c>
      <c r="F157" s="665">
        <v>2</v>
      </c>
      <c r="G157" s="665">
        <v>8278</v>
      </c>
      <c r="H157" s="665">
        <v>0.6626641050272174</v>
      </c>
      <c r="I157" s="665">
        <v>4139</v>
      </c>
      <c r="J157" s="665">
        <v>3</v>
      </c>
      <c r="K157" s="665">
        <v>12492</v>
      </c>
      <c r="L157" s="665">
        <v>1</v>
      </c>
      <c r="M157" s="665">
        <v>4164</v>
      </c>
      <c r="N157" s="665"/>
      <c r="O157" s="665"/>
      <c r="P157" s="686"/>
      <c r="Q157" s="666"/>
    </row>
    <row r="158" spans="1:17" ht="14.4" customHeight="1" x14ac:dyDescent="0.3">
      <c r="A158" s="661" t="s">
        <v>2603</v>
      </c>
      <c r="B158" s="662" t="s">
        <v>2323</v>
      </c>
      <c r="C158" s="662" t="s">
        <v>1955</v>
      </c>
      <c r="D158" s="662" t="s">
        <v>2698</v>
      </c>
      <c r="E158" s="662" t="s">
        <v>2699</v>
      </c>
      <c r="F158" s="665"/>
      <c r="G158" s="665"/>
      <c r="H158" s="665"/>
      <c r="I158" s="665"/>
      <c r="J158" s="665">
        <v>3</v>
      </c>
      <c r="K158" s="665">
        <v>18957</v>
      </c>
      <c r="L158" s="665">
        <v>1</v>
      </c>
      <c r="M158" s="665">
        <v>6319</v>
      </c>
      <c r="N158" s="665">
        <v>1</v>
      </c>
      <c r="O158" s="665">
        <v>6320</v>
      </c>
      <c r="P158" s="686">
        <v>0.33338608429603839</v>
      </c>
      <c r="Q158" s="666">
        <v>6320</v>
      </c>
    </row>
    <row r="159" spans="1:17" ht="14.4" customHeight="1" x14ac:dyDescent="0.3">
      <c r="A159" s="661" t="s">
        <v>2603</v>
      </c>
      <c r="B159" s="662" t="s">
        <v>2323</v>
      </c>
      <c r="C159" s="662" t="s">
        <v>1955</v>
      </c>
      <c r="D159" s="662" t="s">
        <v>2700</v>
      </c>
      <c r="E159" s="662" t="s">
        <v>2701</v>
      </c>
      <c r="F159" s="665">
        <v>6</v>
      </c>
      <c r="G159" s="665">
        <v>22944</v>
      </c>
      <c r="H159" s="665">
        <v>0.3302245250431779</v>
      </c>
      <c r="I159" s="665">
        <v>3824</v>
      </c>
      <c r="J159" s="665">
        <v>18</v>
      </c>
      <c r="K159" s="665">
        <v>69480</v>
      </c>
      <c r="L159" s="665">
        <v>1</v>
      </c>
      <c r="M159" s="665">
        <v>3860</v>
      </c>
      <c r="N159" s="665">
        <v>4</v>
      </c>
      <c r="O159" s="665">
        <v>15440</v>
      </c>
      <c r="P159" s="686">
        <v>0.22222222222222221</v>
      </c>
      <c r="Q159" s="666">
        <v>3860</v>
      </c>
    </row>
    <row r="160" spans="1:17" ht="14.4" customHeight="1" x14ac:dyDescent="0.3">
      <c r="A160" s="661" t="s">
        <v>2603</v>
      </c>
      <c r="B160" s="662" t="s">
        <v>2323</v>
      </c>
      <c r="C160" s="662" t="s">
        <v>1955</v>
      </c>
      <c r="D160" s="662" t="s">
        <v>2702</v>
      </c>
      <c r="E160" s="662" t="s">
        <v>2703</v>
      </c>
      <c r="F160" s="665">
        <v>1</v>
      </c>
      <c r="G160" s="665">
        <v>5162</v>
      </c>
      <c r="H160" s="665">
        <v>0.49539347408829176</v>
      </c>
      <c r="I160" s="665">
        <v>5162</v>
      </c>
      <c r="J160" s="665">
        <v>2</v>
      </c>
      <c r="K160" s="665">
        <v>10420</v>
      </c>
      <c r="L160" s="665">
        <v>1</v>
      </c>
      <c r="M160" s="665">
        <v>5210</v>
      </c>
      <c r="N160" s="665"/>
      <c r="O160" s="665"/>
      <c r="P160" s="686"/>
      <c r="Q160" s="666"/>
    </row>
    <row r="161" spans="1:17" ht="14.4" customHeight="1" x14ac:dyDescent="0.3">
      <c r="A161" s="661" t="s">
        <v>2603</v>
      </c>
      <c r="B161" s="662" t="s">
        <v>2323</v>
      </c>
      <c r="C161" s="662" t="s">
        <v>1955</v>
      </c>
      <c r="D161" s="662" t="s">
        <v>2704</v>
      </c>
      <c r="E161" s="662" t="s">
        <v>2705</v>
      </c>
      <c r="F161" s="665">
        <v>2</v>
      </c>
      <c r="G161" s="665">
        <v>15706</v>
      </c>
      <c r="H161" s="665">
        <v>0.16515247108307046</v>
      </c>
      <c r="I161" s="665">
        <v>7853</v>
      </c>
      <c r="J161" s="665">
        <v>12</v>
      </c>
      <c r="K161" s="665">
        <v>95100</v>
      </c>
      <c r="L161" s="665">
        <v>1</v>
      </c>
      <c r="M161" s="665">
        <v>7925</v>
      </c>
      <c r="N161" s="665">
        <v>5</v>
      </c>
      <c r="O161" s="665">
        <v>39630</v>
      </c>
      <c r="P161" s="686">
        <v>0.41671924290220819</v>
      </c>
      <c r="Q161" s="666">
        <v>7926</v>
      </c>
    </row>
    <row r="162" spans="1:17" ht="14.4" customHeight="1" x14ac:dyDescent="0.3">
      <c r="A162" s="661" t="s">
        <v>2603</v>
      </c>
      <c r="B162" s="662" t="s">
        <v>2323</v>
      </c>
      <c r="C162" s="662" t="s">
        <v>1955</v>
      </c>
      <c r="D162" s="662" t="s">
        <v>2706</v>
      </c>
      <c r="E162" s="662" t="s">
        <v>2707</v>
      </c>
      <c r="F162" s="665"/>
      <c r="G162" s="665"/>
      <c r="H162" s="665"/>
      <c r="I162" s="665"/>
      <c r="J162" s="665">
        <v>3</v>
      </c>
      <c r="K162" s="665">
        <v>5106</v>
      </c>
      <c r="L162" s="665">
        <v>1</v>
      </c>
      <c r="M162" s="665">
        <v>1702</v>
      </c>
      <c r="N162" s="665">
        <v>1</v>
      </c>
      <c r="O162" s="665">
        <v>1702</v>
      </c>
      <c r="P162" s="686">
        <v>0.33333333333333331</v>
      </c>
      <c r="Q162" s="666">
        <v>1702</v>
      </c>
    </row>
    <row r="163" spans="1:17" ht="14.4" customHeight="1" x14ac:dyDescent="0.3">
      <c r="A163" s="661" t="s">
        <v>2603</v>
      </c>
      <c r="B163" s="662" t="s">
        <v>2323</v>
      </c>
      <c r="C163" s="662" t="s">
        <v>1955</v>
      </c>
      <c r="D163" s="662" t="s">
        <v>2708</v>
      </c>
      <c r="E163" s="662" t="s">
        <v>2709</v>
      </c>
      <c r="F163" s="665">
        <v>9</v>
      </c>
      <c r="G163" s="665">
        <v>11529</v>
      </c>
      <c r="H163" s="665">
        <v>1.2737819025522041</v>
      </c>
      <c r="I163" s="665">
        <v>1281</v>
      </c>
      <c r="J163" s="665">
        <v>7</v>
      </c>
      <c r="K163" s="665">
        <v>9051</v>
      </c>
      <c r="L163" s="665">
        <v>1</v>
      </c>
      <c r="M163" s="665">
        <v>1293</v>
      </c>
      <c r="N163" s="665">
        <v>14</v>
      </c>
      <c r="O163" s="665">
        <v>18116</v>
      </c>
      <c r="P163" s="686">
        <v>2.0015467904098996</v>
      </c>
      <c r="Q163" s="666">
        <v>1294</v>
      </c>
    </row>
    <row r="164" spans="1:17" ht="14.4" customHeight="1" x14ac:dyDescent="0.3">
      <c r="A164" s="661" t="s">
        <v>2603</v>
      </c>
      <c r="B164" s="662" t="s">
        <v>2323</v>
      </c>
      <c r="C164" s="662" t="s">
        <v>1955</v>
      </c>
      <c r="D164" s="662" t="s">
        <v>2710</v>
      </c>
      <c r="E164" s="662" t="s">
        <v>2711</v>
      </c>
      <c r="F164" s="665">
        <v>9</v>
      </c>
      <c r="G164" s="665">
        <v>10503</v>
      </c>
      <c r="H164" s="665">
        <v>1.4872557349192863</v>
      </c>
      <c r="I164" s="665">
        <v>1167</v>
      </c>
      <c r="J164" s="665">
        <v>6</v>
      </c>
      <c r="K164" s="665">
        <v>7062</v>
      </c>
      <c r="L164" s="665">
        <v>1</v>
      </c>
      <c r="M164" s="665">
        <v>1177</v>
      </c>
      <c r="N164" s="665">
        <v>13</v>
      </c>
      <c r="O164" s="665">
        <v>15314</v>
      </c>
      <c r="P164" s="686">
        <v>2.1685075049561031</v>
      </c>
      <c r="Q164" s="666">
        <v>1178</v>
      </c>
    </row>
    <row r="165" spans="1:17" ht="14.4" customHeight="1" x14ac:dyDescent="0.3">
      <c r="A165" s="661" t="s">
        <v>2603</v>
      </c>
      <c r="B165" s="662" t="s">
        <v>2323</v>
      </c>
      <c r="C165" s="662" t="s">
        <v>1955</v>
      </c>
      <c r="D165" s="662" t="s">
        <v>2712</v>
      </c>
      <c r="E165" s="662" t="s">
        <v>2713</v>
      </c>
      <c r="F165" s="665"/>
      <c r="G165" s="665"/>
      <c r="H165" s="665"/>
      <c r="I165" s="665"/>
      <c r="J165" s="665">
        <v>1</v>
      </c>
      <c r="K165" s="665">
        <v>5157</v>
      </c>
      <c r="L165" s="665">
        <v>1</v>
      </c>
      <c r="M165" s="665">
        <v>5157</v>
      </c>
      <c r="N165" s="665">
        <v>3</v>
      </c>
      <c r="O165" s="665">
        <v>15471</v>
      </c>
      <c r="P165" s="686">
        <v>3</v>
      </c>
      <c r="Q165" s="666">
        <v>5157</v>
      </c>
    </row>
    <row r="166" spans="1:17" ht="14.4" customHeight="1" x14ac:dyDescent="0.3">
      <c r="A166" s="661" t="s">
        <v>2603</v>
      </c>
      <c r="B166" s="662" t="s">
        <v>2323</v>
      </c>
      <c r="C166" s="662" t="s">
        <v>1955</v>
      </c>
      <c r="D166" s="662" t="s">
        <v>2714</v>
      </c>
      <c r="E166" s="662" t="s">
        <v>2715</v>
      </c>
      <c r="F166" s="665"/>
      <c r="G166" s="665"/>
      <c r="H166" s="665"/>
      <c r="I166" s="665"/>
      <c r="J166" s="665">
        <v>1</v>
      </c>
      <c r="K166" s="665">
        <v>800</v>
      </c>
      <c r="L166" s="665">
        <v>1</v>
      </c>
      <c r="M166" s="665">
        <v>800</v>
      </c>
      <c r="N166" s="665">
        <v>1</v>
      </c>
      <c r="O166" s="665">
        <v>801</v>
      </c>
      <c r="P166" s="686">
        <v>1.00125</v>
      </c>
      <c r="Q166" s="666">
        <v>801</v>
      </c>
    </row>
    <row r="167" spans="1:17" ht="14.4" customHeight="1" x14ac:dyDescent="0.3">
      <c r="A167" s="661" t="s">
        <v>2603</v>
      </c>
      <c r="B167" s="662" t="s">
        <v>2323</v>
      </c>
      <c r="C167" s="662" t="s">
        <v>1955</v>
      </c>
      <c r="D167" s="662" t="s">
        <v>2716</v>
      </c>
      <c r="E167" s="662" t="s">
        <v>2717</v>
      </c>
      <c r="F167" s="665">
        <v>138</v>
      </c>
      <c r="G167" s="665">
        <v>24150</v>
      </c>
      <c r="H167" s="665">
        <v>0.83705937402516373</v>
      </c>
      <c r="I167" s="665">
        <v>175</v>
      </c>
      <c r="J167" s="665">
        <v>163</v>
      </c>
      <c r="K167" s="665">
        <v>28851</v>
      </c>
      <c r="L167" s="665">
        <v>1</v>
      </c>
      <c r="M167" s="665">
        <v>177</v>
      </c>
      <c r="N167" s="665">
        <v>173</v>
      </c>
      <c r="O167" s="665">
        <v>30621</v>
      </c>
      <c r="P167" s="686">
        <v>1.0613496932515338</v>
      </c>
      <c r="Q167" s="666">
        <v>177</v>
      </c>
    </row>
    <row r="168" spans="1:17" ht="14.4" customHeight="1" x14ac:dyDescent="0.3">
      <c r="A168" s="661" t="s">
        <v>2603</v>
      </c>
      <c r="B168" s="662" t="s">
        <v>2323</v>
      </c>
      <c r="C168" s="662" t="s">
        <v>1955</v>
      </c>
      <c r="D168" s="662" t="s">
        <v>2718</v>
      </c>
      <c r="E168" s="662" t="s">
        <v>2719</v>
      </c>
      <c r="F168" s="665">
        <v>7</v>
      </c>
      <c r="G168" s="665">
        <v>14007</v>
      </c>
      <c r="H168" s="665">
        <v>0.62175958806818177</v>
      </c>
      <c r="I168" s="665">
        <v>2001</v>
      </c>
      <c r="J168" s="665">
        <v>11</v>
      </c>
      <c r="K168" s="665">
        <v>22528</v>
      </c>
      <c r="L168" s="665">
        <v>1</v>
      </c>
      <c r="M168" s="665">
        <v>2048</v>
      </c>
      <c r="N168" s="665">
        <v>11</v>
      </c>
      <c r="O168" s="665">
        <v>22539</v>
      </c>
      <c r="P168" s="686">
        <v>1.00048828125</v>
      </c>
      <c r="Q168" s="666">
        <v>2049</v>
      </c>
    </row>
    <row r="169" spans="1:17" ht="14.4" customHeight="1" x14ac:dyDescent="0.3">
      <c r="A169" s="661" t="s">
        <v>2603</v>
      </c>
      <c r="B169" s="662" t="s">
        <v>2323</v>
      </c>
      <c r="C169" s="662" t="s">
        <v>1955</v>
      </c>
      <c r="D169" s="662" t="s">
        <v>2720</v>
      </c>
      <c r="E169" s="662" t="s">
        <v>2721</v>
      </c>
      <c r="F169" s="665">
        <v>4</v>
      </c>
      <c r="G169" s="665">
        <v>2648</v>
      </c>
      <c r="H169" s="665">
        <v>3.9287833827893177</v>
      </c>
      <c r="I169" s="665">
        <v>662</v>
      </c>
      <c r="J169" s="665">
        <v>1</v>
      </c>
      <c r="K169" s="665">
        <v>674</v>
      </c>
      <c r="L169" s="665">
        <v>1</v>
      </c>
      <c r="M169" s="665">
        <v>674</v>
      </c>
      <c r="N169" s="665">
        <v>1</v>
      </c>
      <c r="O169" s="665">
        <v>675</v>
      </c>
      <c r="P169" s="686">
        <v>1.0014836795252227</v>
      </c>
      <c r="Q169" s="666">
        <v>675</v>
      </c>
    </row>
    <row r="170" spans="1:17" ht="14.4" customHeight="1" x14ac:dyDescent="0.3">
      <c r="A170" s="661" t="s">
        <v>2603</v>
      </c>
      <c r="B170" s="662" t="s">
        <v>2323</v>
      </c>
      <c r="C170" s="662" t="s">
        <v>1955</v>
      </c>
      <c r="D170" s="662" t="s">
        <v>2722</v>
      </c>
      <c r="E170" s="662" t="s">
        <v>2723</v>
      </c>
      <c r="F170" s="665">
        <v>1</v>
      </c>
      <c r="G170" s="665">
        <v>2082</v>
      </c>
      <c r="H170" s="665">
        <v>0.98532891623284424</v>
      </c>
      <c r="I170" s="665">
        <v>2082</v>
      </c>
      <c r="J170" s="665">
        <v>1</v>
      </c>
      <c r="K170" s="665">
        <v>2113</v>
      </c>
      <c r="L170" s="665">
        <v>1</v>
      </c>
      <c r="M170" s="665">
        <v>2113</v>
      </c>
      <c r="N170" s="665"/>
      <c r="O170" s="665"/>
      <c r="P170" s="686"/>
      <c r="Q170" s="666"/>
    </row>
    <row r="171" spans="1:17" ht="14.4" customHeight="1" x14ac:dyDescent="0.3">
      <c r="A171" s="661" t="s">
        <v>2603</v>
      </c>
      <c r="B171" s="662" t="s">
        <v>2323</v>
      </c>
      <c r="C171" s="662" t="s">
        <v>1955</v>
      </c>
      <c r="D171" s="662" t="s">
        <v>2724</v>
      </c>
      <c r="E171" s="662" t="s">
        <v>2725</v>
      </c>
      <c r="F171" s="665">
        <v>1</v>
      </c>
      <c r="G171" s="665">
        <v>151</v>
      </c>
      <c r="H171" s="665">
        <v>0.48709677419354841</v>
      </c>
      <c r="I171" s="665">
        <v>151</v>
      </c>
      <c r="J171" s="665">
        <v>2</v>
      </c>
      <c r="K171" s="665">
        <v>310</v>
      </c>
      <c r="L171" s="665">
        <v>1</v>
      </c>
      <c r="M171" s="665">
        <v>155</v>
      </c>
      <c r="N171" s="665"/>
      <c r="O171" s="665"/>
      <c r="P171" s="686"/>
      <c r="Q171" s="666"/>
    </row>
    <row r="172" spans="1:17" ht="14.4" customHeight="1" x14ac:dyDescent="0.3">
      <c r="A172" s="661" t="s">
        <v>2603</v>
      </c>
      <c r="B172" s="662" t="s">
        <v>2323</v>
      </c>
      <c r="C172" s="662" t="s">
        <v>1955</v>
      </c>
      <c r="D172" s="662" t="s">
        <v>2726</v>
      </c>
      <c r="E172" s="662" t="s">
        <v>2727</v>
      </c>
      <c r="F172" s="665">
        <v>2</v>
      </c>
      <c r="G172" s="665">
        <v>390</v>
      </c>
      <c r="H172" s="665"/>
      <c r="I172" s="665">
        <v>195</v>
      </c>
      <c r="J172" s="665"/>
      <c r="K172" s="665"/>
      <c r="L172" s="665"/>
      <c r="M172" s="665"/>
      <c r="N172" s="665"/>
      <c r="O172" s="665"/>
      <c r="P172" s="686"/>
      <c r="Q172" s="666"/>
    </row>
    <row r="173" spans="1:17" ht="14.4" customHeight="1" x14ac:dyDescent="0.3">
      <c r="A173" s="661" t="s">
        <v>2603</v>
      </c>
      <c r="B173" s="662" t="s">
        <v>2323</v>
      </c>
      <c r="C173" s="662" t="s">
        <v>1955</v>
      </c>
      <c r="D173" s="662" t="s">
        <v>2728</v>
      </c>
      <c r="E173" s="662" t="s">
        <v>2729</v>
      </c>
      <c r="F173" s="665">
        <v>40</v>
      </c>
      <c r="G173" s="665">
        <v>8000</v>
      </c>
      <c r="H173" s="665">
        <v>0.29708853238265004</v>
      </c>
      <c r="I173" s="665">
        <v>200</v>
      </c>
      <c r="J173" s="665">
        <v>132</v>
      </c>
      <c r="K173" s="665">
        <v>26928</v>
      </c>
      <c r="L173" s="665">
        <v>1</v>
      </c>
      <c r="M173" s="665">
        <v>204</v>
      </c>
      <c r="N173" s="665">
        <v>62</v>
      </c>
      <c r="O173" s="665">
        <v>12648</v>
      </c>
      <c r="P173" s="686">
        <v>0.46969696969696972</v>
      </c>
      <c r="Q173" s="666">
        <v>204</v>
      </c>
    </row>
    <row r="174" spans="1:17" ht="14.4" customHeight="1" x14ac:dyDescent="0.3">
      <c r="A174" s="661" t="s">
        <v>2603</v>
      </c>
      <c r="B174" s="662" t="s">
        <v>2323</v>
      </c>
      <c r="C174" s="662" t="s">
        <v>1955</v>
      </c>
      <c r="D174" s="662" t="s">
        <v>2730</v>
      </c>
      <c r="E174" s="662" t="s">
        <v>2731</v>
      </c>
      <c r="F174" s="665">
        <v>9</v>
      </c>
      <c r="G174" s="665">
        <v>3762</v>
      </c>
      <c r="H174" s="665">
        <v>4.415492957746479</v>
      </c>
      <c r="I174" s="665">
        <v>418</v>
      </c>
      <c r="J174" s="665">
        <v>2</v>
      </c>
      <c r="K174" s="665">
        <v>852</v>
      </c>
      <c r="L174" s="665">
        <v>1</v>
      </c>
      <c r="M174" s="665">
        <v>426</v>
      </c>
      <c r="N174" s="665">
        <v>1</v>
      </c>
      <c r="O174" s="665">
        <v>426</v>
      </c>
      <c r="P174" s="686">
        <v>0.5</v>
      </c>
      <c r="Q174" s="666">
        <v>426</v>
      </c>
    </row>
    <row r="175" spans="1:17" ht="14.4" customHeight="1" x14ac:dyDescent="0.3">
      <c r="A175" s="661" t="s">
        <v>2603</v>
      </c>
      <c r="B175" s="662" t="s">
        <v>2323</v>
      </c>
      <c r="C175" s="662" t="s">
        <v>1955</v>
      </c>
      <c r="D175" s="662" t="s">
        <v>2732</v>
      </c>
      <c r="E175" s="662" t="s">
        <v>2733</v>
      </c>
      <c r="F175" s="665"/>
      <c r="G175" s="665"/>
      <c r="H175" s="665"/>
      <c r="I175" s="665"/>
      <c r="J175" s="665"/>
      <c r="K175" s="665"/>
      <c r="L175" s="665"/>
      <c r="M175" s="665"/>
      <c r="N175" s="665">
        <v>1</v>
      </c>
      <c r="O175" s="665">
        <v>163</v>
      </c>
      <c r="P175" s="686"/>
      <c r="Q175" s="666">
        <v>163</v>
      </c>
    </row>
    <row r="176" spans="1:17" ht="14.4" customHeight="1" x14ac:dyDescent="0.3">
      <c r="A176" s="661" t="s">
        <v>2603</v>
      </c>
      <c r="B176" s="662" t="s">
        <v>2323</v>
      </c>
      <c r="C176" s="662" t="s">
        <v>1955</v>
      </c>
      <c r="D176" s="662" t="s">
        <v>2734</v>
      </c>
      <c r="E176" s="662" t="s">
        <v>2735</v>
      </c>
      <c r="F176" s="665">
        <v>2</v>
      </c>
      <c r="G176" s="665">
        <v>856</v>
      </c>
      <c r="H176" s="665">
        <v>1.963302752293578</v>
      </c>
      <c r="I176" s="665">
        <v>428</v>
      </c>
      <c r="J176" s="665">
        <v>1</v>
      </c>
      <c r="K176" s="665">
        <v>436</v>
      </c>
      <c r="L176" s="665">
        <v>1</v>
      </c>
      <c r="M176" s="665">
        <v>436</v>
      </c>
      <c r="N176" s="665"/>
      <c r="O176" s="665"/>
      <c r="P176" s="686"/>
      <c r="Q176" s="666"/>
    </row>
    <row r="177" spans="1:17" ht="14.4" customHeight="1" x14ac:dyDescent="0.3">
      <c r="A177" s="661" t="s">
        <v>2603</v>
      </c>
      <c r="B177" s="662" t="s">
        <v>2323</v>
      </c>
      <c r="C177" s="662" t="s">
        <v>1955</v>
      </c>
      <c r="D177" s="662" t="s">
        <v>2736</v>
      </c>
      <c r="E177" s="662" t="s">
        <v>2737</v>
      </c>
      <c r="F177" s="665">
        <v>11</v>
      </c>
      <c r="G177" s="665">
        <v>23353</v>
      </c>
      <c r="H177" s="665">
        <v>0.51627094663306361</v>
      </c>
      <c r="I177" s="665">
        <v>2123</v>
      </c>
      <c r="J177" s="665">
        <v>21</v>
      </c>
      <c r="K177" s="665">
        <v>45234</v>
      </c>
      <c r="L177" s="665">
        <v>1</v>
      </c>
      <c r="M177" s="665">
        <v>2154</v>
      </c>
      <c r="N177" s="665">
        <v>23</v>
      </c>
      <c r="O177" s="665">
        <v>49565</v>
      </c>
      <c r="P177" s="686">
        <v>1.0957465623203784</v>
      </c>
      <c r="Q177" s="666">
        <v>2155</v>
      </c>
    </row>
    <row r="178" spans="1:17" ht="14.4" customHeight="1" x14ac:dyDescent="0.3">
      <c r="A178" s="661" t="s">
        <v>2603</v>
      </c>
      <c r="B178" s="662" t="s">
        <v>2323</v>
      </c>
      <c r="C178" s="662" t="s">
        <v>1955</v>
      </c>
      <c r="D178" s="662" t="s">
        <v>2738</v>
      </c>
      <c r="E178" s="662" t="s">
        <v>2701</v>
      </c>
      <c r="F178" s="665">
        <v>9</v>
      </c>
      <c r="G178" s="665">
        <v>16821</v>
      </c>
      <c r="H178" s="665">
        <v>0.49496822033898308</v>
      </c>
      <c r="I178" s="665">
        <v>1869</v>
      </c>
      <c r="J178" s="665">
        <v>18</v>
      </c>
      <c r="K178" s="665">
        <v>33984</v>
      </c>
      <c r="L178" s="665">
        <v>1</v>
      </c>
      <c r="M178" s="665">
        <v>1888</v>
      </c>
      <c r="N178" s="665">
        <v>8</v>
      </c>
      <c r="O178" s="665">
        <v>15112</v>
      </c>
      <c r="P178" s="686">
        <v>0.4446798493408663</v>
      </c>
      <c r="Q178" s="666">
        <v>1889</v>
      </c>
    </row>
    <row r="179" spans="1:17" ht="14.4" customHeight="1" x14ac:dyDescent="0.3">
      <c r="A179" s="661" t="s">
        <v>2603</v>
      </c>
      <c r="B179" s="662" t="s">
        <v>2323</v>
      </c>
      <c r="C179" s="662" t="s">
        <v>1955</v>
      </c>
      <c r="D179" s="662" t="s">
        <v>2739</v>
      </c>
      <c r="E179" s="662" t="s">
        <v>2740</v>
      </c>
      <c r="F179" s="665"/>
      <c r="G179" s="665"/>
      <c r="H179" s="665"/>
      <c r="I179" s="665"/>
      <c r="J179" s="665">
        <v>2</v>
      </c>
      <c r="K179" s="665">
        <v>1866</v>
      </c>
      <c r="L179" s="665">
        <v>1</v>
      </c>
      <c r="M179" s="665">
        <v>933</v>
      </c>
      <c r="N179" s="665"/>
      <c r="O179" s="665"/>
      <c r="P179" s="686"/>
      <c r="Q179" s="666"/>
    </row>
    <row r="180" spans="1:17" ht="14.4" customHeight="1" x14ac:dyDescent="0.3">
      <c r="A180" s="661" t="s">
        <v>2603</v>
      </c>
      <c r="B180" s="662" t="s">
        <v>2323</v>
      </c>
      <c r="C180" s="662" t="s">
        <v>1955</v>
      </c>
      <c r="D180" s="662" t="s">
        <v>2741</v>
      </c>
      <c r="E180" s="662" t="s">
        <v>2742</v>
      </c>
      <c r="F180" s="665">
        <v>5</v>
      </c>
      <c r="G180" s="665">
        <v>41995</v>
      </c>
      <c r="H180" s="665">
        <v>0.45132134681726832</v>
      </c>
      <c r="I180" s="665">
        <v>8399</v>
      </c>
      <c r="J180" s="665">
        <v>11</v>
      </c>
      <c r="K180" s="665">
        <v>93049</v>
      </c>
      <c r="L180" s="665">
        <v>1</v>
      </c>
      <c r="M180" s="665">
        <v>8459</v>
      </c>
      <c r="N180" s="665">
        <v>4</v>
      </c>
      <c r="O180" s="665">
        <v>33840</v>
      </c>
      <c r="P180" s="686">
        <v>0.36367935173940613</v>
      </c>
      <c r="Q180" s="666">
        <v>8460</v>
      </c>
    </row>
    <row r="181" spans="1:17" ht="14.4" customHeight="1" x14ac:dyDescent="0.3">
      <c r="A181" s="661" t="s">
        <v>2743</v>
      </c>
      <c r="B181" s="662" t="s">
        <v>2744</v>
      </c>
      <c r="C181" s="662" t="s">
        <v>1955</v>
      </c>
      <c r="D181" s="662" t="s">
        <v>2745</v>
      </c>
      <c r="E181" s="662" t="s">
        <v>2746</v>
      </c>
      <c r="F181" s="665">
        <v>192</v>
      </c>
      <c r="G181" s="665">
        <v>39552</v>
      </c>
      <c r="H181" s="665">
        <v>1.1157752200406228</v>
      </c>
      <c r="I181" s="665">
        <v>206</v>
      </c>
      <c r="J181" s="665">
        <v>168</v>
      </c>
      <c r="K181" s="665">
        <v>35448</v>
      </c>
      <c r="L181" s="665">
        <v>1</v>
      </c>
      <c r="M181" s="665">
        <v>211</v>
      </c>
      <c r="N181" s="665">
        <v>204</v>
      </c>
      <c r="O181" s="665">
        <v>43044</v>
      </c>
      <c r="P181" s="686">
        <v>1.2142857142857142</v>
      </c>
      <c r="Q181" s="666">
        <v>211</v>
      </c>
    </row>
    <row r="182" spans="1:17" ht="14.4" customHeight="1" x14ac:dyDescent="0.3">
      <c r="A182" s="661" t="s">
        <v>2743</v>
      </c>
      <c r="B182" s="662" t="s">
        <v>2744</v>
      </c>
      <c r="C182" s="662" t="s">
        <v>1955</v>
      </c>
      <c r="D182" s="662" t="s">
        <v>2747</v>
      </c>
      <c r="E182" s="662" t="s">
        <v>2748</v>
      </c>
      <c r="F182" s="665">
        <v>25</v>
      </c>
      <c r="G182" s="665">
        <v>7375</v>
      </c>
      <c r="H182" s="665">
        <v>0.18847431638129314</v>
      </c>
      <c r="I182" s="665">
        <v>295</v>
      </c>
      <c r="J182" s="665">
        <v>130</v>
      </c>
      <c r="K182" s="665">
        <v>39130</v>
      </c>
      <c r="L182" s="665">
        <v>1</v>
      </c>
      <c r="M182" s="665">
        <v>301</v>
      </c>
      <c r="N182" s="665">
        <v>214</v>
      </c>
      <c r="O182" s="665">
        <v>64414</v>
      </c>
      <c r="P182" s="686">
        <v>1.6461538461538461</v>
      </c>
      <c r="Q182" s="666">
        <v>301</v>
      </c>
    </row>
    <row r="183" spans="1:17" ht="14.4" customHeight="1" x14ac:dyDescent="0.3">
      <c r="A183" s="661" t="s">
        <v>2743</v>
      </c>
      <c r="B183" s="662" t="s">
        <v>2744</v>
      </c>
      <c r="C183" s="662" t="s">
        <v>1955</v>
      </c>
      <c r="D183" s="662" t="s">
        <v>2749</v>
      </c>
      <c r="E183" s="662" t="s">
        <v>2750</v>
      </c>
      <c r="F183" s="665"/>
      <c r="G183" s="665"/>
      <c r="H183" s="665"/>
      <c r="I183" s="665"/>
      <c r="J183" s="665">
        <v>3</v>
      </c>
      <c r="K183" s="665">
        <v>297</v>
      </c>
      <c r="L183" s="665">
        <v>1</v>
      </c>
      <c r="M183" s="665">
        <v>99</v>
      </c>
      <c r="N183" s="665"/>
      <c r="O183" s="665"/>
      <c r="P183" s="686"/>
      <c r="Q183" s="666"/>
    </row>
    <row r="184" spans="1:17" ht="14.4" customHeight="1" x14ac:dyDescent="0.3">
      <c r="A184" s="661" t="s">
        <v>2743</v>
      </c>
      <c r="B184" s="662" t="s">
        <v>2744</v>
      </c>
      <c r="C184" s="662" t="s">
        <v>1955</v>
      </c>
      <c r="D184" s="662" t="s">
        <v>2751</v>
      </c>
      <c r="E184" s="662" t="s">
        <v>2752</v>
      </c>
      <c r="F184" s="665">
        <v>31</v>
      </c>
      <c r="G184" s="665">
        <v>4185</v>
      </c>
      <c r="H184" s="665">
        <v>1.3281497937162805</v>
      </c>
      <c r="I184" s="665">
        <v>135</v>
      </c>
      <c r="J184" s="665">
        <v>23</v>
      </c>
      <c r="K184" s="665">
        <v>3151</v>
      </c>
      <c r="L184" s="665">
        <v>1</v>
      </c>
      <c r="M184" s="665">
        <v>137</v>
      </c>
      <c r="N184" s="665">
        <v>34</v>
      </c>
      <c r="O184" s="665">
        <v>4658</v>
      </c>
      <c r="P184" s="686">
        <v>1.4782608695652173</v>
      </c>
      <c r="Q184" s="666">
        <v>137</v>
      </c>
    </row>
    <row r="185" spans="1:17" ht="14.4" customHeight="1" x14ac:dyDescent="0.3">
      <c r="A185" s="661" t="s">
        <v>2743</v>
      </c>
      <c r="B185" s="662" t="s">
        <v>2744</v>
      </c>
      <c r="C185" s="662" t="s">
        <v>1955</v>
      </c>
      <c r="D185" s="662" t="s">
        <v>2753</v>
      </c>
      <c r="E185" s="662" t="s">
        <v>2754</v>
      </c>
      <c r="F185" s="665">
        <v>1</v>
      </c>
      <c r="G185" s="665">
        <v>161</v>
      </c>
      <c r="H185" s="665">
        <v>0.23265895953757226</v>
      </c>
      <c r="I185" s="665">
        <v>161</v>
      </c>
      <c r="J185" s="665">
        <v>4</v>
      </c>
      <c r="K185" s="665">
        <v>692</v>
      </c>
      <c r="L185" s="665">
        <v>1</v>
      </c>
      <c r="M185" s="665">
        <v>173</v>
      </c>
      <c r="N185" s="665">
        <v>8</v>
      </c>
      <c r="O185" s="665">
        <v>1384</v>
      </c>
      <c r="P185" s="686">
        <v>2</v>
      </c>
      <c r="Q185" s="666">
        <v>173</v>
      </c>
    </row>
    <row r="186" spans="1:17" ht="14.4" customHeight="1" x14ac:dyDescent="0.3">
      <c r="A186" s="661" t="s">
        <v>2743</v>
      </c>
      <c r="B186" s="662" t="s">
        <v>2744</v>
      </c>
      <c r="C186" s="662" t="s">
        <v>1955</v>
      </c>
      <c r="D186" s="662" t="s">
        <v>2755</v>
      </c>
      <c r="E186" s="662" t="s">
        <v>2756</v>
      </c>
      <c r="F186" s="665">
        <v>29</v>
      </c>
      <c r="G186" s="665">
        <v>7714</v>
      </c>
      <c r="H186" s="665">
        <v>1.3455433455433456</v>
      </c>
      <c r="I186" s="665">
        <v>266</v>
      </c>
      <c r="J186" s="665">
        <v>21</v>
      </c>
      <c r="K186" s="665">
        <v>5733</v>
      </c>
      <c r="L186" s="665">
        <v>1</v>
      </c>
      <c r="M186" s="665">
        <v>273</v>
      </c>
      <c r="N186" s="665"/>
      <c r="O186" s="665"/>
      <c r="P186" s="686"/>
      <c r="Q186" s="666"/>
    </row>
    <row r="187" spans="1:17" ht="14.4" customHeight="1" x14ac:dyDescent="0.3">
      <c r="A187" s="661" t="s">
        <v>2743</v>
      </c>
      <c r="B187" s="662" t="s">
        <v>2744</v>
      </c>
      <c r="C187" s="662" t="s">
        <v>1955</v>
      </c>
      <c r="D187" s="662" t="s">
        <v>2757</v>
      </c>
      <c r="E187" s="662" t="s">
        <v>2758</v>
      </c>
      <c r="F187" s="665">
        <v>50</v>
      </c>
      <c r="G187" s="665">
        <v>7050</v>
      </c>
      <c r="H187" s="665">
        <v>1.2730227518959913</v>
      </c>
      <c r="I187" s="665">
        <v>141</v>
      </c>
      <c r="J187" s="665">
        <v>39</v>
      </c>
      <c r="K187" s="665">
        <v>5538</v>
      </c>
      <c r="L187" s="665">
        <v>1</v>
      </c>
      <c r="M187" s="665">
        <v>142</v>
      </c>
      <c r="N187" s="665">
        <v>58</v>
      </c>
      <c r="O187" s="665">
        <v>8236</v>
      </c>
      <c r="P187" s="686">
        <v>1.4871794871794872</v>
      </c>
      <c r="Q187" s="666">
        <v>142</v>
      </c>
    </row>
    <row r="188" spans="1:17" ht="14.4" customHeight="1" x14ac:dyDescent="0.3">
      <c r="A188" s="661" t="s">
        <v>2743</v>
      </c>
      <c r="B188" s="662" t="s">
        <v>2744</v>
      </c>
      <c r="C188" s="662" t="s">
        <v>1955</v>
      </c>
      <c r="D188" s="662" t="s">
        <v>2759</v>
      </c>
      <c r="E188" s="662" t="s">
        <v>2758</v>
      </c>
      <c r="F188" s="665">
        <v>31</v>
      </c>
      <c r="G188" s="665">
        <v>2418</v>
      </c>
      <c r="H188" s="665">
        <v>1.3478260869565217</v>
      </c>
      <c r="I188" s="665">
        <v>78</v>
      </c>
      <c r="J188" s="665">
        <v>23</v>
      </c>
      <c r="K188" s="665">
        <v>1794</v>
      </c>
      <c r="L188" s="665">
        <v>1</v>
      </c>
      <c r="M188" s="665">
        <v>78</v>
      </c>
      <c r="N188" s="665">
        <v>34</v>
      </c>
      <c r="O188" s="665">
        <v>2652</v>
      </c>
      <c r="P188" s="686">
        <v>1.4782608695652173</v>
      </c>
      <c r="Q188" s="666">
        <v>78</v>
      </c>
    </row>
    <row r="189" spans="1:17" ht="14.4" customHeight="1" x14ac:dyDescent="0.3">
      <c r="A189" s="661" t="s">
        <v>2743</v>
      </c>
      <c r="B189" s="662" t="s">
        <v>2744</v>
      </c>
      <c r="C189" s="662" t="s">
        <v>1955</v>
      </c>
      <c r="D189" s="662" t="s">
        <v>2760</v>
      </c>
      <c r="E189" s="662" t="s">
        <v>2761</v>
      </c>
      <c r="F189" s="665">
        <v>50</v>
      </c>
      <c r="G189" s="665">
        <v>15350</v>
      </c>
      <c r="H189" s="665">
        <v>1.257475219136561</v>
      </c>
      <c r="I189" s="665">
        <v>307</v>
      </c>
      <c r="J189" s="665">
        <v>39</v>
      </c>
      <c r="K189" s="665">
        <v>12207</v>
      </c>
      <c r="L189" s="665">
        <v>1</v>
      </c>
      <c r="M189" s="665">
        <v>313</v>
      </c>
      <c r="N189" s="665">
        <v>57</v>
      </c>
      <c r="O189" s="665">
        <v>17898</v>
      </c>
      <c r="P189" s="686">
        <v>1.4662079134922585</v>
      </c>
      <c r="Q189" s="666">
        <v>314</v>
      </c>
    </row>
    <row r="190" spans="1:17" ht="14.4" customHeight="1" x14ac:dyDescent="0.3">
      <c r="A190" s="661" t="s">
        <v>2743</v>
      </c>
      <c r="B190" s="662" t="s">
        <v>2744</v>
      </c>
      <c r="C190" s="662" t="s">
        <v>1955</v>
      </c>
      <c r="D190" s="662" t="s">
        <v>2762</v>
      </c>
      <c r="E190" s="662" t="s">
        <v>2763</v>
      </c>
      <c r="F190" s="665">
        <v>9</v>
      </c>
      <c r="G190" s="665">
        <v>1449</v>
      </c>
      <c r="H190" s="665">
        <v>2.96319018404908</v>
      </c>
      <c r="I190" s="665">
        <v>161</v>
      </c>
      <c r="J190" s="665">
        <v>3</v>
      </c>
      <c r="K190" s="665">
        <v>489</v>
      </c>
      <c r="L190" s="665">
        <v>1</v>
      </c>
      <c r="M190" s="665">
        <v>163</v>
      </c>
      <c r="N190" s="665">
        <v>65</v>
      </c>
      <c r="O190" s="665">
        <v>10595</v>
      </c>
      <c r="P190" s="686">
        <v>21.666666666666668</v>
      </c>
      <c r="Q190" s="666">
        <v>163</v>
      </c>
    </row>
    <row r="191" spans="1:17" ht="14.4" customHeight="1" x14ac:dyDescent="0.3">
      <c r="A191" s="661" t="s">
        <v>2743</v>
      </c>
      <c r="B191" s="662" t="s">
        <v>2744</v>
      </c>
      <c r="C191" s="662" t="s">
        <v>1955</v>
      </c>
      <c r="D191" s="662" t="s">
        <v>2764</v>
      </c>
      <c r="E191" s="662" t="s">
        <v>2746</v>
      </c>
      <c r="F191" s="665">
        <v>77</v>
      </c>
      <c r="G191" s="665">
        <v>5467</v>
      </c>
      <c r="H191" s="665">
        <v>1.2052469135802468</v>
      </c>
      <c r="I191" s="665">
        <v>71</v>
      </c>
      <c r="J191" s="665">
        <v>63</v>
      </c>
      <c r="K191" s="665">
        <v>4536</v>
      </c>
      <c r="L191" s="665">
        <v>1</v>
      </c>
      <c r="M191" s="665">
        <v>72</v>
      </c>
      <c r="N191" s="665">
        <v>110</v>
      </c>
      <c r="O191" s="665">
        <v>7920</v>
      </c>
      <c r="P191" s="686">
        <v>1.746031746031746</v>
      </c>
      <c r="Q191" s="666">
        <v>72</v>
      </c>
    </row>
    <row r="192" spans="1:17" ht="14.4" customHeight="1" x14ac:dyDescent="0.3">
      <c r="A192" s="661" t="s">
        <v>2743</v>
      </c>
      <c r="B192" s="662" t="s">
        <v>2744</v>
      </c>
      <c r="C192" s="662" t="s">
        <v>1955</v>
      </c>
      <c r="D192" s="662" t="s">
        <v>2765</v>
      </c>
      <c r="E192" s="662" t="s">
        <v>2766</v>
      </c>
      <c r="F192" s="665">
        <v>1</v>
      </c>
      <c r="G192" s="665">
        <v>1195</v>
      </c>
      <c r="H192" s="665">
        <v>0.19735755573905864</v>
      </c>
      <c r="I192" s="665">
        <v>1195</v>
      </c>
      <c r="J192" s="665">
        <v>5</v>
      </c>
      <c r="K192" s="665">
        <v>6055</v>
      </c>
      <c r="L192" s="665">
        <v>1</v>
      </c>
      <c r="M192" s="665">
        <v>1211</v>
      </c>
      <c r="N192" s="665">
        <v>3</v>
      </c>
      <c r="O192" s="665">
        <v>3633</v>
      </c>
      <c r="P192" s="686">
        <v>0.6</v>
      </c>
      <c r="Q192" s="666">
        <v>1211</v>
      </c>
    </row>
    <row r="193" spans="1:17" ht="14.4" customHeight="1" x14ac:dyDescent="0.3">
      <c r="A193" s="661" t="s">
        <v>2743</v>
      </c>
      <c r="B193" s="662" t="s">
        <v>2744</v>
      </c>
      <c r="C193" s="662" t="s">
        <v>1955</v>
      </c>
      <c r="D193" s="662" t="s">
        <v>2767</v>
      </c>
      <c r="E193" s="662" t="s">
        <v>2768</v>
      </c>
      <c r="F193" s="665">
        <v>1</v>
      </c>
      <c r="G193" s="665">
        <v>110</v>
      </c>
      <c r="H193" s="665">
        <v>0.48245614035087719</v>
      </c>
      <c r="I193" s="665">
        <v>110</v>
      </c>
      <c r="J193" s="665">
        <v>2</v>
      </c>
      <c r="K193" s="665">
        <v>228</v>
      </c>
      <c r="L193" s="665">
        <v>1</v>
      </c>
      <c r="M193" s="665">
        <v>114</v>
      </c>
      <c r="N193" s="665">
        <v>2</v>
      </c>
      <c r="O193" s="665">
        <v>228</v>
      </c>
      <c r="P193" s="686">
        <v>1</v>
      </c>
      <c r="Q193" s="666">
        <v>114</v>
      </c>
    </row>
    <row r="194" spans="1:17" ht="14.4" customHeight="1" x14ac:dyDescent="0.3">
      <c r="A194" s="661" t="s">
        <v>2743</v>
      </c>
      <c r="B194" s="662" t="s">
        <v>2744</v>
      </c>
      <c r="C194" s="662" t="s">
        <v>1955</v>
      </c>
      <c r="D194" s="662" t="s">
        <v>2769</v>
      </c>
      <c r="E194" s="662" t="s">
        <v>2770</v>
      </c>
      <c r="F194" s="665"/>
      <c r="G194" s="665"/>
      <c r="H194" s="665"/>
      <c r="I194" s="665"/>
      <c r="J194" s="665">
        <v>1</v>
      </c>
      <c r="K194" s="665">
        <v>301</v>
      </c>
      <c r="L194" s="665">
        <v>1</v>
      </c>
      <c r="M194" s="665">
        <v>301</v>
      </c>
      <c r="N194" s="665"/>
      <c r="O194" s="665"/>
      <c r="P194" s="686"/>
      <c r="Q194" s="666"/>
    </row>
    <row r="195" spans="1:17" ht="14.4" customHeight="1" x14ac:dyDescent="0.3">
      <c r="A195" s="661" t="s">
        <v>2771</v>
      </c>
      <c r="B195" s="662" t="s">
        <v>2772</v>
      </c>
      <c r="C195" s="662" t="s">
        <v>1955</v>
      </c>
      <c r="D195" s="662" t="s">
        <v>2773</v>
      </c>
      <c r="E195" s="662" t="s">
        <v>2774</v>
      </c>
      <c r="F195" s="665">
        <v>94</v>
      </c>
      <c r="G195" s="665">
        <v>5076</v>
      </c>
      <c r="H195" s="665">
        <v>0.64350912778904668</v>
      </c>
      <c r="I195" s="665">
        <v>54</v>
      </c>
      <c r="J195" s="665">
        <v>136</v>
      </c>
      <c r="K195" s="665">
        <v>7888</v>
      </c>
      <c r="L195" s="665">
        <v>1</v>
      </c>
      <c r="M195" s="665">
        <v>58</v>
      </c>
      <c r="N195" s="665">
        <v>167</v>
      </c>
      <c r="O195" s="665">
        <v>9686</v>
      </c>
      <c r="P195" s="686">
        <v>1.2279411764705883</v>
      </c>
      <c r="Q195" s="666">
        <v>58</v>
      </c>
    </row>
    <row r="196" spans="1:17" ht="14.4" customHeight="1" x14ac:dyDescent="0.3">
      <c r="A196" s="661" t="s">
        <v>2771</v>
      </c>
      <c r="B196" s="662" t="s">
        <v>2772</v>
      </c>
      <c r="C196" s="662" t="s">
        <v>1955</v>
      </c>
      <c r="D196" s="662" t="s">
        <v>2775</v>
      </c>
      <c r="E196" s="662" t="s">
        <v>2776</v>
      </c>
      <c r="F196" s="665">
        <v>164</v>
      </c>
      <c r="G196" s="665">
        <v>20172</v>
      </c>
      <c r="H196" s="665">
        <v>0.90049551359314317</v>
      </c>
      <c r="I196" s="665">
        <v>123</v>
      </c>
      <c r="J196" s="665">
        <v>171</v>
      </c>
      <c r="K196" s="665">
        <v>22401</v>
      </c>
      <c r="L196" s="665">
        <v>1</v>
      </c>
      <c r="M196" s="665">
        <v>131</v>
      </c>
      <c r="N196" s="665">
        <v>136</v>
      </c>
      <c r="O196" s="665">
        <v>17816</v>
      </c>
      <c r="P196" s="686">
        <v>0.79532163742690054</v>
      </c>
      <c r="Q196" s="666">
        <v>131</v>
      </c>
    </row>
    <row r="197" spans="1:17" ht="14.4" customHeight="1" x14ac:dyDescent="0.3">
      <c r="A197" s="661" t="s">
        <v>2771</v>
      </c>
      <c r="B197" s="662" t="s">
        <v>2772</v>
      </c>
      <c r="C197" s="662" t="s">
        <v>1955</v>
      </c>
      <c r="D197" s="662" t="s">
        <v>2777</v>
      </c>
      <c r="E197" s="662" t="s">
        <v>2778</v>
      </c>
      <c r="F197" s="665">
        <v>5</v>
      </c>
      <c r="G197" s="665">
        <v>885</v>
      </c>
      <c r="H197" s="665">
        <v>0.26014109347442682</v>
      </c>
      <c r="I197" s="665">
        <v>177</v>
      </c>
      <c r="J197" s="665">
        <v>18</v>
      </c>
      <c r="K197" s="665">
        <v>3402</v>
      </c>
      <c r="L197" s="665">
        <v>1</v>
      </c>
      <c r="M197" s="665">
        <v>189</v>
      </c>
      <c r="N197" s="665">
        <v>13</v>
      </c>
      <c r="O197" s="665">
        <v>2457</v>
      </c>
      <c r="P197" s="686">
        <v>0.72222222222222221</v>
      </c>
      <c r="Q197" s="666">
        <v>189</v>
      </c>
    </row>
    <row r="198" spans="1:17" ht="14.4" customHeight="1" x14ac:dyDescent="0.3">
      <c r="A198" s="661" t="s">
        <v>2771</v>
      </c>
      <c r="B198" s="662" t="s">
        <v>2772</v>
      </c>
      <c r="C198" s="662" t="s">
        <v>1955</v>
      </c>
      <c r="D198" s="662" t="s">
        <v>2779</v>
      </c>
      <c r="E198" s="662" t="s">
        <v>2780</v>
      </c>
      <c r="F198" s="665">
        <v>22</v>
      </c>
      <c r="G198" s="665">
        <v>8448</v>
      </c>
      <c r="H198" s="665">
        <v>0.74131274131274127</v>
      </c>
      <c r="I198" s="665">
        <v>384</v>
      </c>
      <c r="J198" s="665">
        <v>28</v>
      </c>
      <c r="K198" s="665">
        <v>11396</v>
      </c>
      <c r="L198" s="665">
        <v>1</v>
      </c>
      <c r="M198" s="665">
        <v>407</v>
      </c>
      <c r="N198" s="665">
        <v>55</v>
      </c>
      <c r="O198" s="665">
        <v>22440</v>
      </c>
      <c r="P198" s="686">
        <v>1.9691119691119692</v>
      </c>
      <c r="Q198" s="666">
        <v>408</v>
      </c>
    </row>
    <row r="199" spans="1:17" ht="14.4" customHeight="1" x14ac:dyDescent="0.3">
      <c r="A199" s="661" t="s">
        <v>2771</v>
      </c>
      <c r="B199" s="662" t="s">
        <v>2772</v>
      </c>
      <c r="C199" s="662" t="s">
        <v>1955</v>
      </c>
      <c r="D199" s="662" t="s">
        <v>2781</v>
      </c>
      <c r="E199" s="662" t="s">
        <v>2782</v>
      </c>
      <c r="F199" s="665">
        <v>15</v>
      </c>
      <c r="G199" s="665">
        <v>2580</v>
      </c>
      <c r="H199" s="665">
        <v>2.8826815642458099</v>
      </c>
      <c r="I199" s="665">
        <v>172</v>
      </c>
      <c r="J199" s="665">
        <v>5</v>
      </c>
      <c r="K199" s="665">
        <v>895</v>
      </c>
      <c r="L199" s="665">
        <v>1</v>
      </c>
      <c r="M199" s="665">
        <v>179</v>
      </c>
      <c r="N199" s="665">
        <v>15</v>
      </c>
      <c r="O199" s="665">
        <v>2700</v>
      </c>
      <c r="P199" s="686">
        <v>3.016759776536313</v>
      </c>
      <c r="Q199" s="666">
        <v>180</v>
      </c>
    </row>
    <row r="200" spans="1:17" ht="14.4" customHeight="1" x14ac:dyDescent="0.3">
      <c r="A200" s="661" t="s">
        <v>2771</v>
      </c>
      <c r="B200" s="662" t="s">
        <v>2772</v>
      </c>
      <c r="C200" s="662" t="s">
        <v>1955</v>
      </c>
      <c r="D200" s="662" t="s">
        <v>2783</v>
      </c>
      <c r="E200" s="662" t="s">
        <v>2784</v>
      </c>
      <c r="F200" s="665">
        <v>9</v>
      </c>
      <c r="G200" s="665">
        <v>2898</v>
      </c>
      <c r="H200" s="665"/>
      <c r="I200" s="665">
        <v>322</v>
      </c>
      <c r="J200" s="665"/>
      <c r="K200" s="665"/>
      <c r="L200" s="665"/>
      <c r="M200" s="665"/>
      <c r="N200" s="665">
        <v>7</v>
      </c>
      <c r="O200" s="665">
        <v>2352</v>
      </c>
      <c r="P200" s="686"/>
      <c r="Q200" s="666">
        <v>336</v>
      </c>
    </row>
    <row r="201" spans="1:17" ht="14.4" customHeight="1" x14ac:dyDescent="0.3">
      <c r="A201" s="661" t="s">
        <v>2771</v>
      </c>
      <c r="B201" s="662" t="s">
        <v>2772</v>
      </c>
      <c r="C201" s="662" t="s">
        <v>1955</v>
      </c>
      <c r="D201" s="662" t="s">
        <v>2785</v>
      </c>
      <c r="E201" s="662" t="s">
        <v>2786</v>
      </c>
      <c r="F201" s="665">
        <v>57</v>
      </c>
      <c r="G201" s="665">
        <v>19437</v>
      </c>
      <c r="H201" s="665">
        <v>0.63287965616045849</v>
      </c>
      <c r="I201" s="665">
        <v>341</v>
      </c>
      <c r="J201" s="665">
        <v>88</v>
      </c>
      <c r="K201" s="665">
        <v>30712</v>
      </c>
      <c r="L201" s="665">
        <v>1</v>
      </c>
      <c r="M201" s="665">
        <v>349</v>
      </c>
      <c r="N201" s="665">
        <v>74</v>
      </c>
      <c r="O201" s="665">
        <v>25826</v>
      </c>
      <c r="P201" s="686">
        <v>0.84090909090909094</v>
      </c>
      <c r="Q201" s="666">
        <v>349</v>
      </c>
    </row>
    <row r="202" spans="1:17" ht="14.4" customHeight="1" x14ac:dyDescent="0.3">
      <c r="A202" s="661" t="s">
        <v>2771</v>
      </c>
      <c r="B202" s="662" t="s">
        <v>2772</v>
      </c>
      <c r="C202" s="662" t="s">
        <v>1955</v>
      </c>
      <c r="D202" s="662" t="s">
        <v>2787</v>
      </c>
      <c r="E202" s="662" t="s">
        <v>2788</v>
      </c>
      <c r="F202" s="665">
        <v>11</v>
      </c>
      <c r="G202" s="665">
        <v>1199</v>
      </c>
      <c r="H202" s="665">
        <v>1.2809829059829059</v>
      </c>
      <c r="I202" s="665">
        <v>109</v>
      </c>
      <c r="J202" s="665">
        <v>8</v>
      </c>
      <c r="K202" s="665">
        <v>936</v>
      </c>
      <c r="L202" s="665">
        <v>1</v>
      </c>
      <c r="M202" s="665">
        <v>117</v>
      </c>
      <c r="N202" s="665">
        <v>28</v>
      </c>
      <c r="O202" s="665">
        <v>3276</v>
      </c>
      <c r="P202" s="686">
        <v>3.5</v>
      </c>
      <c r="Q202" s="666">
        <v>117</v>
      </c>
    </row>
    <row r="203" spans="1:17" ht="14.4" customHeight="1" x14ac:dyDescent="0.3">
      <c r="A203" s="661" t="s">
        <v>2771</v>
      </c>
      <c r="B203" s="662" t="s">
        <v>2772</v>
      </c>
      <c r="C203" s="662" t="s">
        <v>1955</v>
      </c>
      <c r="D203" s="662" t="s">
        <v>2789</v>
      </c>
      <c r="E203" s="662" t="s">
        <v>2790</v>
      </c>
      <c r="F203" s="665"/>
      <c r="G203" s="665"/>
      <c r="H203" s="665"/>
      <c r="I203" s="665"/>
      <c r="J203" s="665"/>
      <c r="K203" s="665"/>
      <c r="L203" s="665"/>
      <c r="M203" s="665"/>
      <c r="N203" s="665">
        <v>3</v>
      </c>
      <c r="O203" s="665">
        <v>1173</v>
      </c>
      <c r="P203" s="686"/>
      <c r="Q203" s="666">
        <v>391</v>
      </c>
    </row>
    <row r="204" spans="1:17" ht="14.4" customHeight="1" x14ac:dyDescent="0.3">
      <c r="A204" s="661" t="s">
        <v>2771</v>
      </c>
      <c r="B204" s="662" t="s">
        <v>2772</v>
      </c>
      <c r="C204" s="662" t="s">
        <v>1955</v>
      </c>
      <c r="D204" s="662" t="s">
        <v>2791</v>
      </c>
      <c r="E204" s="662" t="s">
        <v>2792</v>
      </c>
      <c r="F204" s="665">
        <v>9</v>
      </c>
      <c r="G204" s="665">
        <v>333</v>
      </c>
      <c r="H204" s="665">
        <v>1.4605263157894737</v>
      </c>
      <c r="I204" s="665">
        <v>37</v>
      </c>
      <c r="J204" s="665">
        <v>6</v>
      </c>
      <c r="K204" s="665">
        <v>228</v>
      </c>
      <c r="L204" s="665">
        <v>1</v>
      </c>
      <c r="M204" s="665">
        <v>38</v>
      </c>
      <c r="N204" s="665">
        <v>17</v>
      </c>
      <c r="O204" s="665">
        <v>646</v>
      </c>
      <c r="P204" s="686">
        <v>2.8333333333333335</v>
      </c>
      <c r="Q204" s="666">
        <v>38</v>
      </c>
    </row>
    <row r="205" spans="1:17" ht="14.4" customHeight="1" x14ac:dyDescent="0.3">
      <c r="A205" s="661" t="s">
        <v>2771</v>
      </c>
      <c r="B205" s="662" t="s">
        <v>2772</v>
      </c>
      <c r="C205" s="662" t="s">
        <v>1955</v>
      </c>
      <c r="D205" s="662" t="s">
        <v>2793</v>
      </c>
      <c r="E205" s="662" t="s">
        <v>2794</v>
      </c>
      <c r="F205" s="665"/>
      <c r="G205" s="665"/>
      <c r="H205" s="665"/>
      <c r="I205" s="665"/>
      <c r="J205" s="665"/>
      <c r="K205" s="665"/>
      <c r="L205" s="665"/>
      <c r="M205" s="665"/>
      <c r="N205" s="665">
        <v>4</v>
      </c>
      <c r="O205" s="665">
        <v>2820</v>
      </c>
      <c r="P205" s="686"/>
      <c r="Q205" s="666">
        <v>705</v>
      </c>
    </row>
    <row r="206" spans="1:17" ht="14.4" customHeight="1" x14ac:dyDescent="0.3">
      <c r="A206" s="661" t="s">
        <v>2771</v>
      </c>
      <c r="B206" s="662" t="s">
        <v>2772</v>
      </c>
      <c r="C206" s="662" t="s">
        <v>1955</v>
      </c>
      <c r="D206" s="662" t="s">
        <v>2795</v>
      </c>
      <c r="E206" s="662" t="s">
        <v>2796</v>
      </c>
      <c r="F206" s="665">
        <v>74</v>
      </c>
      <c r="G206" s="665">
        <v>21090</v>
      </c>
      <c r="H206" s="665">
        <v>0.60855263157894735</v>
      </c>
      <c r="I206" s="665">
        <v>285</v>
      </c>
      <c r="J206" s="665">
        <v>114</v>
      </c>
      <c r="K206" s="665">
        <v>34656</v>
      </c>
      <c r="L206" s="665">
        <v>1</v>
      </c>
      <c r="M206" s="665">
        <v>304</v>
      </c>
      <c r="N206" s="665">
        <v>120</v>
      </c>
      <c r="O206" s="665">
        <v>36600</v>
      </c>
      <c r="P206" s="686">
        <v>1.0560941828254848</v>
      </c>
      <c r="Q206" s="666">
        <v>305</v>
      </c>
    </row>
    <row r="207" spans="1:17" ht="14.4" customHeight="1" x14ac:dyDescent="0.3">
      <c r="A207" s="661" t="s">
        <v>2771</v>
      </c>
      <c r="B207" s="662" t="s">
        <v>2772</v>
      </c>
      <c r="C207" s="662" t="s">
        <v>1955</v>
      </c>
      <c r="D207" s="662" t="s">
        <v>2797</v>
      </c>
      <c r="E207" s="662" t="s">
        <v>2798</v>
      </c>
      <c r="F207" s="665">
        <v>48</v>
      </c>
      <c r="G207" s="665">
        <v>22176</v>
      </c>
      <c r="H207" s="665">
        <v>0.84699411809640213</v>
      </c>
      <c r="I207" s="665">
        <v>462</v>
      </c>
      <c r="J207" s="665">
        <v>53</v>
      </c>
      <c r="K207" s="665">
        <v>26182</v>
      </c>
      <c r="L207" s="665">
        <v>1</v>
      </c>
      <c r="M207" s="665">
        <v>494</v>
      </c>
      <c r="N207" s="665">
        <v>88</v>
      </c>
      <c r="O207" s="665">
        <v>43472</v>
      </c>
      <c r="P207" s="686">
        <v>1.6603773584905661</v>
      </c>
      <c r="Q207" s="666">
        <v>494</v>
      </c>
    </row>
    <row r="208" spans="1:17" ht="14.4" customHeight="1" x14ac:dyDescent="0.3">
      <c r="A208" s="661" t="s">
        <v>2771</v>
      </c>
      <c r="B208" s="662" t="s">
        <v>2772</v>
      </c>
      <c r="C208" s="662" t="s">
        <v>1955</v>
      </c>
      <c r="D208" s="662" t="s">
        <v>2799</v>
      </c>
      <c r="E208" s="662" t="s">
        <v>2800</v>
      </c>
      <c r="F208" s="665">
        <v>105</v>
      </c>
      <c r="G208" s="665">
        <v>37380</v>
      </c>
      <c r="H208" s="665">
        <v>0.72162162162162158</v>
      </c>
      <c r="I208" s="665">
        <v>356</v>
      </c>
      <c r="J208" s="665">
        <v>140</v>
      </c>
      <c r="K208" s="665">
        <v>51800</v>
      </c>
      <c r="L208" s="665">
        <v>1</v>
      </c>
      <c r="M208" s="665">
        <v>370</v>
      </c>
      <c r="N208" s="665">
        <v>165</v>
      </c>
      <c r="O208" s="665">
        <v>61050</v>
      </c>
      <c r="P208" s="686">
        <v>1.1785714285714286</v>
      </c>
      <c r="Q208" s="666">
        <v>370</v>
      </c>
    </row>
    <row r="209" spans="1:17" ht="14.4" customHeight="1" x14ac:dyDescent="0.3">
      <c r="A209" s="661" t="s">
        <v>2771</v>
      </c>
      <c r="B209" s="662" t="s">
        <v>2772</v>
      </c>
      <c r="C209" s="662" t="s">
        <v>1955</v>
      </c>
      <c r="D209" s="662" t="s">
        <v>2801</v>
      </c>
      <c r="E209" s="662" t="s">
        <v>2802</v>
      </c>
      <c r="F209" s="665">
        <v>2</v>
      </c>
      <c r="G209" s="665">
        <v>210</v>
      </c>
      <c r="H209" s="665"/>
      <c r="I209" s="665">
        <v>105</v>
      </c>
      <c r="J209" s="665"/>
      <c r="K209" s="665"/>
      <c r="L209" s="665"/>
      <c r="M209" s="665"/>
      <c r="N209" s="665"/>
      <c r="O209" s="665"/>
      <c r="P209" s="686"/>
      <c r="Q209" s="666"/>
    </row>
    <row r="210" spans="1:17" ht="14.4" customHeight="1" x14ac:dyDescent="0.3">
      <c r="A210" s="661" t="s">
        <v>2771</v>
      </c>
      <c r="B210" s="662" t="s">
        <v>2772</v>
      </c>
      <c r="C210" s="662" t="s">
        <v>1955</v>
      </c>
      <c r="D210" s="662" t="s">
        <v>2803</v>
      </c>
      <c r="E210" s="662" t="s">
        <v>2804</v>
      </c>
      <c r="F210" s="665">
        <v>5</v>
      </c>
      <c r="G210" s="665">
        <v>585</v>
      </c>
      <c r="H210" s="665">
        <v>0.58499999999999996</v>
      </c>
      <c r="I210" s="665">
        <v>117</v>
      </c>
      <c r="J210" s="665">
        <v>8</v>
      </c>
      <c r="K210" s="665">
        <v>1000</v>
      </c>
      <c r="L210" s="665">
        <v>1</v>
      </c>
      <c r="M210" s="665">
        <v>125</v>
      </c>
      <c r="N210" s="665">
        <v>2</v>
      </c>
      <c r="O210" s="665">
        <v>250</v>
      </c>
      <c r="P210" s="686">
        <v>0.25</v>
      </c>
      <c r="Q210" s="666">
        <v>125</v>
      </c>
    </row>
    <row r="211" spans="1:17" ht="14.4" customHeight="1" x14ac:dyDescent="0.3">
      <c r="A211" s="661" t="s">
        <v>2771</v>
      </c>
      <c r="B211" s="662" t="s">
        <v>2772</v>
      </c>
      <c r="C211" s="662" t="s">
        <v>1955</v>
      </c>
      <c r="D211" s="662" t="s">
        <v>2805</v>
      </c>
      <c r="E211" s="662" t="s">
        <v>2806</v>
      </c>
      <c r="F211" s="665">
        <v>14</v>
      </c>
      <c r="G211" s="665">
        <v>6482</v>
      </c>
      <c r="H211" s="665">
        <v>1.6368686868686868</v>
      </c>
      <c r="I211" s="665">
        <v>463</v>
      </c>
      <c r="J211" s="665">
        <v>8</v>
      </c>
      <c r="K211" s="665">
        <v>3960</v>
      </c>
      <c r="L211" s="665">
        <v>1</v>
      </c>
      <c r="M211" s="665">
        <v>495</v>
      </c>
      <c r="N211" s="665">
        <v>30</v>
      </c>
      <c r="O211" s="665">
        <v>14850</v>
      </c>
      <c r="P211" s="686">
        <v>3.75</v>
      </c>
      <c r="Q211" s="666">
        <v>495</v>
      </c>
    </row>
    <row r="212" spans="1:17" ht="14.4" customHeight="1" x14ac:dyDescent="0.3">
      <c r="A212" s="661" t="s">
        <v>2771</v>
      </c>
      <c r="B212" s="662" t="s">
        <v>2772</v>
      </c>
      <c r="C212" s="662" t="s">
        <v>1955</v>
      </c>
      <c r="D212" s="662" t="s">
        <v>2807</v>
      </c>
      <c r="E212" s="662" t="s">
        <v>2808</v>
      </c>
      <c r="F212" s="665">
        <v>2</v>
      </c>
      <c r="G212" s="665">
        <v>2536</v>
      </c>
      <c r="H212" s="665"/>
      <c r="I212" s="665">
        <v>1268</v>
      </c>
      <c r="J212" s="665"/>
      <c r="K212" s="665"/>
      <c r="L212" s="665"/>
      <c r="M212" s="665"/>
      <c r="N212" s="665"/>
      <c r="O212" s="665"/>
      <c r="P212" s="686"/>
      <c r="Q212" s="666"/>
    </row>
    <row r="213" spans="1:17" ht="14.4" customHeight="1" x14ac:dyDescent="0.3">
      <c r="A213" s="661" t="s">
        <v>2771</v>
      </c>
      <c r="B213" s="662" t="s">
        <v>2772</v>
      </c>
      <c r="C213" s="662" t="s">
        <v>1955</v>
      </c>
      <c r="D213" s="662" t="s">
        <v>2809</v>
      </c>
      <c r="E213" s="662" t="s">
        <v>2810</v>
      </c>
      <c r="F213" s="665">
        <v>3</v>
      </c>
      <c r="G213" s="665">
        <v>1311</v>
      </c>
      <c r="H213" s="665"/>
      <c r="I213" s="665">
        <v>437</v>
      </c>
      <c r="J213" s="665"/>
      <c r="K213" s="665"/>
      <c r="L213" s="665"/>
      <c r="M213" s="665"/>
      <c r="N213" s="665">
        <v>1</v>
      </c>
      <c r="O213" s="665">
        <v>456</v>
      </c>
      <c r="P213" s="686"/>
      <c r="Q213" s="666">
        <v>456</v>
      </c>
    </row>
    <row r="214" spans="1:17" ht="14.4" customHeight="1" x14ac:dyDescent="0.3">
      <c r="A214" s="661" t="s">
        <v>2771</v>
      </c>
      <c r="B214" s="662" t="s">
        <v>2772</v>
      </c>
      <c r="C214" s="662" t="s">
        <v>1955</v>
      </c>
      <c r="D214" s="662" t="s">
        <v>2811</v>
      </c>
      <c r="E214" s="662" t="s">
        <v>2812</v>
      </c>
      <c r="F214" s="665"/>
      <c r="G214" s="665"/>
      <c r="H214" s="665"/>
      <c r="I214" s="665"/>
      <c r="J214" s="665">
        <v>10</v>
      </c>
      <c r="K214" s="665">
        <v>580</v>
      </c>
      <c r="L214" s="665">
        <v>1</v>
      </c>
      <c r="M214" s="665">
        <v>58</v>
      </c>
      <c r="N214" s="665">
        <v>3</v>
      </c>
      <c r="O214" s="665">
        <v>174</v>
      </c>
      <c r="P214" s="686">
        <v>0.3</v>
      </c>
      <c r="Q214" s="666">
        <v>58</v>
      </c>
    </row>
    <row r="215" spans="1:17" ht="14.4" customHeight="1" x14ac:dyDescent="0.3">
      <c r="A215" s="661" t="s">
        <v>2771</v>
      </c>
      <c r="B215" s="662" t="s">
        <v>2772</v>
      </c>
      <c r="C215" s="662" t="s">
        <v>1955</v>
      </c>
      <c r="D215" s="662" t="s">
        <v>2813</v>
      </c>
      <c r="E215" s="662" t="s">
        <v>2814</v>
      </c>
      <c r="F215" s="665">
        <v>572</v>
      </c>
      <c r="G215" s="665">
        <v>96668</v>
      </c>
      <c r="H215" s="665">
        <v>0.75981921792100604</v>
      </c>
      <c r="I215" s="665">
        <v>169</v>
      </c>
      <c r="J215" s="665">
        <v>727</v>
      </c>
      <c r="K215" s="665">
        <v>127225</v>
      </c>
      <c r="L215" s="665">
        <v>1</v>
      </c>
      <c r="M215" s="665">
        <v>175</v>
      </c>
      <c r="N215" s="665">
        <v>621</v>
      </c>
      <c r="O215" s="665">
        <v>109296</v>
      </c>
      <c r="P215" s="686">
        <v>0.85907643937905287</v>
      </c>
      <c r="Q215" s="666">
        <v>176</v>
      </c>
    </row>
    <row r="216" spans="1:17" ht="14.4" customHeight="1" x14ac:dyDescent="0.3">
      <c r="A216" s="661" t="s">
        <v>2771</v>
      </c>
      <c r="B216" s="662" t="s">
        <v>2772</v>
      </c>
      <c r="C216" s="662" t="s">
        <v>1955</v>
      </c>
      <c r="D216" s="662" t="s">
        <v>2815</v>
      </c>
      <c r="E216" s="662" t="s">
        <v>2816</v>
      </c>
      <c r="F216" s="665">
        <v>9</v>
      </c>
      <c r="G216" s="665">
        <v>729</v>
      </c>
      <c r="H216" s="665"/>
      <c r="I216" s="665">
        <v>81</v>
      </c>
      <c r="J216" s="665"/>
      <c r="K216" s="665"/>
      <c r="L216" s="665"/>
      <c r="M216" s="665"/>
      <c r="N216" s="665">
        <v>8</v>
      </c>
      <c r="O216" s="665">
        <v>680</v>
      </c>
      <c r="P216" s="686"/>
      <c r="Q216" s="666">
        <v>85</v>
      </c>
    </row>
    <row r="217" spans="1:17" ht="14.4" customHeight="1" x14ac:dyDescent="0.3">
      <c r="A217" s="661" t="s">
        <v>2771</v>
      </c>
      <c r="B217" s="662" t="s">
        <v>2772</v>
      </c>
      <c r="C217" s="662" t="s">
        <v>1955</v>
      </c>
      <c r="D217" s="662" t="s">
        <v>2817</v>
      </c>
      <c r="E217" s="662" t="s">
        <v>2818</v>
      </c>
      <c r="F217" s="665"/>
      <c r="G217" s="665"/>
      <c r="H217" s="665"/>
      <c r="I217" s="665"/>
      <c r="J217" s="665"/>
      <c r="K217" s="665"/>
      <c r="L217" s="665"/>
      <c r="M217" s="665"/>
      <c r="N217" s="665">
        <v>1</v>
      </c>
      <c r="O217" s="665">
        <v>178</v>
      </c>
      <c r="P217" s="686"/>
      <c r="Q217" s="666">
        <v>178</v>
      </c>
    </row>
    <row r="218" spans="1:17" ht="14.4" customHeight="1" x14ac:dyDescent="0.3">
      <c r="A218" s="661" t="s">
        <v>2771</v>
      </c>
      <c r="B218" s="662" t="s">
        <v>2772</v>
      </c>
      <c r="C218" s="662" t="s">
        <v>1955</v>
      </c>
      <c r="D218" s="662" t="s">
        <v>2819</v>
      </c>
      <c r="E218" s="662" t="s">
        <v>2820</v>
      </c>
      <c r="F218" s="665">
        <v>2</v>
      </c>
      <c r="G218" s="665">
        <v>2016</v>
      </c>
      <c r="H218" s="665"/>
      <c r="I218" s="665">
        <v>1008</v>
      </c>
      <c r="J218" s="665"/>
      <c r="K218" s="665"/>
      <c r="L218" s="665"/>
      <c r="M218" s="665"/>
      <c r="N218" s="665"/>
      <c r="O218" s="665"/>
      <c r="P218" s="686"/>
      <c r="Q218" s="666"/>
    </row>
    <row r="219" spans="1:17" ht="14.4" customHeight="1" x14ac:dyDescent="0.3">
      <c r="A219" s="661" t="s">
        <v>2771</v>
      </c>
      <c r="B219" s="662" t="s">
        <v>2772</v>
      </c>
      <c r="C219" s="662" t="s">
        <v>1955</v>
      </c>
      <c r="D219" s="662" t="s">
        <v>2821</v>
      </c>
      <c r="E219" s="662" t="s">
        <v>2822</v>
      </c>
      <c r="F219" s="665">
        <v>1</v>
      </c>
      <c r="G219" s="665">
        <v>170</v>
      </c>
      <c r="H219" s="665"/>
      <c r="I219" s="665">
        <v>170</v>
      </c>
      <c r="J219" s="665"/>
      <c r="K219" s="665"/>
      <c r="L219" s="665"/>
      <c r="M219" s="665"/>
      <c r="N219" s="665">
        <v>1</v>
      </c>
      <c r="O219" s="665">
        <v>176</v>
      </c>
      <c r="P219" s="686"/>
      <c r="Q219" s="666">
        <v>176</v>
      </c>
    </row>
    <row r="220" spans="1:17" ht="14.4" customHeight="1" x14ac:dyDescent="0.3">
      <c r="A220" s="661" t="s">
        <v>2771</v>
      </c>
      <c r="B220" s="662" t="s">
        <v>2772</v>
      </c>
      <c r="C220" s="662" t="s">
        <v>1955</v>
      </c>
      <c r="D220" s="662" t="s">
        <v>2823</v>
      </c>
      <c r="E220" s="662" t="s">
        <v>2824</v>
      </c>
      <c r="F220" s="665">
        <v>4</v>
      </c>
      <c r="G220" s="665">
        <v>9056</v>
      </c>
      <c r="H220" s="665"/>
      <c r="I220" s="665">
        <v>2264</v>
      </c>
      <c r="J220" s="665"/>
      <c r="K220" s="665"/>
      <c r="L220" s="665"/>
      <c r="M220" s="665"/>
      <c r="N220" s="665"/>
      <c r="O220" s="665"/>
      <c r="P220" s="686"/>
      <c r="Q220" s="666"/>
    </row>
    <row r="221" spans="1:17" ht="14.4" customHeight="1" x14ac:dyDescent="0.3">
      <c r="A221" s="661" t="s">
        <v>2771</v>
      </c>
      <c r="B221" s="662" t="s">
        <v>2772</v>
      </c>
      <c r="C221" s="662" t="s">
        <v>1955</v>
      </c>
      <c r="D221" s="662" t="s">
        <v>2825</v>
      </c>
      <c r="E221" s="662" t="s">
        <v>2826</v>
      </c>
      <c r="F221" s="665"/>
      <c r="G221" s="665"/>
      <c r="H221" s="665"/>
      <c r="I221" s="665"/>
      <c r="J221" s="665"/>
      <c r="K221" s="665"/>
      <c r="L221" s="665"/>
      <c r="M221" s="665"/>
      <c r="N221" s="665">
        <v>3</v>
      </c>
      <c r="O221" s="665">
        <v>792</v>
      </c>
      <c r="P221" s="686"/>
      <c r="Q221" s="666">
        <v>264</v>
      </c>
    </row>
    <row r="222" spans="1:17" ht="14.4" customHeight="1" x14ac:dyDescent="0.3">
      <c r="A222" s="661" t="s">
        <v>2771</v>
      </c>
      <c r="B222" s="662" t="s">
        <v>2772</v>
      </c>
      <c r="C222" s="662" t="s">
        <v>1955</v>
      </c>
      <c r="D222" s="662" t="s">
        <v>2827</v>
      </c>
      <c r="E222" s="662" t="s">
        <v>2828</v>
      </c>
      <c r="F222" s="665">
        <v>1</v>
      </c>
      <c r="G222" s="665">
        <v>2012</v>
      </c>
      <c r="H222" s="665"/>
      <c r="I222" s="665">
        <v>2012</v>
      </c>
      <c r="J222" s="665"/>
      <c r="K222" s="665"/>
      <c r="L222" s="665"/>
      <c r="M222" s="665"/>
      <c r="N222" s="665">
        <v>1</v>
      </c>
      <c r="O222" s="665">
        <v>2131</v>
      </c>
      <c r="P222" s="686"/>
      <c r="Q222" s="666">
        <v>2131</v>
      </c>
    </row>
    <row r="223" spans="1:17" ht="14.4" customHeight="1" x14ac:dyDescent="0.3">
      <c r="A223" s="661" t="s">
        <v>2771</v>
      </c>
      <c r="B223" s="662" t="s">
        <v>2772</v>
      </c>
      <c r="C223" s="662" t="s">
        <v>1955</v>
      </c>
      <c r="D223" s="662" t="s">
        <v>2829</v>
      </c>
      <c r="E223" s="662" t="s">
        <v>2830</v>
      </c>
      <c r="F223" s="665">
        <v>15</v>
      </c>
      <c r="G223" s="665">
        <v>3390</v>
      </c>
      <c r="H223" s="665">
        <v>1.1673553719008265</v>
      </c>
      <c r="I223" s="665">
        <v>226</v>
      </c>
      <c r="J223" s="665">
        <v>12</v>
      </c>
      <c r="K223" s="665">
        <v>2904</v>
      </c>
      <c r="L223" s="665">
        <v>1</v>
      </c>
      <c r="M223" s="665">
        <v>242</v>
      </c>
      <c r="N223" s="665">
        <v>31</v>
      </c>
      <c r="O223" s="665">
        <v>7502</v>
      </c>
      <c r="P223" s="686">
        <v>2.5833333333333335</v>
      </c>
      <c r="Q223" s="666">
        <v>242</v>
      </c>
    </row>
    <row r="224" spans="1:17" ht="14.4" customHeight="1" x14ac:dyDescent="0.3">
      <c r="A224" s="661" t="s">
        <v>2771</v>
      </c>
      <c r="B224" s="662" t="s">
        <v>2772</v>
      </c>
      <c r="C224" s="662" t="s">
        <v>1955</v>
      </c>
      <c r="D224" s="662" t="s">
        <v>2831</v>
      </c>
      <c r="E224" s="662" t="s">
        <v>2832</v>
      </c>
      <c r="F224" s="665"/>
      <c r="G224" s="665"/>
      <c r="H224" s="665"/>
      <c r="I224" s="665"/>
      <c r="J224" s="665">
        <v>69</v>
      </c>
      <c r="K224" s="665">
        <v>72795</v>
      </c>
      <c r="L224" s="665">
        <v>1</v>
      </c>
      <c r="M224" s="665">
        <v>1055</v>
      </c>
      <c r="N224" s="665">
        <v>29</v>
      </c>
      <c r="O224" s="665">
        <v>30653</v>
      </c>
      <c r="P224" s="686">
        <v>0.42108661309155848</v>
      </c>
      <c r="Q224" s="666">
        <v>1057</v>
      </c>
    </row>
    <row r="225" spans="1:17" ht="14.4" customHeight="1" x14ac:dyDescent="0.3">
      <c r="A225" s="661" t="s">
        <v>2833</v>
      </c>
      <c r="B225" s="662" t="s">
        <v>2834</v>
      </c>
      <c r="C225" s="662" t="s">
        <v>1955</v>
      </c>
      <c r="D225" s="662" t="s">
        <v>2835</v>
      </c>
      <c r="E225" s="662" t="s">
        <v>2836</v>
      </c>
      <c r="F225" s="665">
        <v>315</v>
      </c>
      <c r="G225" s="665">
        <v>50715</v>
      </c>
      <c r="H225" s="665">
        <v>0.87507548960400305</v>
      </c>
      <c r="I225" s="665">
        <v>161</v>
      </c>
      <c r="J225" s="665">
        <v>335</v>
      </c>
      <c r="K225" s="665">
        <v>57955</v>
      </c>
      <c r="L225" s="665">
        <v>1</v>
      </c>
      <c r="M225" s="665">
        <v>173</v>
      </c>
      <c r="N225" s="665">
        <v>490</v>
      </c>
      <c r="O225" s="665">
        <v>84770</v>
      </c>
      <c r="P225" s="686">
        <v>1.4626865671641791</v>
      </c>
      <c r="Q225" s="666">
        <v>173</v>
      </c>
    </row>
    <row r="226" spans="1:17" ht="14.4" customHeight="1" x14ac:dyDescent="0.3">
      <c r="A226" s="661" t="s">
        <v>2833</v>
      </c>
      <c r="B226" s="662" t="s">
        <v>2834</v>
      </c>
      <c r="C226" s="662" t="s">
        <v>1955</v>
      </c>
      <c r="D226" s="662" t="s">
        <v>2837</v>
      </c>
      <c r="E226" s="662" t="s">
        <v>2838</v>
      </c>
      <c r="F226" s="665">
        <v>2</v>
      </c>
      <c r="G226" s="665">
        <v>2338</v>
      </c>
      <c r="H226" s="665">
        <v>0.39863597612958229</v>
      </c>
      <c r="I226" s="665">
        <v>1169</v>
      </c>
      <c r="J226" s="665">
        <v>5</v>
      </c>
      <c r="K226" s="665">
        <v>5865</v>
      </c>
      <c r="L226" s="665">
        <v>1</v>
      </c>
      <c r="M226" s="665">
        <v>1173</v>
      </c>
      <c r="N226" s="665">
        <v>21</v>
      </c>
      <c r="O226" s="665">
        <v>22470</v>
      </c>
      <c r="P226" s="686">
        <v>3.8312020460358056</v>
      </c>
      <c r="Q226" s="666">
        <v>1070</v>
      </c>
    </row>
    <row r="227" spans="1:17" ht="14.4" customHeight="1" x14ac:dyDescent="0.3">
      <c r="A227" s="661" t="s">
        <v>2833</v>
      </c>
      <c r="B227" s="662" t="s">
        <v>2834</v>
      </c>
      <c r="C227" s="662" t="s">
        <v>1955</v>
      </c>
      <c r="D227" s="662" t="s">
        <v>2839</v>
      </c>
      <c r="E227" s="662" t="s">
        <v>2840</v>
      </c>
      <c r="F227" s="665">
        <v>31</v>
      </c>
      <c r="G227" s="665">
        <v>1240</v>
      </c>
      <c r="H227" s="665">
        <v>1.2097560975609756</v>
      </c>
      <c r="I227" s="665">
        <v>40</v>
      </c>
      <c r="J227" s="665">
        <v>25</v>
      </c>
      <c r="K227" s="665">
        <v>1025</v>
      </c>
      <c r="L227" s="665">
        <v>1</v>
      </c>
      <c r="M227" s="665">
        <v>41</v>
      </c>
      <c r="N227" s="665">
        <v>38</v>
      </c>
      <c r="O227" s="665">
        <v>1748</v>
      </c>
      <c r="P227" s="686">
        <v>1.7053658536585365</v>
      </c>
      <c r="Q227" s="666">
        <v>46</v>
      </c>
    </row>
    <row r="228" spans="1:17" ht="14.4" customHeight="1" x14ac:dyDescent="0.3">
      <c r="A228" s="661" t="s">
        <v>2833</v>
      </c>
      <c r="B228" s="662" t="s">
        <v>2834</v>
      </c>
      <c r="C228" s="662" t="s">
        <v>1955</v>
      </c>
      <c r="D228" s="662" t="s">
        <v>2841</v>
      </c>
      <c r="E228" s="662" t="s">
        <v>2842</v>
      </c>
      <c r="F228" s="665">
        <v>1</v>
      </c>
      <c r="G228" s="665">
        <v>383</v>
      </c>
      <c r="H228" s="665">
        <v>0.99739583333333337</v>
      </c>
      <c r="I228" s="665">
        <v>383</v>
      </c>
      <c r="J228" s="665">
        <v>1</v>
      </c>
      <c r="K228" s="665">
        <v>384</v>
      </c>
      <c r="L228" s="665">
        <v>1</v>
      </c>
      <c r="M228" s="665">
        <v>384</v>
      </c>
      <c r="N228" s="665">
        <v>4</v>
      </c>
      <c r="O228" s="665">
        <v>1388</v>
      </c>
      <c r="P228" s="686">
        <v>3.6145833333333335</v>
      </c>
      <c r="Q228" s="666">
        <v>347</v>
      </c>
    </row>
    <row r="229" spans="1:17" ht="14.4" customHeight="1" x14ac:dyDescent="0.3">
      <c r="A229" s="661" t="s">
        <v>2833</v>
      </c>
      <c r="B229" s="662" t="s">
        <v>2834</v>
      </c>
      <c r="C229" s="662" t="s">
        <v>1955</v>
      </c>
      <c r="D229" s="662" t="s">
        <v>2843</v>
      </c>
      <c r="E229" s="662" t="s">
        <v>2844</v>
      </c>
      <c r="F229" s="665">
        <v>6</v>
      </c>
      <c r="G229" s="665">
        <v>222</v>
      </c>
      <c r="H229" s="665">
        <v>0.66666666666666663</v>
      </c>
      <c r="I229" s="665">
        <v>37</v>
      </c>
      <c r="J229" s="665">
        <v>9</v>
      </c>
      <c r="K229" s="665">
        <v>333</v>
      </c>
      <c r="L229" s="665">
        <v>1</v>
      </c>
      <c r="M229" s="665">
        <v>37</v>
      </c>
      <c r="N229" s="665">
        <v>4</v>
      </c>
      <c r="O229" s="665">
        <v>204</v>
      </c>
      <c r="P229" s="686">
        <v>0.61261261261261257</v>
      </c>
      <c r="Q229" s="666">
        <v>51</v>
      </c>
    </row>
    <row r="230" spans="1:17" ht="14.4" customHeight="1" x14ac:dyDescent="0.3">
      <c r="A230" s="661" t="s">
        <v>2833</v>
      </c>
      <c r="B230" s="662" t="s">
        <v>2834</v>
      </c>
      <c r="C230" s="662" t="s">
        <v>1955</v>
      </c>
      <c r="D230" s="662" t="s">
        <v>2845</v>
      </c>
      <c r="E230" s="662" t="s">
        <v>2846</v>
      </c>
      <c r="F230" s="665">
        <v>6</v>
      </c>
      <c r="G230" s="665">
        <v>2670</v>
      </c>
      <c r="H230" s="665">
        <v>1.9955156950672646</v>
      </c>
      <c r="I230" s="665">
        <v>445</v>
      </c>
      <c r="J230" s="665">
        <v>3</v>
      </c>
      <c r="K230" s="665">
        <v>1338</v>
      </c>
      <c r="L230" s="665">
        <v>1</v>
      </c>
      <c r="M230" s="665">
        <v>446</v>
      </c>
      <c r="N230" s="665">
        <v>6</v>
      </c>
      <c r="O230" s="665">
        <v>2262</v>
      </c>
      <c r="P230" s="686">
        <v>1.6905829596412556</v>
      </c>
      <c r="Q230" s="666">
        <v>377</v>
      </c>
    </row>
    <row r="231" spans="1:17" ht="14.4" customHeight="1" x14ac:dyDescent="0.3">
      <c r="A231" s="661" t="s">
        <v>2833</v>
      </c>
      <c r="B231" s="662" t="s">
        <v>2834</v>
      </c>
      <c r="C231" s="662" t="s">
        <v>1955</v>
      </c>
      <c r="D231" s="662" t="s">
        <v>2847</v>
      </c>
      <c r="E231" s="662" t="s">
        <v>2848</v>
      </c>
      <c r="F231" s="665">
        <v>1</v>
      </c>
      <c r="G231" s="665">
        <v>41</v>
      </c>
      <c r="H231" s="665">
        <v>0.97619047619047616</v>
      </c>
      <c r="I231" s="665">
        <v>41</v>
      </c>
      <c r="J231" s="665">
        <v>1</v>
      </c>
      <c r="K231" s="665">
        <v>42</v>
      </c>
      <c r="L231" s="665">
        <v>1</v>
      </c>
      <c r="M231" s="665">
        <v>42</v>
      </c>
      <c r="N231" s="665"/>
      <c r="O231" s="665"/>
      <c r="P231" s="686"/>
      <c r="Q231" s="666"/>
    </row>
    <row r="232" spans="1:17" ht="14.4" customHeight="1" x14ac:dyDescent="0.3">
      <c r="A232" s="661" t="s">
        <v>2833</v>
      </c>
      <c r="B232" s="662" t="s">
        <v>2834</v>
      </c>
      <c r="C232" s="662" t="s">
        <v>1955</v>
      </c>
      <c r="D232" s="662" t="s">
        <v>2849</v>
      </c>
      <c r="E232" s="662" t="s">
        <v>2850</v>
      </c>
      <c r="F232" s="665">
        <v>1</v>
      </c>
      <c r="G232" s="665">
        <v>491</v>
      </c>
      <c r="H232" s="665">
        <v>0.24949186991869918</v>
      </c>
      <c r="I232" s="665">
        <v>491</v>
      </c>
      <c r="J232" s="665">
        <v>4</v>
      </c>
      <c r="K232" s="665">
        <v>1968</v>
      </c>
      <c r="L232" s="665">
        <v>1</v>
      </c>
      <c r="M232" s="665">
        <v>492</v>
      </c>
      <c r="N232" s="665">
        <v>4</v>
      </c>
      <c r="O232" s="665">
        <v>2096</v>
      </c>
      <c r="P232" s="686">
        <v>1.065040650406504</v>
      </c>
      <c r="Q232" s="666">
        <v>524</v>
      </c>
    </row>
    <row r="233" spans="1:17" ht="14.4" customHeight="1" x14ac:dyDescent="0.3">
      <c r="A233" s="661" t="s">
        <v>2833</v>
      </c>
      <c r="B233" s="662" t="s">
        <v>2834</v>
      </c>
      <c r="C233" s="662" t="s">
        <v>1955</v>
      </c>
      <c r="D233" s="662" t="s">
        <v>2851</v>
      </c>
      <c r="E233" s="662" t="s">
        <v>2852</v>
      </c>
      <c r="F233" s="665">
        <v>9</v>
      </c>
      <c r="G233" s="665">
        <v>279</v>
      </c>
      <c r="H233" s="665">
        <v>3</v>
      </c>
      <c r="I233" s="665">
        <v>31</v>
      </c>
      <c r="J233" s="665">
        <v>3</v>
      </c>
      <c r="K233" s="665">
        <v>93</v>
      </c>
      <c r="L233" s="665">
        <v>1</v>
      </c>
      <c r="M233" s="665">
        <v>31</v>
      </c>
      <c r="N233" s="665">
        <v>7</v>
      </c>
      <c r="O233" s="665">
        <v>399</v>
      </c>
      <c r="P233" s="686">
        <v>4.290322580645161</v>
      </c>
      <c r="Q233" s="666">
        <v>57</v>
      </c>
    </row>
    <row r="234" spans="1:17" ht="14.4" customHeight="1" x14ac:dyDescent="0.3">
      <c r="A234" s="661" t="s">
        <v>2833</v>
      </c>
      <c r="B234" s="662" t="s">
        <v>2834</v>
      </c>
      <c r="C234" s="662" t="s">
        <v>1955</v>
      </c>
      <c r="D234" s="662" t="s">
        <v>2853</v>
      </c>
      <c r="E234" s="662" t="s">
        <v>2854</v>
      </c>
      <c r="F234" s="665"/>
      <c r="G234" s="665"/>
      <c r="H234" s="665"/>
      <c r="I234" s="665"/>
      <c r="J234" s="665">
        <v>1</v>
      </c>
      <c r="K234" s="665">
        <v>208</v>
      </c>
      <c r="L234" s="665">
        <v>1</v>
      </c>
      <c r="M234" s="665">
        <v>208</v>
      </c>
      <c r="N234" s="665"/>
      <c r="O234" s="665"/>
      <c r="P234" s="686"/>
      <c r="Q234" s="666"/>
    </row>
    <row r="235" spans="1:17" ht="14.4" customHeight="1" x14ac:dyDescent="0.3">
      <c r="A235" s="661" t="s">
        <v>2833</v>
      </c>
      <c r="B235" s="662" t="s">
        <v>2834</v>
      </c>
      <c r="C235" s="662" t="s">
        <v>1955</v>
      </c>
      <c r="D235" s="662" t="s">
        <v>2855</v>
      </c>
      <c r="E235" s="662" t="s">
        <v>2856</v>
      </c>
      <c r="F235" s="665">
        <v>3</v>
      </c>
      <c r="G235" s="665">
        <v>1140</v>
      </c>
      <c r="H235" s="665">
        <v>2.96875</v>
      </c>
      <c r="I235" s="665">
        <v>380</v>
      </c>
      <c r="J235" s="665">
        <v>1</v>
      </c>
      <c r="K235" s="665">
        <v>384</v>
      </c>
      <c r="L235" s="665">
        <v>1</v>
      </c>
      <c r="M235" s="665">
        <v>384</v>
      </c>
      <c r="N235" s="665"/>
      <c r="O235" s="665"/>
      <c r="P235" s="686"/>
      <c r="Q235" s="666"/>
    </row>
    <row r="236" spans="1:17" ht="14.4" customHeight="1" x14ac:dyDescent="0.3">
      <c r="A236" s="661" t="s">
        <v>2833</v>
      </c>
      <c r="B236" s="662" t="s">
        <v>2834</v>
      </c>
      <c r="C236" s="662" t="s">
        <v>1955</v>
      </c>
      <c r="D236" s="662" t="s">
        <v>2857</v>
      </c>
      <c r="E236" s="662" t="s">
        <v>2858</v>
      </c>
      <c r="F236" s="665">
        <v>243</v>
      </c>
      <c r="G236" s="665">
        <v>28188</v>
      </c>
      <c r="H236" s="665">
        <v>1.1582840236686391</v>
      </c>
      <c r="I236" s="665">
        <v>116</v>
      </c>
      <c r="J236" s="665">
        <v>208</v>
      </c>
      <c r="K236" s="665">
        <v>24336</v>
      </c>
      <c r="L236" s="665">
        <v>1</v>
      </c>
      <c r="M236" s="665">
        <v>117</v>
      </c>
      <c r="N236" s="665">
        <v>405</v>
      </c>
      <c r="O236" s="665">
        <v>55080</v>
      </c>
      <c r="P236" s="686">
        <v>2.2633136094674557</v>
      </c>
      <c r="Q236" s="666">
        <v>136</v>
      </c>
    </row>
    <row r="237" spans="1:17" ht="14.4" customHeight="1" x14ac:dyDescent="0.3">
      <c r="A237" s="661" t="s">
        <v>2833</v>
      </c>
      <c r="B237" s="662" t="s">
        <v>2834</v>
      </c>
      <c r="C237" s="662" t="s">
        <v>1955</v>
      </c>
      <c r="D237" s="662" t="s">
        <v>2859</v>
      </c>
      <c r="E237" s="662" t="s">
        <v>2860</v>
      </c>
      <c r="F237" s="665">
        <v>141</v>
      </c>
      <c r="G237" s="665">
        <v>11985</v>
      </c>
      <c r="H237" s="665">
        <v>0.93406593406593408</v>
      </c>
      <c r="I237" s="665">
        <v>85</v>
      </c>
      <c r="J237" s="665">
        <v>141</v>
      </c>
      <c r="K237" s="665">
        <v>12831</v>
      </c>
      <c r="L237" s="665">
        <v>1</v>
      </c>
      <c r="M237" s="665">
        <v>91</v>
      </c>
      <c r="N237" s="665">
        <v>201</v>
      </c>
      <c r="O237" s="665">
        <v>18291</v>
      </c>
      <c r="P237" s="686">
        <v>1.425531914893617</v>
      </c>
      <c r="Q237" s="666">
        <v>91</v>
      </c>
    </row>
    <row r="238" spans="1:17" ht="14.4" customHeight="1" x14ac:dyDescent="0.3">
      <c r="A238" s="661" t="s">
        <v>2833</v>
      </c>
      <c r="B238" s="662" t="s">
        <v>2834</v>
      </c>
      <c r="C238" s="662" t="s">
        <v>1955</v>
      </c>
      <c r="D238" s="662" t="s">
        <v>2861</v>
      </c>
      <c r="E238" s="662" t="s">
        <v>2862</v>
      </c>
      <c r="F238" s="665">
        <v>3</v>
      </c>
      <c r="G238" s="665">
        <v>294</v>
      </c>
      <c r="H238" s="665"/>
      <c r="I238" s="665">
        <v>98</v>
      </c>
      <c r="J238" s="665"/>
      <c r="K238" s="665"/>
      <c r="L238" s="665"/>
      <c r="M238" s="665"/>
      <c r="N238" s="665">
        <v>2</v>
      </c>
      <c r="O238" s="665">
        <v>274</v>
      </c>
      <c r="P238" s="686"/>
      <c r="Q238" s="666">
        <v>137</v>
      </c>
    </row>
    <row r="239" spans="1:17" ht="14.4" customHeight="1" x14ac:dyDescent="0.3">
      <c r="A239" s="661" t="s">
        <v>2833</v>
      </c>
      <c r="B239" s="662" t="s">
        <v>2834</v>
      </c>
      <c r="C239" s="662" t="s">
        <v>1955</v>
      </c>
      <c r="D239" s="662" t="s">
        <v>2863</v>
      </c>
      <c r="E239" s="662" t="s">
        <v>2864</v>
      </c>
      <c r="F239" s="665">
        <v>67</v>
      </c>
      <c r="G239" s="665">
        <v>1407</v>
      </c>
      <c r="H239" s="665">
        <v>2.7916666666666665</v>
      </c>
      <c r="I239" s="665">
        <v>21</v>
      </c>
      <c r="J239" s="665">
        <v>24</v>
      </c>
      <c r="K239" s="665">
        <v>504</v>
      </c>
      <c r="L239" s="665">
        <v>1</v>
      </c>
      <c r="M239" s="665">
        <v>21</v>
      </c>
      <c r="N239" s="665">
        <v>70</v>
      </c>
      <c r="O239" s="665">
        <v>4620</v>
      </c>
      <c r="P239" s="686">
        <v>9.1666666666666661</v>
      </c>
      <c r="Q239" s="666">
        <v>66</v>
      </c>
    </row>
    <row r="240" spans="1:17" ht="14.4" customHeight="1" x14ac:dyDescent="0.3">
      <c r="A240" s="661" t="s">
        <v>2833</v>
      </c>
      <c r="B240" s="662" t="s">
        <v>2834</v>
      </c>
      <c r="C240" s="662" t="s">
        <v>1955</v>
      </c>
      <c r="D240" s="662" t="s">
        <v>2865</v>
      </c>
      <c r="E240" s="662" t="s">
        <v>2866</v>
      </c>
      <c r="F240" s="665">
        <v>28</v>
      </c>
      <c r="G240" s="665">
        <v>13636</v>
      </c>
      <c r="H240" s="665">
        <v>1.2701192250372577</v>
      </c>
      <c r="I240" s="665">
        <v>487</v>
      </c>
      <c r="J240" s="665">
        <v>22</v>
      </c>
      <c r="K240" s="665">
        <v>10736</v>
      </c>
      <c r="L240" s="665">
        <v>1</v>
      </c>
      <c r="M240" s="665">
        <v>488</v>
      </c>
      <c r="N240" s="665">
        <v>34</v>
      </c>
      <c r="O240" s="665">
        <v>11152</v>
      </c>
      <c r="P240" s="686">
        <v>1.0387481371087928</v>
      </c>
      <c r="Q240" s="666">
        <v>328</v>
      </c>
    </row>
    <row r="241" spans="1:17" ht="14.4" customHeight="1" x14ac:dyDescent="0.3">
      <c r="A241" s="661" t="s">
        <v>2833</v>
      </c>
      <c r="B241" s="662" t="s">
        <v>2834</v>
      </c>
      <c r="C241" s="662" t="s">
        <v>1955</v>
      </c>
      <c r="D241" s="662" t="s">
        <v>2867</v>
      </c>
      <c r="E241" s="662" t="s">
        <v>2868</v>
      </c>
      <c r="F241" s="665">
        <v>55</v>
      </c>
      <c r="G241" s="665">
        <v>2255</v>
      </c>
      <c r="H241" s="665">
        <v>2.3913043478260869</v>
      </c>
      <c r="I241" s="665">
        <v>41</v>
      </c>
      <c r="J241" s="665">
        <v>23</v>
      </c>
      <c r="K241" s="665">
        <v>943</v>
      </c>
      <c r="L241" s="665">
        <v>1</v>
      </c>
      <c r="M241" s="665">
        <v>41</v>
      </c>
      <c r="N241" s="665">
        <v>39</v>
      </c>
      <c r="O241" s="665">
        <v>1989</v>
      </c>
      <c r="P241" s="686">
        <v>2.1092258748674442</v>
      </c>
      <c r="Q241" s="666">
        <v>51</v>
      </c>
    </row>
    <row r="242" spans="1:17" ht="14.4" customHeight="1" x14ac:dyDescent="0.3">
      <c r="A242" s="661" t="s">
        <v>2833</v>
      </c>
      <c r="B242" s="662" t="s">
        <v>2834</v>
      </c>
      <c r="C242" s="662" t="s">
        <v>1955</v>
      </c>
      <c r="D242" s="662" t="s">
        <v>2869</v>
      </c>
      <c r="E242" s="662" t="s">
        <v>2870</v>
      </c>
      <c r="F242" s="665">
        <v>1</v>
      </c>
      <c r="G242" s="665">
        <v>2072</v>
      </c>
      <c r="H242" s="665"/>
      <c r="I242" s="665">
        <v>2072</v>
      </c>
      <c r="J242" s="665"/>
      <c r="K242" s="665"/>
      <c r="L242" s="665"/>
      <c r="M242" s="665"/>
      <c r="N242" s="665"/>
      <c r="O242" s="665"/>
      <c r="P242" s="686"/>
      <c r="Q242" s="666"/>
    </row>
    <row r="243" spans="1:17" ht="14.4" customHeight="1" x14ac:dyDescent="0.3">
      <c r="A243" s="661" t="s">
        <v>2833</v>
      </c>
      <c r="B243" s="662" t="s">
        <v>2834</v>
      </c>
      <c r="C243" s="662" t="s">
        <v>1955</v>
      </c>
      <c r="D243" s="662" t="s">
        <v>2871</v>
      </c>
      <c r="E243" s="662" t="s">
        <v>2872</v>
      </c>
      <c r="F243" s="665"/>
      <c r="G243" s="665"/>
      <c r="H243" s="665"/>
      <c r="I243" s="665"/>
      <c r="J243" s="665">
        <v>4</v>
      </c>
      <c r="K243" s="665">
        <v>2456</v>
      </c>
      <c r="L243" s="665">
        <v>1</v>
      </c>
      <c r="M243" s="665">
        <v>614</v>
      </c>
      <c r="N243" s="665"/>
      <c r="O243" s="665"/>
      <c r="P243" s="686"/>
      <c r="Q243" s="666"/>
    </row>
    <row r="244" spans="1:17" ht="14.4" customHeight="1" x14ac:dyDescent="0.3">
      <c r="A244" s="661" t="s">
        <v>2833</v>
      </c>
      <c r="B244" s="662" t="s">
        <v>2834</v>
      </c>
      <c r="C244" s="662" t="s">
        <v>1955</v>
      </c>
      <c r="D244" s="662" t="s">
        <v>2873</v>
      </c>
      <c r="E244" s="662" t="s">
        <v>2874</v>
      </c>
      <c r="F244" s="665"/>
      <c r="G244" s="665"/>
      <c r="H244" s="665"/>
      <c r="I244" s="665"/>
      <c r="J244" s="665">
        <v>2</v>
      </c>
      <c r="K244" s="665">
        <v>658</v>
      </c>
      <c r="L244" s="665">
        <v>1</v>
      </c>
      <c r="M244" s="665">
        <v>329</v>
      </c>
      <c r="N244" s="665"/>
      <c r="O244" s="665"/>
      <c r="P244" s="686"/>
      <c r="Q244" s="666"/>
    </row>
    <row r="245" spans="1:17" ht="14.4" customHeight="1" x14ac:dyDescent="0.3">
      <c r="A245" s="661" t="s">
        <v>2875</v>
      </c>
      <c r="B245" s="662" t="s">
        <v>2600</v>
      </c>
      <c r="C245" s="662" t="s">
        <v>1955</v>
      </c>
      <c r="D245" s="662" t="s">
        <v>2876</v>
      </c>
      <c r="E245" s="662" t="s">
        <v>2877</v>
      </c>
      <c r="F245" s="665">
        <v>1</v>
      </c>
      <c r="G245" s="665">
        <v>1184</v>
      </c>
      <c r="H245" s="665"/>
      <c r="I245" s="665">
        <v>1184</v>
      </c>
      <c r="J245" s="665"/>
      <c r="K245" s="665"/>
      <c r="L245" s="665"/>
      <c r="M245" s="665"/>
      <c r="N245" s="665"/>
      <c r="O245" s="665"/>
      <c r="P245" s="686"/>
      <c r="Q245" s="666"/>
    </row>
    <row r="246" spans="1:17" ht="14.4" customHeight="1" x14ac:dyDescent="0.3">
      <c r="A246" s="661" t="s">
        <v>2875</v>
      </c>
      <c r="B246" s="662" t="s">
        <v>2600</v>
      </c>
      <c r="C246" s="662" t="s">
        <v>1955</v>
      </c>
      <c r="D246" s="662" t="s">
        <v>2878</v>
      </c>
      <c r="E246" s="662" t="s">
        <v>2879</v>
      </c>
      <c r="F246" s="665"/>
      <c r="G246" s="665"/>
      <c r="H246" s="665"/>
      <c r="I246" s="665"/>
      <c r="J246" s="665">
        <v>2</v>
      </c>
      <c r="K246" s="665">
        <v>336</v>
      </c>
      <c r="L246" s="665">
        <v>1</v>
      </c>
      <c r="M246" s="665">
        <v>168</v>
      </c>
      <c r="N246" s="665">
        <v>2</v>
      </c>
      <c r="O246" s="665">
        <v>336</v>
      </c>
      <c r="P246" s="686">
        <v>1</v>
      </c>
      <c r="Q246" s="666">
        <v>168</v>
      </c>
    </row>
    <row r="247" spans="1:17" ht="14.4" customHeight="1" x14ac:dyDescent="0.3">
      <c r="A247" s="661" t="s">
        <v>2875</v>
      </c>
      <c r="B247" s="662" t="s">
        <v>2600</v>
      </c>
      <c r="C247" s="662" t="s">
        <v>1955</v>
      </c>
      <c r="D247" s="662" t="s">
        <v>2880</v>
      </c>
      <c r="E247" s="662" t="s">
        <v>2881</v>
      </c>
      <c r="F247" s="665"/>
      <c r="G247" s="665"/>
      <c r="H247" s="665"/>
      <c r="I247" s="665"/>
      <c r="J247" s="665">
        <v>2</v>
      </c>
      <c r="K247" s="665">
        <v>348</v>
      </c>
      <c r="L247" s="665">
        <v>1</v>
      </c>
      <c r="M247" s="665">
        <v>174</v>
      </c>
      <c r="N247" s="665">
        <v>2</v>
      </c>
      <c r="O247" s="665">
        <v>348</v>
      </c>
      <c r="P247" s="686">
        <v>1</v>
      </c>
      <c r="Q247" s="666">
        <v>174</v>
      </c>
    </row>
    <row r="248" spans="1:17" ht="14.4" customHeight="1" x14ac:dyDescent="0.3">
      <c r="A248" s="661" t="s">
        <v>2875</v>
      </c>
      <c r="B248" s="662" t="s">
        <v>2600</v>
      </c>
      <c r="C248" s="662" t="s">
        <v>1955</v>
      </c>
      <c r="D248" s="662" t="s">
        <v>2882</v>
      </c>
      <c r="E248" s="662" t="s">
        <v>2883</v>
      </c>
      <c r="F248" s="665"/>
      <c r="G248" s="665"/>
      <c r="H248" s="665"/>
      <c r="I248" s="665"/>
      <c r="J248" s="665">
        <v>6</v>
      </c>
      <c r="K248" s="665">
        <v>2100</v>
      </c>
      <c r="L248" s="665">
        <v>1</v>
      </c>
      <c r="M248" s="665">
        <v>350</v>
      </c>
      <c r="N248" s="665">
        <v>6</v>
      </c>
      <c r="O248" s="665">
        <v>2100</v>
      </c>
      <c r="P248" s="686">
        <v>1</v>
      </c>
      <c r="Q248" s="666">
        <v>350</v>
      </c>
    </row>
    <row r="249" spans="1:17" ht="14.4" customHeight="1" x14ac:dyDescent="0.3">
      <c r="A249" s="661" t="s">
        <v>2875</v>
      </c>
      <c r="B249" s="662" t="s">
        <v>2600</v>
      </c>
      <c r="C249" s="662" t="s">
        <v>1955</v>
      </c>
      <c r="D249" s="662" t="s">
        <v>2884</v>
      </c>
      <c r="E249" s="662" t="s">
        <v>2885</v>
      </c>
      <c r="F249" s="665"/>
      <c r="G249" s="665"/>
      <c r="H249" s="665"/>
      <c r="I249" s="665"/>
      <c r="J249" s="665">
        <v>2</v>
      </c>
      <c r="K249" s="665">
        <v>80</v>
      </c>
      <c r="L249" s="665">
        <v>1</v>
      </c>
      <c r="M249" s="665">
        <v>40</v>
      </c>
      <c r="N249" s="665">
        <v>2</v>
      </c>
      <c r="O249" s="665">
        <v>80</v>
      </c>
      <c r="P249" s="686">
        <v>1</v>
      </c>
      <c r="Q249" s="666">
        <v>40</v>
      </c>
    </row>
    <row r="250" spans="1:17" ht="14.4" customHeight="1" x14ac:dyDescent="0.3">
      <c r="A250" s="661" t="s">
        <v>2875</v>
      </c>
      <c r="B250" s="662" t="s">
        <v>2600</v>
      </c>
      <c r="C250" s="662" t="s">
        <v>1955</v>
      </c>
      <c r="D250" s="662" t="s">
        <v>2886</v>
      </c>
      <c r="E250" s="662" t="s">
        <v>2887</v>
      </c>
      <c r="F250" s="665"/>
      <c r="G250" s="665"/>
      <c r="H250" s="665"/>
      <c r="I250" s="665"/>
      <c r="J250" s="665">
        <v>2</v>
      </c>
      <c r="K250" s="665">
        <v>342</v>
      </c>
      <c r="L250" s="665">
        <v>1</v>
      </c>
      <c r="M250" s="665">
        <v>171</v>
      </c>
      <c r="N250" s="665">
        <v>2</v>
      </c>
      <c r="O250" s="665">
        <v>342</v>
      </c>
      <c r="P250" s="686">
        <v>1</v>
      </c>
      <c r="Q250" s="666">
        <v>171</v>
      </c>
    </row>
    <row r="251" spans="1:17" ht="14.4" customHeight="1" x14ac:dyDescent="0.3">
      <c r="A251" s="661" t="s">
        <v>2875</v>
      </c>
      <c r="B251" s="662" t="s">
        <v>2600</v>
      </c>
      <c r="C251" s="662" t="s">
        <v>1955</v>
      </c>
      <c r="D251" s="662" t="s">
        <v>2888</v>
      </c>
      <c r="E251" s="662" t="s">
        <v>2889</v>
      </c>
      <c r="F251" s="665"/>
      <c r="G251" s="665"/>
      <c r="H251" s="665"/>
      <c r="I251" s="665"/>
      <c r="J251" s="665"/>
      <c r="K251" s="665"/>
      <c r="L251" s="665"/>
      <c r="M251" s="665"/>
      <c r="N251" s="665">
        <v>1</v>
      </c>
      <c r="O251" s="665">
        <v>350</v>
      </c>
      <c r="P251" s="686"/>
      <c r="Q251" s="666">
        <v>350</v>
      </c>
    </row>
    <row r="252" spans="1:17" ht="14.4" customHeight="1" x14ac:dyDescent="0.3">
      <c r="A252" s="661" t="s">
        <v>2875</v>
      </c>
      <c r="B252" s="662" t="s">
        <v>2600</v>
      </c>
      <c r="C252" s="662" t="s">
        <v>1955</v>
      </c>
      <c r="D252" s="662" t="s">
        <v>2890</v>
      </c>
      <c r="E252" s="662" t="s">
        <v>2891</v>
      </c>
      <c r="F252" s="665"/>
      <c r="G252" s="665"/>
      <c r="H252" s="665"/>
      <c r="I252" s="665"/>
      <c r="J252" s="665">
        <v>2</v>
      </c>
      <c r="K252" s="665">
        <v>348</v>
      </c>
      <c r="L252" s="665">
        <v>1</v>
      </c>
      <c r="M252" s="665">
        <v>174</v>
      </c>
      <c r="N252" s="665">
        <v>2</v>
      </c>
      <c r="O252" s="665">
        <v>348</v>
      </c>
      <c r="P252" s="686">
        <v>1</v>
      </c>
      <c r="Q252" s="666">
        <v>174</v>
      </c>
    </row>
    <row r="253" spans="1:17" ht="14.4" customHeight="1" x14ac:dyDescent="0.3">
      <c r="A253" s="661" t="s">
        <v>2875</v>
      </c>
      <c r="B253" s="662" t="s">
        <v>2600</v>
      </c>
      <c r="C253" s="662" t="s">
        <v>1955</v>
      </c>
      <c r="D253" s="662" t="s">
        <v>2892</v>
      </c>
      <c r="E253" s="662" t="s">
        <v>2893</v>
      </c>
      <c r="F253" s="665"/>
      <c r="G253" s="665"/>
      <c r="H253" s="665"/>
      <c r="I253" s="665"/>
      <c r="J253" s="665">
        <v>2</v>
      </c>
      <c r="K253" s="665">
        <v>336</v>
      </c>
      <c r="L253" s="665">
        <v>1</v>
      </c>
      <c r="M253" s="665">
        <v>168</v>
      </c>
      <c r="N253" s="665">
        <v>2</v>
      </c>
      <c r="O253" s="665">
        <v>336</v>
      </c>
      <c r="P253" s="686">
        <v>1</v>
      </c>
      <c r="Q253" s="666">
        <v>168</v>
      </c>
    </row>
    <row r="254" spans="1:17" ht="14.4" customHeight="1" x14ac:dyDescent="0.3">
      <c r="A254" s="661" t="s">
        <v>512</v>
      </c>
      <c r="B254" s="662" t="s">
        <v>2323</v>
      </c>
      <c r="C254" s="662" t="s">
        <v>1955</v>
      </c>
      <c r="D254" s="662" t="s">
        <v>2324</v>
      </c>
      <c r="E254" s="662" t="s">
        <v>2325</v>
      </c>
      <c r="F254" s="665">
        <v>1</v>
      </c>
      <c r="G254" s="665">
        <v>259</v>
      </c>
      <c r="H254" s="665"/>
      <c r="I254" s="665">
        <v>259</v>
      </c>
      <c r="J254" s="665"/>
      <c r="K254" s="665"/>
      <c r="L254" s="665"/>
      <c r="M254" s="665"/>
      <c r="N254" s="665"/>
      <c r="O254" s="665"/>
      <c r="P254" s="686"/>
      <c r="Q254" s="666"/>
    </row>
    <row r="255" spans="1:17" ht="14.4" customHeight="1" x14ac:dyDescent="0.3">
      <c r="A255" s="661" t="s">
        <v>512</v>
      </c>
      <c r="B255" s="662" t="s">
        <v>2323</v>
      </c>
      <c r="C255" s="662" t="s">
        <v>1955</v>
      </c>
      <c r="D255" s="662" t="s">
        <v>2326</v>
      </c>
      <c r="E255" s="662" t="s">
        <v>2327</v>
      </c>
      <c r="F255" s="665"/>
      <c r="G255" s="665"/>
      <c r="H255" s="665"/>
      <c r="I255" s="665"/>
      <c r="J255" s="665">
        <v>2</v>
      </c>
      <c r="K255" s="665">
        <v>698</v>
      </c>
      <c r="L255" s="665">
        <v>1</v>
      </c>
      <c r="M255" s="665">
        <v>349</v>
      </c>
      <c r="N255" s="665"/>
      <c r="O255" s="665"/>
      <c r="P255" s="686"/>
      <c r="Q255" s="666"/>
    </row>
    <row r="256" spans="1:17" ht="14.4" customHeight="1" x14ac:dyDescent="0.3">
      <c r="A256" s="661" t="s">
        <v>512</v>
      </c>
      <c r="B256" s="662" t="s">
        <v>2323</v>
      </c>
      <c r="C256" s="662" t="s">
        <v>1955</v>
      </c>
      <c r="D256" s="662" t="s">
        <v>2328</v>
      </c>
      <c r="E256" s="662" t="s">
        <v>2329</v>
      </c>
      <c r="F256" s="665"/>
      <c r="G256" s="665"/>
      <c r="H256" s="665"/>
      <c r="I256" s="665"/>
      <c r="J256" s="665">
        <v>2</v>
      </c>
      <c r="K256" s="665">
        <v>566</v>
      </c>
      <c r="L256" s="665">
        <v>1</v>
      </c>
      <c r="M256" s="665">
        <v>283</v>
      </c>
      <c r="N256" s="665"/>
      <c r="O256" s="665"/>
      <c r="P256" s="686"/>
      <c r="Q256" s="666"/>
    </row>
    <row r="257" spans="1:17" ht="14.4" customHeight="1" x14ac:dyDescent="0.3">
      <c r="A257" s="661" t="s">
        <v>512</v>
      </c>
      <c r="B257" s="662" t="s">
        <v>2323</v>
      </c>
      <c r="C257" s="662" t="s">
        <v>1955</v>
      </c>
      <c r="D257" s="662" t="s">
        <v>2330</v>
      </c>
      <c r="E257" s="662" t="s">
        <v>2331</v>
      </c>
      <c r="F257" s="665"/>
      <c r="G257" s="665"/>
      <c r="H257" s="665"/>
      <c r="I257" s="665"/>
      <c r="J257" s="665">
        <v>2</v>
      </c>
      <c r="K257" s="665">
        <v>11194</v>
      </c>
      <c r="L257" s="665">
        <v>1</v>
      </c>
      <c r="M257" s="665">
        <v>5597</v>
      </c>
      <c r="N257" s="665"/>
      <c r="O257" s="665"/>
      <c r="P257" s="686"/>
      <c r="Q257" s="666"/>
    </row>
    <row r="258" spans="1:17" ht="14.4" customHeight="1" x14ac:dyDescent="0.3">
      <c r="A258" s="661" t="s">
        <v>2894</v>
      </c>
      <c r="B258" s="662" t="s">
        <v>2895</v>
      </c>
      <c r="C258" s="662" t="s">
        <v>1955</v>
      </c>
      <c r="D258" s="662" t="s">
        <v>2896</v>
      </c>
      <c r="E258" s="662" t="s">
        <v>2897</v>
      </c>
      <c r="F258" s="665"/>
      <c r="G258" s="665"/>
      <c r="H258" s="665"/>
      <c r="I258" s="665"/>
      <c r="J258" s="665">
        <v>1</v>
      </c>
      <c r="K258" s="665">
        <v>508</v>
      </c>
      <c r="L258" s="665">
        <v>1</v>
      </c>
      <c r="M258" s="665">
        <v>508</v>
      </c>
      <c r="N258" s="665"/>
      <c r="O258" s="665"/>
      <c r="P258" s="686"/>
      <c r="Q258" s="666"/>
    </row>
    <row r="259" spans="1:17" ht="14.4" customHeight="1" x14ac:dyDescent="0.3">
      <c r="A259" s="661" t="s">
        <v>2894</v>
      </c>
      <c r="B259" s="662" t="s">
        <v>2895</v>
      </c>
      <c r="C259" s="662" t="s">
        <v>1955</v>
      </c>
      <c r="D259" s="662" t="s">
        <v>2898</v>
      </c>
      <c r="E259" s="662" t="s">
        <v>2899</v>
      </c>
      <c r="F259" s="665"/>
      <c r="G259" s="665"/>
      <c r="H259" s="665"/>
      <c r="I259" s="665"/>
      <c r="J259" s="665">
        <v>1</v>
      </c>
      <c r="K259" s="665">
        <v>6402</v>
      </c>
      <c r="L259" s="665">
        <v>1</v>
      </c>
      <c r="M259" s="665">
        <v>6402</v>
      </c>
      <c r="N259" s="665"/>
      <c r="O259" s="665"/>
      <c r="P259" s="686"/>
      <c r="Q259" s="666"/>
    </row>
    <row r="260" spans="1:17" ht="14.4" customHeight="1" x14ac:dyDescent="0.3">
      <c r="A260" s="661" t="s">
        <v>2894</v>
      </c>
      <c r="B260" s="662" t="s">
        <v>2895</v>
      </c>
      <c r="C260" s="662" t="s">
        <v>1955</v>
      </c>
      <c r="D260" s="662" t="s">
        <v>2807</v>
      </c>
      <c r="E260" s="662" t="s">
        <v>2808</v>
      </c>
      <c r="F260" s="665"/>
      <c r="G260" s="665"/>
      <c r="H260" s="665"/>
      <c r="I260" s="665"/>
      <c r="J260" s="665">
        <v>1</v>
      </c>
      <c r="K260" s="665">
        <v>1283</v>
      </c>
      <c r="L260" s="665">
        <v>1</v>
      </c>
      <c r="M260" s="665">
        <v>1283</v>
      </c>
      <c r="N260" s="665">
        <v>1</v>
      </c>
      <c r="O260" s="665">
        <v>1285</v>
      </c>
      <c r="P260" s="686">
        <v>1.0015588464536243</v>
      </c>
      <c r="Q260" s="666">
        <v>1285</v>
      </c>
    </row>
    <row r="261" spans="1:17" ht="14.4" customHeight="1" x14ac:dyDescent="0.3">
      <c r="A261" s="661" t="s">
        <v>2894</v>
      </c>
      <c r="B261" s="662" t="s">
        <v>2895</v>
      </c>
      <c r="C261" s="662" t="s">
        <v>1955</v>
      </c>
      <c r="D261" s="662" t="s">
        <v>2900</v>
      </c>
      <c r="E261" s="662" t="s">
        <v>2901</v>
      </c>
      <c r="F261" s="665"/>
      <c r="G261" s="665"/>
      <c r="H261" s="665"/>
      <c r="I261" s="665"/>
      <c r="J261" s="665"/>
      <c r="K261" s="665"/>
      <c r="L261" s="665"/>
      <c r="M261" s="665"/>
      <c r="N261" s="665">
        <v>2</v>
      </c>
      <c r="O261" s="665">
        <v>19524</v>
      </c>
      <c r="P261" s="686"/>
      <c r="Q261" s="666">
        <v>9762</v>
      </c>
    </row>
    <row r="262" spans="1:17" ht="14.4" customHeight="1" x14ac:dyDescent="0.3">
      <c r="A262" s="661" t="s">
        <v>2894</v>
      </c>
      <c r="B262" s="662" t="s">
        <v>2895</v>
      </c>
      <c r="C262" s="662" t="s">
        <v>1955</v>
      </c>
      <c r="D262" s="662" t="s">
        <v>2817</v>
      </c>
      <c r="E262" s="662" t="s">
        <v>2818</v>
      </c>
      <c r="F262" s="665"/>
      <c r="G262" s="665"/>
      <c r="H262" s="665"/>
      <c r="I262" s="665"/>
      <c r="J262" s="665">
        <v>1</v>
      </c>
      <c r="K262" s="665">
        <v>178</v>
      </c>
      <c r="L262" s="665">
        <v>1</v>
      </c>
      <c r="M262" s="665">
        <v>178</v>
      </c>
      <c r="N262" s="665"/>
      <c r="O262" s="665"/>
      <c r="P262" s="686"/>
      <c r="Q262" s="666"/>
    </row>
    <row r="263" spans="1:17" ht="14.4" customHeight="1" thickBot="1" x14ac:dyDescent="0.35">
      <c r="A263" s="667" t="s">
        <v>2894</v>
      </c>
      <c r="B263" s="668" t="s">
        <v>2895</v>
      </c>
      <c r="C263" s="668" t="s">
        <v>1955</v>
      </c>
      <c r="D263" s="668" t="s">
        <v>2823</v>
      </c>
      <c r="E263" s="668" t="s">
        <v>2824</v>
      </c>
      <c r="F263" s="671"/>
      <c r="G263" s="671"/>
      <c r="H263" s="671"/>
      <c r="I263" s="671"/>
      <c r="J263" s="671"/>
      <c r="K263" s="671"/>
      <c r="L263" s="671"/>
      <c r="M263" s="671"/>
      <c r="N263" s="671">
        <v>20</v>
      </c>
      <c r="O263" s="671">
        <v>45940</v>
      </c>
      <c r="P263" s="679"/>
      <c r="Q263" s="672">
        <v>2297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06" t="s">
        <v>162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</row>
    <row r="2" spans="1:14" ht="14.4" customHeight="1" thickBot="1" x14ac:dyDescent="0.35">
      <c r="A2" s="351" t="s">
        <v>322</v>
      </c>
      <c r="B2" s="174"/>
      <c r="C2" s="174"/>
      <c r="D2" s="174"/>
      <c r="E2" s="174"/>
      <c r="F2" s="174"/>
      <c r="G2" s="421"/>
      <c r="H2" s="421"/>
      <c r="I2" s="421"/>
      <c r="J2" s="174"/>
      <c r="K2" s="421"/>
      <c r="L2" s="421"/>
      <c r="M2" s="421"/>
      <c r="N2" s="174"/>
    </row>
    <row r="3" spans="1:14" ht="14.4" customHeight="1" thickBot="1" x14ac:dyDescent="0.35">
      <c r="A3" s="175"/>
      <c r="B3" s="176" t="s">
        <v>142</v>
      </c>
      <c r="C3" s="177">
        <f>SUBTOTAL(9,C6:C1048576)</f>
        <v>362</v>
      </c>
      <c r="D3" s="178">
        <f>SUBTOTAL(9,D6:D1048576)</f>
        <v>518</v>
      </c>
      <c r="E3" s="178">
        <f>SUBTOTAL(9,E6:E1048576)</f>
        <v>601</v>
      </c>
      <c r="F3" s="179">
        <f>IF(OR(E3=0,D3=0),"",E3/D3)</f>
        <v>1.1602316602316602</v>
      </c>
      <c r="G3" s="422">
        <f>SUBTOTAL(9,G6:G1048576)</f>
        <v>3837.6008999999999</v>
      </c>
      <c r="H3" s="423">
        <f>SUBTOTAL(9,H6:H1048576)</f>
        <v>5603.8661999999995</v>
      </c>
      <c r="I3" s="423">
        <f>SUBTOTAL(9,I6:I1048576)</f>
        <v>6385.0959000000003</v>
      </c>
      <c r="J3" s="179">
        <f>IF(OR(I3=0,H3=0),"",I3/H3)</f>
        <v>1.1394090565545625</v>
      </c>
      <c r="K3" s="422">
        <f>SUBTOTAL(9,K6:K1048576)</f>
        <v>773</v>
      </c>
      <c r="L3" s="423">
        <f>SUBTOTAL(9,L6:L1048576)</f>
        <v>1136</v>
      </c>
      <c r="M3" s="423">
        <f>SUBTOTAL(9,M6:M1048576)</f>
        <v>1239.5</v>
      </c>
      <c r="N3" s="180">
        <f>IF(OR(M3=0,E3=0),"",M3*1000/E3)</f>
        <v>2062.3960066555742</v>
      </c>
    </row>
    <row r="4" spans="1:14" ht="14.4" customHeight="1" x14ac:dyDescent="0.3">
      <c r="A4" s="608" t="s">
        <v>77</v>
      </c>
      <c r="B4" s="609" t="s">
        <v>11</v>
      </c>
      <c r="C4" s="610" t="s">
        <v>78</v>
      </c>
      <c r="D4" s="610"/>
      <c r="E4" s="610"/>
      <c r="F4" s="611"/>
      <c r="G4" s="612" t="s">
        <v>321</v>
      </c>
      <c r="H4" s="610"/>
      <c r="I4" s="610"/>
      <c r="J4" s="611"/>
      <c r="K4" s="612" t="s">
        <v>79</v>
      </c>
      <c r="L4" s="610"/>
      <c r="M4" s="610"/>
      <c r="N4" s="613"/>
    </row>
    <row r="5" spans="1:14" ht="14.4" customHeight="1" thickBot="1" x14ac:dyDescent="0.35">
      <c r="A5" s="852"/>
      <c r="B5" s="853"/>
      <c r="C5" s="860">
        <v>2015</v>
      </c>
      <c r="D5" s="860">
        <v>2016</v>
      </c>
      <c r="E5" s="860">
        <v>2017</v>
      </c>
      <c r="F5" s="861" t="s">
        <v>2</v>
      </c>
      <c r="G5" s="871">
        <v>2015</v>
      </c>
      <c r="H5" s="860">
        <v>2016</v>
      </c>
      <c r="I5" s="860">
        <v>2017</v>
      </c>
      <c r="J5" s="861" t="s">
        <v>2</v>
      </c>
      <c r="K5" s="871">
        <v>2015</v>
      </c>
      <c r="L5" s="860">
        <v>2016</v>
      </c>
      <c r="M5" s="860">
        <v>2017</v>
      </c>
      <c r="N5" s="872" t="s">
        <v>80</v>
      </c>
    </row>
    <row r="6" spans="1:14" ht="14.4" customHeight="1" x14ac:dyDescent="0.3">
      <c r="A6" s="854" t="s">
        <v>2279</v>
      </c>
      <c r="B6" s="857" t="s">
        <v>2903</v>
      </c>
      <c r="C6" s="862">
        <v>8</v>
      </c>
      <c r="D6" s="863">
        <v>11</v>
      </c>
      <c r="E6" s="863">
        <v>7</v>
      </c>
      <c r="F6" s="868"/>
      <c r="G6" s="862">
        <v>201.3552</v>
      </c>
      <c r="H6" s="863">
        <v>276.86339999999996</v>
      </c>
      <c r="I6" s="863">
        <v>176.1858</v>
      </c>
      <c r="J6" s="868"/>
      <c r="K6" s="862">
        <v>72</v>
      </c>
      <c r="L6" s="863">
        <v>99</v>
      </c>
      <c r="M6" s="863">
        <v>63</v>
      </c>
      <c r="N6" s="873">
        <v>9000</v>
      </c>
    </row>
    <row r="7" spans="1:14" ht="14.4" customHeight="1" x14ac:dyDescent="0.3">
      <c r="A7" s="855" t="s">
        <v>2274</v>
      </c>
      <c r="B7" s="858" t="s">
        <v>2903</v>
      </c>
      <c r="C7" s="864">
        <v>10</v>
      </c>
      <c r="D7" s="865">
        <v>17</v>
      </c>
      <c r="E7" s="865">
        <v>9</v>
      </c>
      <c r="F7" s="869"/>
      <c r="G7" s="864">
        <v>215.69399999999999</v>
      </c>
      <c r="H7" s="865">
        <v>366.6798</v>
      </c>
      <c r="I7" s="865">
        <v>194.12460000000002</v>
      </c>
      <c r="J7" s="869"/>
      <c r="K7" s="864">
        <v>70</v>
      </c>
      <c r="L7" s="865">
        <v>119</v>
      </c>
      <c r="M7" s="865">
        <v>63</v>
      </c>
      <c r="N7" s="874">
        <v>7000</v>
      </c>
    </row>
    <row r="8" spans="1:14" ht="14.4" customHeight="1" x14ac:dyDescent="0.3">
      <c r="A8" s="855" t="s">
        <v>2255</v>
      </c>
      <c r="B8" s="858" t="s">
        <v>2903</v>
      </c>
      <c r="C8" s="864">
        <v>289</v>
      </c>
      <c r="D8" s="865">
        <v>430</v>
      </c>
      <c r="E8" s="865">
        <v>535</v>
      </c>
      <c r="F8" s="869"/>
      <c r="G8" s="864">
        <v>3094.4097000000002</v>
      </c>
      <c r="H8" s="865">
        <v>4604.1389999999992</v>
      </c>
      <c r="I8" s="865">
        <v>5728.4054999999998</v>
      </c>
      <c r="J8" s="869"/>
      <c r="K8" s="864">
        <v>578</v>
      </c>
      <c r="L8" s="865">
        <v>860</v>
      </c>
      <c r="M8" s="865">
        <v>1070</v>
      </c>
      <c r="N8" s="874">
        <v>2000</v>
      </c>
    </row>
    <row r="9" spans="1:14" ht="14.4" customHeight="1" x14ac:dyDescent="0.3">
      <c r="A9" s="855" t="s">
        <v>2276</v>
      </c>
      <c r="B9" s="858" t="s">
        <v>2903</v>
      </c>
      <c r="C9" s="864">
        <v>51</v>
      </c>
      <c r="D9" s="865">
        <v>56</v>
      </c>
      <c r="E9" s="865">
        <v>37</v>
      </c>
      <c r="F9" s="869"/>
      <c r="G9" s="864">
        <v>306.42839999999995</v>
      </c>
      <c r="H9" s="865">
        <v>336.47040000000004</v>
      </c>
      <c r="I9" s="865">
        <v>222.3108</v>
      </c>
      <c r="J9" s="869"/>
      <c r="K9" s="864">
        <v>51</v>
      </c>
      <c r="L9" s="865">
        <v>56</v>
      </c>
      <c r="M9" s="865">
        <v>37</v>
      </c>
      <c r="N9" s="874">
        <v>1000</v>
      </c>
    </row>
    <row r="10" spans="1:14" ht="14.4" customHeight="1" thickBot="1" x14ac:dyDescent="0.35">
      <c r="A10" s="856" t="s">
        <v>2272</v>
      </c>
      <c r="B10" s="859" t="s">
        <v>2903</v>
      </c>
      <c r="C10" s="866">
        <v>4</v>
      </c>
      <c r="D10" s="867">
        <v>4</v>
      </c>
      <c r="E10" s="867">
        <v>13</v>
      </c>
      <c r="F10" s="870"/>
      <c r="G10" s="866">
        <v>19.7136</v>
      </c>
      <c r="H10" s="867">
        <v>19.7136</v>
      </c>
      <c r="I10" s="867">
        <v>64.069200000000009</v>
      </c>
      <c r="J10" s="870"/>
      <c r="K10" s="866">
        <v>2</v>
      </c>
      <c r="L10" s="867">
        <v>2</v>
      </c>
      <c r="M10" s="867">
        <v>6.5</v>
      </c>
      <c r="N10" s="87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9" t="s">
        <v>157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10" ht="14.4" customHeight="1" thickBot="1" x14ac:dyDescent="0.35">
      <c r="A2" s="351" t="s">
        <v>322</v>
      </c>
      <c r="B2" s="204"/>
      <c r="C2" s="204"/>
      <c r="D2" s="204"/>
      <c r="E2" s="204"/>
      <c r="F2" s="204"/>
    </row>
    <row r="3" spans="1:10" ht="14.4" customHeight="1" x14ac:dyDescent="0.3">
      <c r="A3" s="490"/>
      <c r="B3" s="200">
        <v>2015</v>
      </c>
      <c r="C3" s="44">
        <v>2016</v>
      </c>
      <c r="D3" s="11"/>
      <c r="E3" s="494">
        <v>2017</v>
      </c>
      <c r="F3" s="495"/>
      <c r="G3" s="495"/>
      <c r="H3" s="496"/>
      <c r="I3" s="497">
        <v>2017</v>
      </c>
      <c r="J3" s="498"/>
    </row>
    <row r="4" spans="1:10" ht="14.4" customHeight="1" thickBot="1" x14ac:dyDescent="0.35">
      <c r="A4" s="491"/>
      <c r="B4" s="492" t="s">
        <v>81</v>
      </c>
      <c r="C4" s="493"/>
      <c r="D4" s="11"/>
      <c r="E4" s="221" t="s">
        <v>81</v>
      </c>
      <c r="F4" s="202" t="s">
        <v>82</v>
      </c>
      <c r="G4" s="202" t="s">
        <v>56</v>
      </c>
      <c r="H4" s="203" t="s">
        <v>83</v>
      </c>
      <c r="I4" s="470" t="s">
        <v>310</v>
      </c>
      <c r="J4" s="471" t="s">
        <v>311</v>
      </c>
    </row>
    <row r="5" spans="1:10" ht="14.4" customHeight="1" x14ac:dyDescent="0.3">
      <c r="A5" s="205" t="str">
        <f>HYPERLINK("#'Léky Žádanky'!A1","Léky (Kč)")</f>
        <v>Léky (Kč)</v>
      </c>
      <c r="B5" s="31">
        <v>1276.5313300000021</v>
      </c>
      <c r="C5" s="33">
        <v>1099.90039</v>
      </c>
      <c r="D5" s="12"/>
      <c r="E5" s="210">
        <v>2409.2264399999999</v>
      </c>
      <c r="F5" s="32">
        <v>1908.6787925371666</v>
      </c>
      <c r="G5" s="209">
        <f>E5-F5</f>
        <v>500.54764746283331</v>
      </c>
      <c r="H5" s="215">
        <f>IF(F5&lt;0.00000001,"",E5/F5)</f>
        <v>1.2622482365393004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592.07974000000104</v>
      </c>
      <c r="C6" s="35">
        <v>622.16566999999998</v>
      </c>
      <c r="D6" s="12"/>
      <c r="E6" s="211">
        <v>835.42597000000001</v>
      </c>
      <c r="F6" s="34">
        <v>782.95498513486837</v>
      </c>
      <c r="G6" s="212">
        <f>E6-F6</f>
        <v>52.470984865131641</v>
      </c>
      <c r="H6" s="216">
        <f>IF(F6&lt;0.00000001,"",E6/F6)</f>
        <v>1.0670166048640628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5187.4665000000095</v>
      </c>
      <c r="C7" s="35">
        <v>6422.07989</v>
      </c>
      <c r="D7" s="12"/>
      <c r="E7" s="211">
        <v>7176.3363200000003</v>
      </c>
      <c r="F7" s="34">
        <v>7321.833333333333</v>
      </c>
      <c r="G7" s="212">
        <f>E7-F7</f>
        <v>-145.49701333333269</v>
      </c>
      <c r="H7" s="216">
        <f>IF(F7&lt;0.00000001,"",E7/F7)</f>
        <v>0.98012833579932179</v>
      </c>
    </row>
    <row r="8" spans="1:10" ht="14.4" customHeight="1" thickBot="1" x14ac:dyDescent="0.35">
      <c r="A8" s="1" t="s">
        <v>84</v>
      </c>
      <c r="B8" s="15">
        <v>1105.8929099999973</v>
      </c>
      <c r="C8" s="37">
        <v>1396.5094200000003</v>
      </c>
      <c r="D8" s="12"/>
      <c r="E8" s="213">
        <v>1446.4445899999998</v>
      </c>
      <c r="F8" s="36">
        <v>1846.6351070082001</v>
      </c>
      <c r="G8" s="214">
        <f>E8-F8</f>
        <v>-400.19051700820023</v>
      </c>
      <c r="H8" s="217">
        <f>IF(F8&lt;0.00000001,"",E8/F8)</f>
        <v>0.78328663010389565</v>
      </c>
    </row>
    <row r="9" spans="1:10" ht="14.4" customHeight="1" thickBot="1" x14ac:dyDescent="0.35">
      <c r="A9" s="2" t="s">
        <v>85</v>
      </c>
      <c r="B9" s="3">
        <v>8161.970480000009</v>
      </c>
      <c r="C9" s="39">
        <v>9540.6553700000004</v>
      </c>
      <c r="D9" s="12"/>
      <c r="E9" s="3">
        <v>11867.43332</v>
      </c>
      <c r="F9" s="38">
        <v>11860.102218013568</v>
      </c>
      <c r="G9" s="38">
        <f>E9-F9</f>
        <v>7.3311019864322589</v>
      </c>
      <c r="H9" s="218">
        <f>IF(F9&lt;0.00000001,"",E9/F9)</f>
        <v>1.0006181314335805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609.36</v>
      </c>
      <c r="C12" s="37">
        <f>IF(ISERROR(VLOOKUP("Celkem",CaseMix!A:D,3,0)),0,VLOOKUP("Celkem",CaseMix!A:D,3,0)*30)</f>
        <v>2654.43</v>
      </c>
      <c r="D12" s="12"/>
      <c r="E12" s="213">
        <f>IF(ISERROR(VLOOKUP("Celkem",CaseMix!A:D,4,0)),0,VLOOKUP("Celkem",CaseMix!A:D,4,0)*30)</f>
        <v>1593.84</v>
      </c>
      <c r="F12" s="36">
        <f>C12</f>
        <v>2654.43</v>
      </c>
      <c r="G12" s="214">
        <f>E12-F12</f>
        <v>-1060.5899999999999</v>
      </c>
      <c r="H12" s="217">
        <f>IF(F12&lt;0.00000001,"",E12/F12)</f>
        <v>0.60044529333981311</v>
      </c>
      <c r="I12" s="214">
        <f>E12-B12</f>
        <v>984.4799999999999</v>
      </c>
      <c r="J12" s="217">
        <f>IF(B12&lt;0.00000001,"",E12/B12)</f>
        <v>2.6155966916108704</v>
      </c>
    </row>
    <row r="13" spans="1:10" ht="14.4" customHeight="1" thickBot="1" x14ac:dyDescent="0.35">
      <c r="A13" s="4" t="s">
        <v>88</v>
      </c>
      <c r="B13" s="9">
        <f>SUM(B11:B12)</f>
        <v>609.36</v>
      </c>
      <c r="C13" s="41">
        <f>SUM(C11:C12)</f>
        <v>2654.43</v>
      </c>
      <c r="D13" s="12"/>
      <c r="E13" s="9">
        <f>SUM(E11:E12)</f>
        <v>1593.84</v>
      </c>
      <c r="F13" s="40">
        <f>SUM(F11:F12)</f>
        <v>2654.43</v>
      </c>
      <c r="G13" s="40">
        <f>E13-F13</f>
        <v>-1060.5899999999999</v>
      </c>
      <c r="H13" s="219">
        <f>IF(F13&lt;0.00000001,"",E13/F13)</f>
        <v>0.60044529333981311</v>
      </c>
      <c r="I13" s="40">
        <f>SUM(I11:I12)</f>
        <v>984.4799999999999</v>
      </c>
      <c r="J13" s="219">
        <f>IF(B13&lt;0.00000001,"",E13/B13)</f>
        <v>2.6155966916108704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7.4658442038373962E-2</v>
      </c>
      <c r="C15" s="43">
        <f>IF(C9=0,"",C13/C9)</f>
        <v>0.27822302525953202</v>
      </c>
      <c r="D15" s="12"/>
      <c r="E15" s="10">
        <f>IF(E9=0,"",E13/E9)</f>
        <v>0.13430368277813926</v>
      </c>
      <c r="F15" s="42">
        <f>IF(F9=0,"",F13/F9)</f>
        <v>0.2238117303886599</v>
      </c>
      <c r="G15" s="42">
        <f>IF(ISERROR(F15-E15),"",E15-F15)</f>
        <v>-8.9508047610520641E-2</v>
      </c>
      <c r="H15" s="220">
        <f>IF(ISERROR(F15-E15),"",IF(F15&lt;0.00000001,"",E15/F15))</f>
        <v>0.60007436851015095</v>
      </c>
    </row>
    <row r="17" spans="1:8" ht="14.4" customHeight="1" x14ac:dyDescent="0.3">
      <c r="A17" s="206" t="s">
        <v>177</v>
      </c>
    </row>
    <row r="18" spans="1:8" ht="14.4" customHeight="1" x14ac:dyDescent="0.3">
      <c r="A18" s="406" t="s">
        <v>217</v>
      </c>
      <c r="B18" s="407"/>
      <c r="C18" s="407"/>
      <c r="D18" s="407"/>
      <c r="E18" s="407"/>
      <c r="F18" s="407"/>
      <c r="G18" s="407"/>
      <c r="H18" s="407"/>
    </row>
    <row r="19" spans="1:8" x14ac:dyDescent="0.3">
      <c r="A19" s="405" t="s">
        <v>216</v>
      </c>
      <c r="B19" s="407"/>
      <c r="C19" s="407"/>
      <c r="D19" s="407"/>
      <c r="E19" s="407"/>
      <c r="F19" s="407"/>
      <c r="G19" s="407"/>
      <c r="H19" s="407"/>
    </row>
    <row r="20" spans="1:8" ht="14.4" customHeight="1" x14ac:dyDescent="0.3">
      <c r="A20" s="207" t="s">
        <v>266</v>
      </c>
    </row>
    <row r="21" spans="1:8" ht="14.4" customHeight="1" x14ac:dyDescent="0.3">
      <c r="A21" s="207" t="s">
        <v>178</v>
      </c>
    </row>
    <row r="22" spans="1:8" ht="14.4" customHeight="1" x14ac:dyDescent="0.3">
      <c r="A22" s="208" t="s">
        <v>309</v>
      </c>
    </row>
    <row r="23" spans="1:8" ht="14.4" customHeight="1" x14ac:dyDescent="0.3">
      <c r="A23" s="208" t="s">
        <v>179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8" operator="greaterThan">
      <formula>0</formula>
    </cfRule>
  </conditionalFormatting>
  <conditionalFormatting sqref="G11:G13 G15">
    <cfRule type="cellIs" dxfId="68" priority="7" operator="lessThan">
      <formula>0</formula>
    </cfRule>
  </conditionalFormatting>
  <conditionalFormatting sqref="H5:H9">
    <cfRule type="cellIs" dxfId="67" priority="6" operator="greaterThan">
      <formula>1</formula>
    </cfRule>
  </conditionalFormatting>
  <conditionalFormatting sqref="H11:H13 H15">
    <cfRule type="cellIs" dxfId="66" priority="5" operator="lessThan">
      <formula>1</formula>
    </cfRule>
  </conditionalFormatting>
  <conditionalFormatting sqref="I11:I13">
    <cfRule type="cellIs" dxfId="65" priority="4" operator="lessThan">
      <formula>0</formula>
    </cfRule>
  </conditionalFormatting>
  <conditionalFormatting sqref="J11:J13">
    <cfRule type="cellIs" dxfId="6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8" t="s">
        <v>115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</row>
    <row r="2" spans="1:13" ht="14.4" customHeight="1" x14ac:dyDescent="0.3">
      <c r="A2" s="351" t="s">
        <v>322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90</v>
      </c>
      <c r="C3" s="303" t="s">
        <v>91</v>
      </c>
      <c r="D3" s="303" t="s">
        <v>92</v>
      </c>
      <c r="E3" s="302" t="s">
        <v>93</v>
      </c>
      <c r="F3" s="303" t="s">
        <v>94</v>
      </c>
      <c r="G3" s="303" t="s">
        <v>95</v>
      </c>
      <c r="H3" s="303" t="s">
        <v>96</v>
      </c>
      <c r="I3" s="303" t="s">
        <v>97</v>
      </c>
      <c r="J3" s="303" t="s">
        <v>98</v>
      </c>
      <c r="K3" s="303" t="s">
        <v>99</v>
      </c>
      <c r="L3" s="303" t="s">
        <v>100</v>
      </c>
      <c r="M3" s="303" t="s">
        <v>101</v>
      </c>
    </row>
    <row r="4" spans="1:13" ht="14.4" customHeight="1" x14ac:dyDescent="0.3">
      <c r="A4" s="301" t="s">
        <v>89</v>
      </c>
      <c r="B4" s="304">
        <f>(B10+B8)/B6</f>
        <v>0.10915317801177141</v>
      </c>
      <c r="C4" s="304">
        <f t="shared" ref="C4:M4" si="0">(C10+C8)/C6</f>
        <v>0.13430368277813926</v>
      </c>
      <c r="D4" s="304">
        <f t="shared" si="0"/>
        <v>0</v>
      </c>
      <c r="E4" s="304">
        <f t="shared" si="0"/>
        <v>0</v>
      </c>
      <c r="F4" s="304">
        <f t="shared" si="0"/>
        <v>0</v>
      </c>
      <c r="G4" s="304">
        <f t="shared" si="0"/>
        <v>0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6290.6093300000002</v>
      </c>
      <c r="C5" s="304">
        <f>IF(ISERROR(VLOOKUP($A5,'Man Tab'!$A:$Q,COLUMN()+2,0)),0,VLOOKUP($A5,'Man Tab'!$A:$Q,COLUMN()+2,0))</f>
        <v>5576.8239899999999</v>
      </c>
      <c r="D5" s="304">
        <f>IF(ISERROR(VLOOKUP($A5,'Man Tab'!$A:$Q,COLUMN()+2,0)),0,VLOOKUP($A5,'Man Tab'!$A:$Q,COLUMN()+2,0))</f>
        <v>0</v>
      </c>
      <c r="E5" s="304">
        <f>IF(ISERROR(VLOOKUP($A5,'Man Tab'!$A:$Q,COLUMN()+2,0)),0,VLOOKUP($A5,'Man Tab'!$A:$Q,COLUMN()+2,0))</f>
        <v>0</v>
      </c>
      <c r="F5" s="304">
        <f>IF(ISERROR(VLOOKUP($A5,'Man Tab'!$A:$Q,COLUMN()+2,0)),0,VLOOKUP($A5,'Man Tab'!$A:$Q,COLUMN()+2,0))</f>
        <v>0</v>
      </c>
      <c r="G5" s="304">
        <f>IF(ISERROR(VLOOKUP($A5,'Man Tab'!$A:$Q,COLUMN()+2,0)),0,VLOOKUP($A5,'Man Tab'!$A:$Q,COLUMN()+2,0))</f>
        <v>0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85</v>
      </c>
      <c r="B6" s="306">
        <f>B5</f>
        <v>6290.6093300000002</v>
      </c>
      <c r="C6" s="306">
        <f t="shared" ref="C6:M6" si="1">C5+B6</f>
        <v>11867.43332</v>
      </c>
      <c r="D6" s="306">
        <f t="shared" si="1"/>
        <v>11867.43332</v>
      </c>
      <c r="E6" s="306">
        <f t="shared" si="1"/>
        <v>11867.43332</v>
      </c>
      <c r="F6" s="306">
        <f t="shared" si="1"/>
        <v>11867.43332</v>
      </c>
      <c r="G6" s="306">
        <f t="shared" si="1"/>
        <v>11867.43332</v>
      </c>
      <c r="H6" s="306">
        <f t="shared" si="1"/>
        <v>11867.43332</v>
      </c>
      <c r="I6" s="306">
        <f t="shared" si="1"/>
        <v>11867.43332</v>
      </c>
      <c r="J6" s="306">
        <f t="shared" si="1"/>
        <v>11867.43332</v>
      </c>
      <c r="K6" s="306">
        <f t="shared" si="1"/>
        <v>11867.43332</v>
      </c>
      <c r="L6" s="306">
        <f t="shared" si="1"/>
        <v>11867.43332</v>
      </c>
      <c r="M6" s="306">
        <f t="shared" si="1"/>
        <v>11867.43332</v>
      </c>
    </row>
    <row r="7" spans="1:13" ht="14.4" customHeight="1" x14ac:dyDescent="0.3">
      <c r="A7" s="305" t="s">
        <v>113</v>
      </c>
      <c r="B7" s="305">
        <v>22.888000000000002</v>
      </c>
      <c r="C7" s="305">
        <v>53.128</v>
      </c>
      <c r="D7" s="305"/>
      <c r="E7" s="305"/>
      <c r="F7" s="305"/>
      <c r="G7" s="305"/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86</v>
      </c>
      <c r="B8" s="306">
        <f>B7*30</f>
        <v>686.6400000000001</v>
      </c>
      <c r="C8" s="306">
        <f t="shared" ref="C8:M8" si="2">C7*30</f>
        <v>1593.84</v>
      </c>
      <c r="D8" s="306">
        <f t="shared" si="2"/>
        <v>0</v>
      </c>
      <c r="E8" s="306">
        <f t="shared" si="2"/>
        <v>0</v>
      </c>
      <c r="F8" s="306">
        <f t="shared" si="2"/>
        <v>0</v>
      </c>
      <c r="G8" s="306">
        <f t="shared" si="2"/>
        <v>0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114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87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103</v>
      </c>
      <c r="C11" s="301">
        <f ca="1">IF(MONTH(TODAY())=1,12,MONTH(TODAY())-1)</f>
        <v>2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0.2238117303886599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0.2238117303886599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500" t="s">
        <v>324</v>
      </c>
      <c r="B1" s="500"/>
      <c r="C1" s="500"/>
      <c r="D1" s="500"/>
      <c r="E1" s="500"/>
      <c r="F1" s="500"/>
      <c r="G1" s="500"/>
      <c r="H1" s="488"/>
      <c r="I1" s="488"/>
      <c r="J1" s="488"/>
      <c r="K1" s="488"/>
      <c r="L1" s="488"/>
      <c r="M1" s="488"/>
      <c r="N1" s="488"/>
      <c r="O1" s="488"/>
      <c r="P1" s="488"/>
      <c r="Q1" s="488"/>
    </row>
    <row r="2" spans="1:17" s="307" customFormat="1" ht="14.4" customHeight="1" thickBot="1" x14ac:dyDescent="0.3">
      <c r="A2" s="351" t="s">
        <v>322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501" t="s">
        <v>16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240"/>
      <c r="Q3" s="242"/>
    </row>
    <row r="4" spans="1:17" ht="14.4" customHeight="1" x14ac:dyDescent="0.3">
      <c r="A4" s="93"/>
      <c r="B4" s="24">
        <v>2017</v>
      </c>
      <c r="C4" s="241" t="s">
        <v>17</v>
      </c>
      <c r="D4" s="445" t="s">
        <v>278</v>
      </c>
      <c r="E4" s="445" t="s">
        <v>279</v>
      </c>
      <c r="F4" s="445" t="s">
        <v>280</v>
      </c>
      <c r="G4" s="445" t="s">
        <v>281</v>
      </c>
      <c r="H4" s="445" t="s">
        <v>282</v>
      </c>
      <c r="I4" s="445" t="s">
        <v>283</v>
      </c>
      <c r="J4" s="445" t="s">
        <v>284</v>
      </c>
      <c r="K4" s="445" t="s">
        <v>285</v>
      </c>
      <c r="L4" s="445" t="s">
        <v>286</v>
      </c>
      <c r="M4" s="445" t="s">
        <v>287</v>
      </c>
      <c r="N4" s="445" t="s">
        <v>288</v>
      </c>
      <c r="O4" s="445" t="s">
        <v>289</v>
      </c>
      <c r="P4" s="503" t="s">
        <v>3</v>
      </c>
      <c r="Q4" s="504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323</v>
      </c>
    </row>
    <row r="7" spans="1:17" ht="14.4" customHeight="1" x14ac:dyDescent="0.3">
      <c r="A7" s="19" t="s">
        <v>22</v>
      </c>
      <c r="B7" s="55">
        <v>11452.072755223</v>
      </c>
      <c r="C7" s="56">
        <v>954.33939626858501</v>
      </c>
      <c r="D7" s="56">
        <v>1471.5908400000001</v>
      </c>
      <c r="E7" s="56">
        <v>937.63559999999995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2409.2264399999999</v>
      </c>
      <c r="Q7" s="170">
        <v>1.262248236539</v>
      </c>
    </row>
    <row r="8" spans="1:17" ht="14.4" customHeight="1" x14ac:dyDescent="0.3">
      <c r="A8" s="19" t="s">
        <v>23</v>
      </c>
      <c r="B8" s="55">
        <v>6052.8870346389103</v>
      </c>
      <c r="C8" s="56">
        <v>504.40725288657598</v>
      </c>
      <c r="D8" s="56">
        <v>380.01299999999998</v>
      </c>
      <c r="E8" s="56">
        <v>281.10000000000002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661.11300000000006</v>
      </c>
      <c r="Q8" s="170">
        <v>0.65533653235199996</v>
      </c>
    </row>
    <row r="9" spans="1:17" ht="14.4" customHeight="1" x14ac:dyDescent="0.3">
      <c r="A9" s="19" t="s">
        <v>24</v>
      </c>
      <c r="B9" s="55">
        <v>4697.7299108092102</v>
      </c>
      <c r="C9" s="56">
        <v>391.47749256743401</v>
      </c>
      <c r="D9" s="56">
        <v>411.25175999999999</v>
      </c>
      <c r="E9" s="56">
        <v>424.17421000000002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835.42597000000001</v>
      </c>
      <c r="Q9" s="170">
        <v>1.067016604864</v>
      </c>
    </row>
    <row r="10" spans="1:17" ht="14.4" customHeight="1" x14ac:dyDescent="0.3">
      <c r="A10" s="19" t="s">
        <v>25</v>
      </c>
      <c r="B10" s="55">
        <v>66.321911945281997</v>
      </c>
      <c r="C10" s="56">
        <v>5.5268259954400003</v>
      </c>
      <c r="D10" s="56">
        <v>7.1603500000000002</v>
      </c>
      <c r="E10" s="56">
        <v>3.4470100000000001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10.60736</v>
      </c>
      <c r="Q10" s="170">
        <v>0.95962492837199997</v>
      </c>
    </row>
    <row r="11" spans="1:17" ht="14.4" customHeight="1" x14ac:dyDescent="0.3">
      <c r="A11" s="19" t="s">
        <v>26</v>
      </c>
      <c r="B11" s="55">
        <v>482.40369210129899</v>
      </c>
      <c r="C11" s="56">
        <v>40.200307675108</v>
      </c>
      <c r="D11" s="56">
        <v>34.075679999999998</v>
      </c>
      <c r="E11" s="56">
        <v>40.740200000000002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74.815880000000007</v>
      </c>
      <c r="Q11" s="170">
        <v>0.93053864916399998</v>
      </c>
    </row>
    <row r="12" spans="1:17" ht="14.4" customHeight="1" x14ac:dyDescent="0.3">
      <c r="A12" s="19" t="s">
        <v>27</v>
      </c>
      <c r="B12" s="55">
        <v>260.93503331185599</v>
      </c>
      <c r="C12" s="56">
        <v>21.744586109320998</v>
      </c>
      <c r="D12" s="56">
        <v>3.1919999999999997E-2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3.1919999999999997E-2</v>
      </c>
      <c r="Q12" s="170">
        <v>7.3397580000000005E-4</v>
      </c>
    </row>
    <row r="13" spans="1:17" ht="14.4" customHeight="1" x14ac:dyDescent="0.3">
      <c r="A13" s="19" t="s">
        <v>28</v>
      </c>
      <c r="B13" s="55">
        <v>278.55983442335997</v>
      </c>
      <c r="C13" s="56">
        <v>23.21331953528</v>
      </c>
      <c r="D13" s="56">
        <v>14.18704</v>
      </c>
      <c r="E13" s="56">
        <v>8.4786099999999998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22.665649999999999</v>
      </c>
      <c r="Q13" s="170">
        <v>0.48820354981000003</v>
      </c>
    </row>
    <row r="14" spans="1:17" ht="14.4" customHeight="1" x14ac:dyDescent="0.3">
      <c r="A14" s="19" t="s">
        <v>29</v>
      </c>
      <c r="B14" s="55">
        <v>302.25195330528999</v>
      </c>
      <c r="C14" s="56">
        <v>25.18766277544</v>
      </c>
      <c r="D14" s="56">
        <v>39.463000000000001</v>
      </c>
      <c r="E14" s="56">
        <v>31.300999999999998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70.763999999999996</v>
      </c>
      <c r="Q14" s="170">
        <v>1.4047353387029999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323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323</v>
      </c>
    </row>
    <row r="17" spans="1:17" ht="14.4" customHeight="1" x14ac:dyDescent="0.3">
      <c r="A17" s="19" t="s">
        <v>32</v>
      </c>
      <c r="B17" s="55">
        <v>746.73813139167498</v>
      </c>
      <c r="C17" s="56">
        <v>62.228177615973003</v>
      </c>
      <c r="D17" s="56">
        <v>44.842010000000002</v>
      </c>
      <c r="E17" s="56">
        <v>83.275400000000005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128.11741000000001</v>
      </c>
      <c r="Q17" s="170">
        <v>1.0294163746089999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0.90700000000000003</v>
      </c>
      <c r="E18" s="56">
        <v>38.023000000000003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38.93</v>
      </c>
      <c r="Q18" s="170" t="s">
        <v>323</v>
      </c>
    </row>
    <row r="19" spans="1:17" ht="14.4" customHeight="1" x14ac:dyDescent="0.3">
      <c r="A19" s="19" t="s">
        <v>34</v>
      </c>
      <c r="B19" s="55">
        <v>1025.71305093148</v>
      </c>
      <c r="C19" s="56">
        <v>85.476087577623005</v>
      </c>
      <c r="D19" s="56">
        <v>66.064300000000003</v>
      </c>
      <c r="E19" s="56">
        <v>48.62079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114.68509</v>
      </c>
      <c r="Q19" s="170">
        <v>0.67086066553900003</v>
      </c>
    </row>
    <row r="20" spans="1:17" ht="14.4" customHeight="1" x14ac:dyDescent="0.3">
      <c r="A20" s="19" t="s">
        <v>35</v>
      </c>
      <c r="B20" s="55">
        <v>43931</v>
      </c>
      <c r="C20" s="56">
        <v>3660.9166666666702</v>
      </c>
      <c r="D20" s="56">
        <v>3669.9090900000001</v>
      </c>
      <c r="E20" s="56">
        <v>3506.4272299999998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7176.3363200000003</v>
      </c>
      <c r="Q20" s="170">
        <v>0.98012833579900005</v>
      </c>
    </row>
    <row r="21" spans="1:17" ht="14.4" customHeight="1" x14ac:dyDescent="0.3">
      <c r="A21" s="20" t="s">
        <v>36</v>
      </c>
      <c r="B21" s="55">
        <v>1884</v>
      </c>
      <c r="C21" s="56">
        <v>157</v>
      </c>
      <c r="D21" s="56">
        <v>151.113</v>
      </c>
      <c r="E21" s="56">
        <v>144.50200000000001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295.61500000000001</v>
      </c>
      <c r="Q21" s="170">
        <v>0.94144904458500001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70" t="s">
        <v>323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323</v>
      </c>
    </row>
    <row r="24" spans="1:17" ht="14.4" customHeight="1" x14ac:dyDescent="0.3">
      <c r="A24" s="20" t="s">
        <v>39</v>
      </c>
      <c r="B24" s="55">
        <v>-1.45519152283669E-11</v>
      </c>
      <c r="C24" s="56">
        <v>-9.0949470177292804E-13</v>
      </c>
      <c r="D24" s="56">
        <v>3.4000000000000002E-4</v>
      </c>
      <c r="E24" s="56">
        <v>29.098939999997999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29.099279999998998</v>
      </c>
      <c r="Q24" s="170">
        <v>-11998123769965.9</v>
      </c>
    </row>
    <row r="25" spans="1:17" ht="14.4" customHeight="1" x14ac:dyDescent="0.3">
      <c r="A25" s="21" t="s">
        <v>40</v>
      </c>
      <c r="B25" s="58">
        <v>71180.613308081403</v>
      </c>
      <c r="C25" s="59">
        <v>5931.71777567345</v>
      </c>
      <c r="D25" s="59">
        <v>6290.6093300000002</v>
      </c>
      <c r="E25" s="59">
        <v>5576.8239899999999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11867.43332</v>
      </c>
      <c r="Q25" s="171">
        <v>1.0003369823720001</v>
      </c>
    </row>
    <row r="26" spans="1:17" ht="14.4" customHeight="1" x14ac:dyDescent="0.3">
      <c r="A26" s="19" t="s">
        <v>41</v>
      </c>
      <c r="B26" s="55">
        <v>0</v>
      </c>
      <c r="C26" s="56">
        <v>0</v>
      </c>
      <c r="D26" s="56">
        <v>684.27739999999994</v>
      </c>
      <c r="E26" s="56">
        <v>681.55605000000003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1365.8334500000001</v>
      </c>
      <c r="Q26" s="170" t="s">
        <v>323</v>
      </c>
    </row>
    <row r="27" spans="1:17" ht="14.4" customHeight="1" x14ac:dyDescent="0.3">
      <c r="A27" s="22" t="s">
        <v>42</v>
      </c>
      <c r="B27" s="58">
        <v>71180.613308081403</v>
      </c>
      <c r="C27" s="59">
        <v>5931.71777567345</v>
      </c>
      <c r="D27" s="59">
        <v>6974.8867300000002</v>
      </c>
      <c r="E27" s="59">
        <v>6258.38004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13233.26677</v>
      </c>
      <c r="Q27" s="171">
        <v>1.1154666548929999</v>
      </c>
    </row>
    <row r="28" spans="1:17" ht="14.4" customHeight="1" x14ac:dyDescent="0.3">
      <c r="A28" s="20" t="s">
        <v>43</v>
      </c>
      <c r="B28" s="55">
        <v>0.45669018547099999</v>
      </c>
      <c r="C28" s="56">
        <v>3.8057515455000003E-2</v>
      </c>
      <c r="D28" s="56">
        <v>0</v>
      </c>
      <c r="E28" s="56">
        <v>0.39337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0.39337</v>
      </c>
      <c r="Q28" s="170">
        <v>5.1680988010820004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323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10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323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290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500" t="s">
        <v>48</v>
      </c>
      <c r="B1" s="500"/>
      <c r="C1" s="500"/>
      <c r="D1" s="500"/>
      <c r="E1" s="500"/>
      <c r="F1" s="500"/>
      <c r="G1" s="500"/>
      <c r="H1" s="505"/>
      <c r="I1" s="505"/>
      <c r="J1" s="505"/>
      <c r="K1" s="505"/>
    </row>
    <row r="2" spans="1:11" s="64" customFormat="1" ht="14.4" customHeight="1" thickBot="1" x14ac:dyDescent="0.35">
      <c r="A2" s="351" t="s">
        <v>322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501" t="s">
        <v>49</v>
      </c>
      <c r="C3" s="502"/>
      <c r="D3" s="502"/>
      <c r="E3" s="502"/>
      <c r="F3" s="508" t="s">
        <v>50</v>
      </c>
      <c r="G3" s="502"/>
      <c r="H3" s="502"/>
      <c r="I3" s="502"/>
      <c r="J3" s="502"/>
      <c r="K3" s="509"/>
    </row>
    <row r="4" spans="1:11" ht="14.4" customHeight="1" x14ac:dyDescent="0.3">
      <c r="A4" s="93"/>
      <c r="B4" s="506"/>
      <c r="C4" s="507"/>
      <c r="D4" s="507"/>
      <c r="E4" s="507"/>
      <c r="F4" s="510" t="s">
        <v>291</v>
      </c>
      <c r="G4" s="512" t="s">
        <v>51</v>
      </c>
      <c r="H4" s="243" t="s">
        <v>164</v>
      </c>
      <c r="I4" s="510" t="s">
        <v>52</v>
      </c>
      <c r="J4" s="512" t="s">
        <v>301</v>
      </c>
      <c r="K4" s="513" t="s">
        <v>292</v>
      </c>
    </row>
    <row r="5" spans="1:11" ht="42" thickBot="1" x14ac:dyDescent="0.35">
      <c r="A5" s="94"/>
      <c r="B5" s="28" t="s">
        <v>294</v>
      </c>
      <c r="C5" s="29" t="s">
        <v>295</v>
      </c>
      <c r="D5" s="30" t="s">
        <v>296</v>
      </c>
      <c r="E5" s="30" t="s">
        <v>297</v>
      </c>
      <c r="F5" s="511"/>
      <c r="G5" s="511"/>
      <c r="H5" s="29" t="s">
        <v>293</v>
      </c>
      <c r="I5" s="511"/>
      <c r="J5" s="511"/>
      <c r="K5" s="514"/>
    </row>
    <row r="6" spans="1:11" ht="14.4" customHeight="1" thickBot="1" x14ac:dyDescent="0.35">
      <c r="A6" s="632" t="s">
        <v>325</v>
      </c>
      <c r="B6" s="614">
        <v>61301.105177258702</v>
      </c>
      <c r="C6" s="614">
        <v>67678.415850000005</v>
      </c>
      <c r="D6" s="615">
        <v>6377.3106727413297</v>
      </c>
      <c r="E6" s="616">
        <v>1.104032556253</v>
      </c>
      <c r="F6" s="614">
        <v>71180.613308081403</v>
      </c>
      <c r="G6" s="615">
        <v>11863.4355513469</v>
      </c>
      <c r="H6" s="617">
        <v>5576.8239899999999</v>
      </c>
      <c r="I6" s="614">
        <v>11867.43332</v>
      </c>
      <c r="J6" s="615">
        <v>3.9977686531029999</v>
      </c>
      <c r="K6" s="618">
        <v>0.16672283039499999</v>
      </c>
    </row>
    <row r="7" spans="1:11" ht="14.4" customHeight="1" thickBot="1" x14ac:dyDescent="0.35">
      <c r="A7" s="633" t="s">
        <v>326</v>
      </c>
      <c r="B7" s="614">
        <v>18974.7907705006</v>
      </c>
      <c r="C7" s="614">
        <v>20790.69284</v>
      </c>
      <c r="D7" s="615">
        <v>1815.9020694993701</v>
      </c>
      <c r="E7" s="616">
        <v>1.09570076906</v>
      </c>
      <c r="F7" s="614">
        <v>23593.162125758201</v>
      </c>
      <c r="G7" s="615">
        <v>3932.1936876263699</v>
      </c>
      <c r="H7" s="617">
        <v>1726.8775700000001</v>
      </c>
      <c r="I7" s="614">
        <v>4084.6514999999999</v>
      </c>
      <c r="J7" s="615">
        <v>152.457812373629</v>
      </c>
      <c r="K7" s="618">
        <v>0.17312861574999999</v>
      </c>
    </row>
    <row r="8" spans="1:11" ht="14.4" customHeight="1" thickBot="1" x14ac:dyDescent="0.35">
      <c r="A8" s="634" t="s">
        <v>327</v>
      </c>
      <c r="B8" s="614">
        <v>18670.105127699298</v>
      </c>
      <c r="C8" s="614">
        <v>20491.690839999999</v>
      </c>
      <c r="D8" s="615">
        <v>1821.5857123006699</v>
      </c>
      <c r="E8" s="616">
        <v>1.097566976717</v>
      </c>
      <c r="F8" s="614">
        <v>23290.910172452899</v>
      </c>
      <c r="G8" s="615">
        <v>3881.8183620754899</v>
      </c>
      <c r="H8" s="617">
        <v>1695.5765699999999</v>
      </c>
      <c r="I8" s="614">
        <v>4013.8874999999998</v>
      </c>
      <c r="J8" s="615">
        <v>132.06913792450999</v>
      </c>
      <c r="K8" s="618">
        <v>0.17233708216099999</v>
      </c>
    </row>
    <row r="9" spans="1:11" ht="14.4" customHeight="1" thickBot="1" x14ac:dyDescent="0.35">
      <c r="A9" s="635" t="s">
        <v>328</v>
      </c>
      <c r="B9" s="619">
        <v>0</v>
      </c>
      <c r="C9" s="619">
        <v>8.2100000000000003E-3</v>
      </c>
      <c r="D9" s="620">
        <v>8.2100000000000003E-3</v>
      </c>
      <c r="E9" s="621" t="s">
        <v>323</v>
      </c>
      <c r="F9" s="619">
        <v>0</v>
      </c>
      <c r="G9" s="620">
        <v>0</v>
      </c>
      <c r="H9" s="622">
        <v>9.3999999999999997E-4</v>
      </c>
      <c r="I9" s="619">
        <v>1.2800000000000001E-3</v>
      </c>
      <c r="J9" s="620">
        <v>1.2800000000000001E-3</v>
      </c>
      <c r="K9" s="623" t="s">
        <v>323</v>
      </c>
    </row>
    <row r="10" spans="1:11" ht="14.4" customHeight="1" thickBot="1" x14ac:dyDescent="0.35">
      <c r="A10" s="636" t="s">
        <v>329</v>
      </c>
      <c r="B10" s="614">
        <v>0</v>
      </c>
      <c r="C10" s="614">
        <v>8.2100000000000003E-3</v>
      </c>
      <c r="D10" s="615">
        <v>8.2100000000000003E-3</v>
      </c>
      <c r="E10" s="624" t="s">
        <v>323</v>
      </c>
      <c r="F10" s="614">
        <v>0</v>
      </c>
      <c r="G10" s="615">
        <v>0</v>
      </c>
      <c r="H10" s="617">
        <v>9.3999999999999997E-4</v>
      </c>
      <c r="I10" s="614">
        <v>1.2800000000000001E-3</v>
      </c>
      <c r="J10" s="615">
        <v>1.2800000000000001E-3</v>
      </c>
      <c r="K10" s="625" t="s">
        <v>323</v>
      </c>
    </row>
    <row r="11" spans="1:11" ht="14.4" customHeight="1" thickBot="1" x14ac:dyDescent="0.35">
      <c r="A11" s="635" t="s">
        <v>330</v>
      </c>
      <c r="B11" s="619">
        <v>9400.2891524788192</v>
      </c>
      <c r="C11" s="619">
        <v>9973.4979400000102</v>
      </c>
      <c r="D11" s="620">
        <v>573.20878752118904</v>
      </c>
      <c r="E11" s="626">
        <v>1.060977782515</v>
      </c>
      <c r="F11" s="619">
        <v>11452.072755223</v>
      </c>
      <c r="G11" s="620">
        <v>1908.67879253717</v>
      </c>
      <c r="H11" s="622">
        <v>937.63559999999995</v>
      </c>
      <c r="I11" s="619">
        <v>2409.2264399999999</v>
      </c>
      <c r="J11" s="620">
        <v>500.54764746283098</v>
      </c>
      <c r="K11" s="627">
        <v>0.210374706089</v>
      </c>
    </row>
    <row r="12" spans="1:11" ht="14.4" customHeight="1" thickBot="1" x14ac:dyDescent="0.35">
      <c r="A12" s="636" t="s">
        <v>331</v>
      </c>
      <c r="B12" s="614">
        <v>3999.8941597153398</v>
      </c>
      <c r="C12" s="614">
        <v>3783.8091599999998</v>
      </c>
      <c r="D12" s="615">
        <v>-216.08499971533899</v>
      </c>
      <c r="E12" s="616">
        <v>0.94597732062700002</v>
      </c>
      <c r="F12" s="614">
        <v>4731.9898391773304</v>
      </c>
      <c r="G12" s="615">
        <v>788.66497319622204</v>
      </c>
      <c r="H12" s="617">
        <v>325.33557999999999</v>
      </c>
      <c r="I12" s="614">
        <v>1047.7421999999999</v>
      </c>
      <c r="J12" s="615">
        <v>259.07722680377799</v>
      </c>
      <c r="K12" s="618">
        <v>0.22141683215899999</v>
      </c>
    </row>
    <row r="13" spans="1:11" ht="14.4" customHeight="1" thickBot="1" x14ac:dyDescent="0.35">
      <c r="A13" s="636" t="s">
        <v>332</v>
      </c>
      <c r="B13" s="614">
        <v>1613.00013183803</v>
      </c>
      <c r="C13" s="614">
        <v>1581.2873</v>
      </c>
      <c r="D13" s="615">
        <v>-31.712831838027</v>
      </c>
      <c r="E13" s="616">
        <v>0.98033922551300001</v>
      </c>
      <c r="F13" s="614">
        <v>1749.6952657913</v>
      </c>
      <c r="G13" s="615">
        <v>291.615877631883</v>
      </c>
      <c r="H13" s="617">
        <v>141.40654000000001</v>
      </c>
      <c r="I13" s="614">
        <v>302.88288</v>
      </c>
      <c r="J13" s="615">
        <v>11.267002368116</v>
      </c>
      <c r="K13" s="618">
        <v>0.17310607505299999</v>
      </c>
    </row>
    <row r="14" spans="1:11" ht="14.4" customHeight="1" thickBot="1" x14ac:dyDescent="0.35">
      <c r="A14" s="636" t="s">
        <v>333</v>
      </c>
      <c r="B14" s="614">
        <v>343.99993623060999</v>
      </c>
      <c r="C14" s="614">
        <v>172.96305000000001</v>
      </c>
      <c r="D14" s="615">
        <v>-171.03688623061001</v>
      </c>
      <c r="E14" s="616">
        <v>0.50279965715999997</v>
      </c>
      <c r="F14" s="614">
        <v>260.022059268514</v>
      </c>
      <c r="G14" s="615">
        <v>43.337009878084999</v>
      </c>
      <c r="H14" s="617">
        <v>19.699490000000001</v>
      </c>
      <c r="I14" s="614">
        <v>42.808729999999997</v>
      </c>
      <c r="J14" s="615">
        <v>-0.52827987808499999</v>
      </c>
      <c r="K14" s="618">
        <v>0.16463499335500001</v>
      </c>
    </row>
    <row r="15" spans="1:11" ht="14.4" customHeight="1" thickBot="1" x14ac:dyDescent="0.35">
      <c r="A15" s="636" t="s">
        <v>334</v>
      </c>
      <c r="B15" s="614">
        <v>0</v>
      </c>
      <c r="C15" s="614">
        <v>8.8119999999999994</v>
      </c>
      <c r="D15" s="615">
        <v>8.8119999999999994</v>
      </c>
      <c r="E15" s="624" t="s">
        <v>335</v>
      </c>
      <c r="F15" s="614">
        <v>0</v>
      </c>
      <c r="G15" s="615">
        <v>0</v>
      </c>
      <c r="H15" s="617">
        <v>0</v>
      </c>
      <c r="I15" s="614">
        <v>0</v>
      </c>
      <c r="J15" s="615">
        <v>0</v>
      </c>
      <c r="K15" s="625" t="s">
        <v>323</v>
      </c>
    </row>
    <row r="16" spans="1:11" ht="14.4" customHeight="1" thickBot="1" x14ac:dyDescent="0.35">
      <c r="A16" s="636" t="s">
        <v>336</v>
      </c>
      <c r="B16" s="614">
        <v>744.000067167937</v>
      </c>
      <c r="C16" s="614">
        <v>2107.5559600000001</v>
      </c>
      <c r="D16" s="615">
        <v>1363.55589283206</v>
      </c>
      <c r="E16" s="616">
        <v>2.8327362496380002</v>
      </c>
      <c r="F16" s="614">
        <v>2000</v>
      </c>
      <c r="G16" s="615">
        <v>333.33333333333297</v>
      </c>
      <c r="H16" s="617">
        <v>92.222319999999996</v>
      </c>
      <c r="I16" s="614">
        <v>257.83262000000002</v>
      </c>
      <c r="J16" s="615">
        <v>-75.500713333332996</v>
      </c>
      <c r="K16" s="618">
        <v>0.12891631000000001</v>
      </c>
    </row>
    <row r="17" spans="1:11" ht="14.4" customHeight="1" thickBot="1" x14ac:dyDescent="0.35">
      <c r="A17" s="636" t="s">
        <v>337</v>
      </c>
      <c r="B17" s="614">
        <v>350.00003159782</v>
      </c>
      <c r="C17" s="614">
        <v>21.263470000000002</v>
      </c>
      <c r="D17" s="615">
        <v>-328.73656159782001</v>
      </c>
      <c r="E17" s="616">
        <v>6.0752765942999998E-2</v>
      </c>
      <c r="F17" s="614">
        <v>50</v>
      </c>
      <c r="G17" s="615">
        <v>8.333333333333</v>
      </c>
      <c r="H17" s="617">
        <v>0</v>
      </c>
      <c r="I17" s="614">
        <v>0</v>
      </c>
      <c r="J17" s="615">
        <v>-8.333333333333</v>
      </c>
      <c r="K17" s="618">
        <v>0</v>
      </c>
    </row>
    <row r="18" spans="1:11" ht="14.4" customHeight="1" thickBot="1" x14ac:dyDescent="0.35">
      <c r="A18" s="636" t="s">
        <v>338</v>
      </c>
      <c r="B18" s="614">
        <v>1293.2325199664399</v>
      </c>
      <c r="C18" s="614">
        <v>1164.84041</v>
      </c>
      <c r="D18" s="615">
        <v>-128.392109966443</v>
      </c>
      <c r="E18" s="616">
        <v>0.90072001130099999</v>
      </c>
      <c r="F18" s="614">
        <v>1460.8156791537399</v>
      </c>
      <c r="G18" s="615">
        <v>243.46927985895601</v>
      </c>
      <c r="H18" s="617">
        <v>294.74281000000002</v>
      </c>
      <c r="I18" s="614">
        <v>615.52432999999996</v>
      </c>
      <c r="J18" s="615">
        <v>372.05505014104398</v>
      </c>
      <c r="K18" s="618">
        <v>0.42135660150900001</v>
      </c>
    </row>
    <row r="19" spans="1:11" ht="14.4" customHeight="1" thickBot="1" x14ac:dyDescent="0.35">
      <c r="A19" s="636" t="s">
        <v>339</v>
      </c>
      <c r="B19" s="614">
        <v>909.16229269155497</v>
      </c>
      <c r="C19" s="614">
        <v>1004.80948</v>
      </c>
      <c r="D19" s="615">
        <v>95.647187308445993</v>
      </c>
      <c r="E19" s="616">
        <v>1.105203645242</v>
      </c>
      <c r="F19" s="614">
        <v>1069.54991183213</v>
      </c>
      <c r="G19" s="615">
        <v>178.25831863868899</v>
      </c>
      <c r="H19" s="617">
        <v>52.971350000000001</v>
      </c>
      <c r="I19" s="614">
        <v>114.86645</v>
      </c>
      <c r="J19" s="615">
        <v>-63.391868638688997</v>
      </c>
      <c r="K19" s="618">
        <v>0.10739699824100001</v>
      </c>
    </row>
    <row r="20" spans="1:11" ht="14.4" customHeight="1" thickBot="1" x14ac:dyDescent="0.35">
      <c r="A20" s="636" t="s">
        <v>340</v>
      </c>
      <c r="B20" s="614">
        <v>147.00001327108501</v>
      </c>
      <c r="C20" s="614">
        <v>128.15710999999999</v>
      </c>
      <c r="D20" s="615">
        <v>-18.842903271084001</v>
      </c>
      <c r="E20" s="616">
        <v>0.87181699612200003</v>
      </c>
      <c r="F20" s="614">
        <v>130</v>
      </c>
      <c r="G20" s="615">
        <v>21.666666666666</v>
      </c>
      <c r="H20" s="617">
        <v>11.25751</v>
      </c>
      <c r="I20" s="614">
        <v>27.569230000000001</v>
      </c>
      <c r="J20" s="615">
        <v>5.9025633333330001</v>
      </c>
      <c r="K20" s="618">
        <v>0.21207100000000001</v>
      </c>
    </row>
    <row r="21" spans="1:11" ht="14.4" customHeight="1" thickBot="1" x14ac:dyDescent="0.35">
      <c r="A21" s="635" t="s">
        <v>341</v>
      </c>
      <c r="B21" s="619">
        <v>4662.6962705982696</v>
      </c>
      <c r="C21" s="619">
        <v>5841.5079999999998</v>
      </c>
      <c r="D21" s="620">
        <v>1178.81172940173</v>
      </c>
      <c r="E21" s="626">
        <v>1.252817610453</v>
      </c>
      <c r="F21" s="619">
        <v>6052.8870346389103</v>
      </c>
      <c r="G21" s="620">
        <v>1008.81450577315</v>
      </c>
      <c r="H21" s="622">
        <v>281.10000000000002</v>
      </c>
      <c r="I21" s="619">
        <v>661.11300000000006</v>
      </c>
      <c r="J21" s="620">
        <v>-347.70150577315201</v>
      </c>
      <c r="K21" s="627">
        <v>0.10922275539200001</v>
      </c>
    </row>
    <row r="22" spans="1:11" ht="14.4" customHeight="1" thickBot="1" x14ac:dyDescent="0.35">
      <c r="A22" s="636" t="s">
        <v>342</v>
      </c>
      <c r="B22" s="614">
        <v>4101.84861955208</v>
      </c>
      <c r="C22" s="614">
        <v>5196.3580000000002</v>
      </c>
      <c r="D22" s="615">
        <v>1094.50938044792</v>
      </c>
      <c r="E22" s="616">
        <v>1.2668331969219999</v>
      </c>
      <c r="F22" s="614">
        <v>5357.5821639421902</v>
      </c>
      <c r="G22" s="615">
        <v>892.930360657032</v>
      </c>
      <c r="H22" s="617">
        <v>246.57</v>
      </c>
      <c r="I22" s="614">
        <v>595.78499999999997</v>
      </c>
      <c r="J22" s="615">
        <v>-297.14536065703197</v>
      </c>
      <c r="K22" s="618">
        <v>0.11120408082699999</v>
      </c>
    </row>
    <row r="23" spans="1:11" ht="14.4" customHeight="1" thickBot="1" x14ac:dyDescent="0.35">
      <c r="A23" s="636" t="s">
        <v>343</v>
      </c>
      <c r="B23" s="614">
        <v>560.84765104618896</v>
      </c>
      <c r="C23" s="614">
        <v>645.15</v>
      </c>
      <c r="D23" s="615">
        <v>84.302348953809997</v>
      </c>
      <c r="E23" s="616">
        <v>1.15031238661</v>
      </c>
      <c r="F23" s="614">
        <v>695.30487069672199</v>
      </c>
      <c r="G23" s="615">
        <v>115.88414511612</v>
      </c>
      <c r="H23" s="617">
        <v>34.53</v>
      </c>
      <c r="I23" s="614">
        <v>65.328000000000003</v>
      </c>
      <c r="J23" s="615">
        <v>-50.55614511612</v>
      </c>
      <c r="K23" s="618">
        <v>9.3955907332999994E-2</v>
      </c>
    </row>
    <row r="24" spans="1:11" ht="14.4" customHeight="1" thickBot="1" x14ac:dyDescent="0.35">
      <c r="A24" s="635" t="s">
        <v>344</v>
      </c>
      <c r="B24" s="619">
        <v>3910.0003529927899</v>
      </c>
      <c r="C24" s="619">
        <v>3747.9295200000001</v>
      </c>
      <c r="D24" s="620">
        <v>-162.07083299278401</v>
      </c>
      <c r="E24" s="626">
        <v>0.95854966282300003</v>
      </c>
      <c r="F24" s="619">
        <v>4697.7299108092102</v>
      </c>
      <c r="G24" s="620">
        <v>782.95498513486905</v>
      </c>
      <c r="H24" s="622">
        <v>424.17421000000002</v>
      </c>
      <c r="I24" s="619">
        <v>835.42597000000001</v>
      </c>
      <c r="J24" s="620">
        <v>52.470984865131001</v>
      </c>
      <c r="K24" s="627">
        <v>0.17783610081000001</v>
      </c>
    </row>
    <row r="25" spans="1:11" ht="14.4" customHeight="1" thickBot="1" x14ac:dyDescent="0.35">
      <c r="A25" s="636" t="s">
        <v>345</v>
      </c>
      <c r="B25" s="614">
        <v>600.00005416769102</v>
      </c>
      <c r="C25" s="614">
        <v>578.27327000000105</v>
      </c>
      <c r="D25" s="615">
        <v>-21.726784167689999</v>
      </c>
      <c r="E25" s="616">
        <v>0.96378869632200004</v>
      </c>
      <c r="F25" s="614">
        <v>520.37806580690403</v>
      </c>
      <c r="G25" s="615">
        <v>86.729677634484005</v>
      </c>
      <c r="H25" s="617">
        <v>41.971029999999999</v>
      </c>
      <c r="I25" s="614">
        <v>100.57438</v>
      </c>
      <c r="J25" s="615">
        <v>13.844702365516</v>
      </c>
      <c r="K25" s="618">
        <v>0.193271751075</v>
      </c>
    </row>
    <row r="26" spans="1:11" ht="14.4" customHeight="1" thickBot="1" x14ac:dyDescent="0.35">
      <c r="A26" s="636" t="s">
        <v>346</v>
      </c>
      <c r="B26" s="614">
        <v>1.0000000902790001</v>
      </c>
      <c r="C26" s="614">
        <v>0.24743999999999999</v>
      </c>
      <c r="D26" s="615">
        <v>-0.75256009027899995</v>
      </c>
      <c r="E26" s="616">
        <v>0.24743997766100001</v>
      </c>
      <c r="F26" s="614">
        <v>1</v>
      </c>
      <c r="G26" s="615">
        <v>0.166666666666</v>
      </c>
      <c r="H26" s="617">
        <v>0</v>
      </c>
      <c r="I26" s="614">
        <v>0.14349999999999999</v>
      </c>
      <c r="J26" s="615">
        <v>-2.3166666666000001E-2</v>
      </c>
      <c r="K26" s="618">
        <v>0.14349999999999999</v>
      </c>
    </row>
    <row r="27" spans="1:11" ht="14.4" customHeight="1" thickBot="1" x14ac:dyDescent="0.35">
      <c r="A27" s="636" t="s">
        <v>347</v>
      </c>
      <c r="B27" s="614">
        <v>380.00003430620399</v>
      </c>
      <c r="C27" s="614">
        <v>390.47676000000001</v>
      </c>
      <c r="D27" s="615">
        <v>10.476725693796</v>
      </c>
      <c r="E27" s="616">
        <v>1.0275703282840001</v>
      </c>
      <c r="F27" s="614">
        <v>556.35228309926299</v>
      </c>
      <c r="G27" s="615">
        <v>92.725380516542998</v>
      </c>
      <c r="H27" s="617">
        <v>45.026400000000002</v>
      </c>
      <c r="I27" s="614">
        <v>85.858180000000004</v>
      </c>
      <c r="J27" s="615">
        <v>-6.8672005165429999</v>
      </c>
      <c r="K27" s="618">
        <v>0.15432340732300001</v>
      </c>
    </row>
    <row r="28" spans="1:11" ht="14.4" customHeight="1" thickBot="1" x14ac:dyDescent="0.35">
      <c r="A28" s="636" t="s">
        <v>348</v>
      </c>
      <c r="B28" s="614">
        <v>2253.0002033996798</v>
      </c>
      <c r="C28" s="614">
        <v>2071.8252699999998</v>
      </c>
      <c r="D28" s="615">
        <v>-181.174933399678</v>
      </c>
      <c r="E28" s="616">
        <v>0.91958503460100005</v>
      </c>
      <c r="F28" s="614">
        <v>2465.6489489773498</v>
      </c>
      <c r="G28" s="615">
        <v>410.94149149622598</v>
      </c>
      <c r="H28" s="617">
        <v>247.28290000000001</v>
      </c>
      <c r="I28" s="614">
        <v>489.83715000000001</v>
      </c>
      <c r="J28" s="615">
        <v>78.895658503774001</v>
      </c>
      <c r="K28" s="618">
        <v>0.19866459505600001</v>
      </c>
    </row>
    <row r="29" spans="1:11" ht="14.4" customHeight="1" thickBot="1" x14ac:dyDescent="0.35">
      <c r="A29" s="636" t="s">
        <v>349</v>
      </c>
      <c r="B29" s="614">
        <v>90.000008125153002</v>
      </c>
      <c r="C29" s="614">
        <v>116.51282</v>
      </c>
      <c r="D29" s="615">
        <v>26.512811874846001</v>
      </c>
      <c r="E29" s="616">
        <v>1.2945867720140001</v>
      </c>
      <c r="F29" s="614">
        <v>205.20152863258801</v>
      </c>
      <c r="G29" s="615">
        <v>34.200254772097999</v>
      </c>
      <c r="H29" s="617">
        <v>16.616700000000002</v>
      </c>
      <c r="I29" s="614">
        <v>44.694800000000001</v>
      </c>
      <c r="J29" s="615">
        <v>10.494545227902</v>
      </c>
      <c r="K29" s="618">
        <v>0.217809293614</v>
      </c>
    </row>
    <row r="30" spans="1:11" ht="14.4" customHeight="1" thickBot="1" x14ac:dyDescent="0.35">
      <c r="A30" s="636" t="s">
        <v>350</v>
      </c>
      <c r="B30" s="614">
        <v>20.000001805589001</v>
      </c>
      <c r="C30" s="614">
        <v>17.433129999999998</v>
      </c>
      <c r="D30" s="615">
        <v>-2.5668718055889999</v>
      </c>
      <c r="E30" s="616">
        <v>0.87165642130700005</v>
      </c>
      <c r="F30" s="614">
        <v>30.451505057039</v>
      </c>
      <c r="G30" s="615">
        <v>5.075250842839</v>
      </c>
      <c r="H30" s="617">
        <v>0</v>
      </c>
      <c r="I30" s="614">
        <v>2.08162</v>
      </c>
      <c r="J30" s="615">
        <v>-2.9936308428389999</v>
      </c>
      <c r="K30" s="618">
        <v>6.8358525993999997E-2</v>
      </c>
    </row>
    <row r="31" spans="1:11" ht="14.4" customHeight="1" thickBot="1" x14ac:dyDescent="0.35">
      <c r="A31" s="636" t="s">
        <v>351</v>
      </c>
      <c r="B31" s="614">
        <v>25.000002256986999</v>
      </c>
      <c r="C31" s="614">
        <v>29.179569999999998</v>
      </c>
      <c r="D31" s="615">
        <v>4.179567743012</v>
      </c>
      <c r="E31" s="616">
        <v>1.1671826946270001</v>
      </c>
      <c r="F31" s="614">
        <v>60.262671133044996</v>
      </c>
      <c r="G31" s="615">
        <v>10.043778522174</v>
      </c>
      <c r="H31" s="617">
        <v>2.3879999999999999</v>
      </c>
      <c r="I31" s="614">
        <v>4.6280000000000001</v>
      </c>
      <c r="J31" s="615">
        <v>-5.4157785221739996</v>
      </c>
      <c r="K31" s="618">
        <v>7.6797126861000001E-2</v>
      </c>
    </row>
    <row r="32" spans="1:11" ht="14.4" customHeight="1" thickBot="1" x14ac:dyDescent="0.35">
      <c r="A32" s="636" t="s">
        <v>352</v>
      </c>
      <c r="B32" s="614">
        <v>180.000016250307</v>
      </c>
      <c r="C32" s="614">
        <v>190.00629000000001</v>
      </c>
      <c r="D32" s="615">
        <v>10.006273749691999</v>
      </c>
      <c r="E32" s="616">
        <v>1.0555904047010001</v>
      </c>
      <c r="F32" s="614">
        <v>364.76608864449503</v>
      </c>
      <c r="G32" s="615">
        <v>60.794348107414997</v>
      </c>
      <c r="H32" s="617">
        <v>19.557929999999999</v>
      </c>
      <c r="I32" s="614">
        <v>34.141829999999999</v>
      </c>
      <c r="J32" s="615">
        <v>-26.652518107414998</v>
      </c>
      <c r="K32" s="618">
        <v>9.3599243632000007E-2</v>
      </c>
    </row>
    <row r="33" spans="1:11" ht="14.4" customHeight="1" thickBot="1" x14ac:dyDescent="0.35">
      <c r="A33" s="636" t="s">
        <v>353</v>
      </c>
      <c r="B33" s="614">
        <v>200.00001805589699</v>
      </c>
      <c r="C33" s="614">
        <v>160.16390999999999</v>
      </c>
      <c r="D33" s="615">
        <v>-39.836108055895998</v>
      </c>
      <c r="E33" s="616">
        <v>0.80081947770200002</v>
      </c>
      <c r="F33" s="614">
        <v>209.93351122917301</v>
      </c>
      <c r="G33" s="615">
        <v>34.988918538195001</v>
      </c>
      <c r="H33" s="617">
        <v>36.415149999999997</v>
      </c>
      <c r="I33" s="614">
        <v>42.103000000000002</v>
      </c>
      <c r="J33" s="615">
        <v>7.114081461804</v>
      </c>
      <c r="K33" s="618">
        <v>0.20055397422400001</v>
      </c>
    </row>
    <row r="34" spans="1:11" ht="14.4" customHeight="1" thickBot="1" x14ac:dyDescent="0.35">
      <c r="A34" s="636" t="s">
        <v>354</v>
      </c>
      <c r="B34" s="614">
        <v>157.00001417387901</v>
      </c>
      <c r="C34" s="614">
        <v>190.39203000000001</v>
      </c>
      <c r="D34" s="615">
        <v>33.392015826121003</v>
      </c>
      <c r="E34" s="616">
        <v>1.212687979691</v>
      </c>
      <c r="F34" s="614">
        <v>275.04118619689899</v>
      </c>
      <c r="G34" s="615">
        <v>45.840197699482999</v>
      </c>
      <c r="H34" s="617">
        <v>14.9161</v>
      </c>
      <c r="I34" s="614">
        <v>31.363510000000002</v>
      </c>
      <c r="J34" s="615">
        <v>-14.476687699483</v>
      </c>
      <c r="K34" s="618">
        <v>0.114032048922</v>
      </c>
    </row>
    <row r="35" spans="1:11" ht="14.4" customHeight="1" thickBot="1" x14ac:dyDescent="0.35">
      <c r="A35" s="636" t="s">
        <v>355</v>
      </c>
      <c r="B35" s="614">
        <v>4.0000003611170003</v>
      </c>
      <c r="C35" s="614">
        <v>3.4190299999999998</v>
      </c>
      <c r="D35" s="615">
        <v>-0.58097036111699996</v>
      </c>
      <c r="E35" s="616">
        <v>0.85475742283199996</v>
      </c>
      <c r="F35" s="614">
        <v>8.6941220324510002</v>
      </c>
      <c r="G35" s="615">
        <v>1.4490203387409999</v>
      </c>
      <c r="H35" s="617">
        <v>0</v>
      </c>
      <c r="I35" s="614">
        <v>0</v>
      </c>
      <c r="J35" s="615">
        <v>-1.4490203387409999</v>
      </c>
      <c r="K35" s="618">
        <v>0</v>
      </c>
    </row>
    <row r="36" spans="1:11" ht="14.4" customHeight="1" thickBot="1" x14ac:dyDescent="0.35">
      <c r="A36" s="635" t="s">
        <v>356</v>
      </c>
      <c r="B36" s="619">
        <v>65.408991560133998</v>
      </c>
      <c r="C36" s="619">
        <v>71.293369999999996</v>
      </c>
      <c r="D36" s="620">
        <v>5.8843784398650003</v>
      </c>
      <c r="E36" s="626">
        <v>1.0899628369050001</v>
      </c>
      <c r="F36" s="619">
        <v>66.321911945281997</v>
      </c>
      <c r="G36" s="620">
        <v>11.053651990880001</v>
      </c>
      <c r="H36" s="622">
        <v>3.4470100000000001</v>
      </c>
      <c r="I36" s="619">
        <v>10.60736</v>
      </c>
      <c r="J36" s="620">
        <v>-0.44629199087999999</v>
      </c>
      <c r="K36" s="627">
        <v>0.15993748806200001</v>
      </c>
    </row>
    <row r="37" spans="1:11" ht="14.4" customHeight="1" thickBot="1" x14ac:dyDescent="0.35">
      <c r="A37" s="636" t="s">
        <v>357</v>
      </c>
      <c r="B37" s="614">
        <v>48.967497144989999</v>
      </c>
      <c r="C37" s="614">
        <v>46.453159999999997</v>
      </c>
      <c r="D37" s="615">
        <v>-2.5143371449899998</v>
      </c>
      <c r="E37" s="616">
        <v>0.94865293732300005</v>
      </c>
      <c r="F37" s="614">
        <v>59.227171949540001</v>
      </c>
      <c r="G37" s="615">
        <v>9.8711953249230007</v>
      </c>
      <c r="H37" s="617">
        <v>1.34453</v>
      </c>
      <c r="I37" s="614">
        <v>4.6149100000000001</v>
      </c>
      <c r="J37" s="615">
        <v>-5.2562853249229997</v>
      </c>
      <c r="K37" s="618">
        <v>7.7918797201999998E-2</v>
      </c>
    </row>
    <row r="38" spans="1:11" ht="14.4" customHeight="1" thickBot="1" x14ac:dyDescent="0.35">
      <c r="A38" s="636" t="s">
        <v>358</v>
      </c>
      <c r="B38" s="614">
        <v>16.441494415143001</v>
      </c>
      <c r="C38" s="614">
        <v>24.840209999999999</v>
      </c>
      <c r="D38" s="615">
        <v>8.3987155848559993</v>
      </c>
      <c r="E38" s="616">
        <v>1.5108243431399999</v>
      </c>
      <c r="F38" s="614">
        <v>7.0947399957409996</v>
      </c>
      <c r="G38" s="615">
        <v>1.1824566659560001</v>
      </c>
      <c r="H38" s="617">
        <v>2.1024799999999999</v>
      </c>
      <c r="I38" s="614">
        <v>5.9924499999999998</v>
      </c>
      <c r="J38" s="615">
        <v>4.8099933340429999</v>
      </c>
      <c r="K38" s="618">
        <v>0.84463278479500004</v>
      </c>
    </row>
    <row r="39" spans="1:11" ht="14.4" customHeight="1" thickBot="1" x14ac:dyDescent="0.35">
      <c r="A39" s="635" t="s">
        <v>359</v>
      </c>
      <c r="B39" s="619">
        <v>378.481903829185</v>
      </c>
      <c r="C39" s="619">
        <v>403.56081999999998</v>
      </c>
      <c r="D39" s="620">
        <v>25.078916170814999</v>
      </c>
      <c r="E39" s="626">
        <v>1.066261863294</v>
      </c>
      <c r="F39" s="619">
        <v>482.40369210129899</v>
      </c>
      <c r="G39" s="620">
        <v>80.400615350216</v>
      </c>
      <c r="H39" s="622">
        <v>40.740200000000002</v>
      </c>
      <c r="I39" s="619">
        <v>74.815880000000007</v>
      </c>
      <c r="J39" s="620">
        <v>-5.5847353502160004</v>
      </c>
      <c r="K39" s="627">
        <v>0.15508977486</v>
      </c>
    </row>
    <row r="40" spans="1:11" ht="14.4" customHeight="1" thickBot="1" x14ac:dyDescent="0.35">
      <c r="A40" s="636" t="s">
        <v>360</v>
      </c>
      <c r="B40" s="614">
        <v>19.697506190725001</v>
      </c>
      <c r="C40" s="614">
        <v>-1.4210854715202001E-14</v>
      </c>
      <c r="D40" s="615">
        <v>-19.697506190725001</v>
      </c>
      <c r="E40" s="616">
        <v>-7.2145451193681099E-16</v>
      </c>
      <c r="F40" s="614">
        <v>0</v>
      </c>
      <c r="G40" s="615">
        <v>0</v>
      </c>
      <c r="H40" s="617">
        <v>0</v>
      </c>
      <c r="I40" s="614">
        <v>0.22600000000000001</v>
      </c>
      <c r="J40" s="615">
        <v>0.22600000000000001</v>
      </c>
      <c r="K40" s="625" t="s">
        <v>323</v>
      </c>
    </row>
    <row r="41" spans="1:11" ht="14.4" customHeight="1" thickBot="1" x14ac:dyDescent="0.35">
      <c r="A41" s="636" t="s">
        <v>361</v>
      </c>
      <c r="B41" s="614">
        <v>8.3343548604290003</v>
      </c>
      <c r="C41" s="614">
        <v>16.172930000000001</v>
      </c>
      <c r="D41" s="615">
        <v>7.8385751395699996</v>
      </c>
      <c r="E41" s="616">
        <v>1.940513725517</v>
      </c>
      <c r="F41" s="614">
        <v>118</v>
      </c>
      <c r="G41" s="615">
        <v>19.666666666666</v>
      </c>
      <c r="H41" s="617">
        <v>3.3466499999999999</v>
      </c>
      <c r="I41" s="614">
        <v>6.6040000000000001</v>
      </c>
      <c r="J41" s="615">
        <v>-13.062666666666001</v>
      </c>
      <c r="K41" s="618">
        <v>5.5966101694000001E-2</v>
      </c>
    </row>
    <row r="42" spans="1:11" ht="14.4" customHeight="1" thickBot="1" x14ac:dyDescent="0.35">
      <c r="A42" s="636" t="s">
        <v>362</v>
      </c>
      <c r="B42" s="614">
        <v>191.80018709975499</v>
      </c>
      <c r="C42" s="614">
        <v>214.85581999999999</v>
      </c>
      <c r="D42" s="615">
        <v>23.055632900245001</v>
      </c>
      <c r="E42" s="616">
        <v>1.120206519341</v>
      </c>
      <c r="F42" s="614">
        <v>199.04881379336899</v>
      </c>
      <c r="G42" s="615">
        <v>33.174802298894001</v>
      </c>
      <c r="H42" s="617">
        <v>19.974679999999999</v>
      </c>
      <c r="I42" s="614">
        <v>34.62717</v>
      </c>
      <c r="J42" s="615">
        <v>1.452367701105</v>
      </c>
      <c r="K42" s="618">
        <v>0.173963207014</v>
      </c>
    </row>
    <row r="43" spans="1:11" ht="14.4" customHeight="1" thickBot="1" x14ac:dyDescent="0.35">
      <c r="A43" s="636" t="s">
        <v>363</v>
      </c>
      <c r="B43" s="614">
        <v>55.601336356822998</v>
      </c>
      <c r="C43" s="614">
        <v>48.626390000000001</v>
      </c>
      <c r="D43" s="615">
        <v>-6.9749463568229997</v>
      </c>
      <c r="E43" s="616">
        <v>0.874554339628</v>
      </c>
      <c r="F43" s="614">
        <v>50</v>
      </c>
      <c r="G43" s="615">
        <v>8.333333333333</v>
      </c>
      <c r="H43" s="617">
        <v>2.8458199999999998</v>
      </c>
      <c r="I43" s="614">
        <v>9.2763100000000005</v>
      </c>
      <c r="J43" s="615">
        <v>0.942976666666</v>
      </c>
      <c r="K43" s="618">
        <v>0.1855262</v>
      </c>
    </row>
    <row r="44" spans="1:11" ht="14.4" customHeight="1" thickBot="1" x14ac:dyDescent="0.35">
      <c r="A44" s="636" t="s">
        <v>364</v>
      </c>
      <c r="B44" s="614">
        <v>7.2183597543599998</v>
      </c>
      <c r="C44" s="614">
        <v>11.74446</v>
      </c>
      <c r="D44" s="615">
        <v>4.5261002456390003</v>
      </c>
      <c r="E44" s="616">
        <v>1.6270261388539999</v>
      </c>
      <c r="F44" s="614">
        <v>12.480089223275</v>
      </c>
      <c r="G44" s="615">
        <v>2.0800148705449999</v>
      </c>
      <c r="H44" s="617">
        <v>0</v>
      </c>
      <c r="I44" s="614">
        <v>0.24399999999999999</v>
      </c>
      <c r="J44" s="615">
        <v>-1.8360148705449999</v>
      </c>
      <c r="K44" s="618">
        <v>1.9551142274E-2</v>
      </c>
    </row>
    <row r="45" spans="1:11" ht="14.4" customHeight="1" thickBot="1" x14ac:dyDescent="0.35">
      <c r="A45" s="636" t="s">
        <v>365</v>
      </c>
      <c r="B45" s="614">
        <v>0</v>
      </c>
      <c r="C45" s="614">
        <v>0.27224999999999999</v>
      </c>
      <c r="D45" s="615">
        <v>0.27224999999999999</v>
      </c>
      <c r="E45" s="624" t="s">
        <v>335</v>
      </c>
      <c r="F45" s="614">
        <v>0</v>
      </c>
      <c r="G45" s="615">
        <v>0</v>
      </c>
      <c r="H45" s="617">
        <v>2.2989999999999999</v>
      </c>
      <c r="I45" s="614">
        <v>4.6150599999999997</v>
      </c>
      <c r="J45" s="615">
        <v>4.6150599999999997</v>
      </c>
      <c r="K45" s="625" t="s">
        <v>323</v>
      </c>
    </row>
    <row r="46" spans="1:11" ht="14.4" customHeight="1" thickBot="1" x14ac:dyDescent="0.35">
      <c r="A46" s="636" t="s">
        <v>366</v>
      </c>
      <c r="B46" s="614">
        <v>19.466272473231999</v>
      </c>
      <c r="C46" s="614">
        <v>8.3102400000000003</v>
      </c>
      <c r="D46" s="615">
        <v>-11.156032473232001</v>
      </c>
      <c r="E46" s="616">
        <v>0.42690453508300003</v>
      </c>
      <c r="F46" s="614">
        <v>11</v>
      </c>
      <c r="G46" s="615">
        <v>1.833333333333</v>
      </c>
      <c r="H46" s="617">
        <v>0</v>
      </c>
      <c r="I46" s="614">
        <v>0</v>
      </c>
      <c r="J46" s="615">
        <v>-1.833333333333</v>
      </c>
      <c r="K46" s="618">
        <v>0</v>
      </c>
    </row>
    <row r="47" spans="1:11" ht="14.4" customHeight="1" thickBot="1" x14ac:dyDescent="0.35">
      <c r="A47" s="636" t="s">
        <v>367</v>
      </c>
      <c r="B47" s="614">
        <v>13.300507797807001</v>
      </c>
      <c r="C47" s="614">
        <v>21.898250000000001</v>
      </c>
      <c r="D47" s="615">
        <v>8.5977422021920002</v>
      </c>
      <c r="E47" s="616">
        <v>1.6464221015380001</v>
      </c>
      <c r="F47" s="614">
        <v>16.874789084652999</v>
      </c>
      <c r="G47" s="615">
        <v>2.812464847442</v>
      </c>
      <c r="H47" s="617">
        <v>6.7521399999999998</v>
      </c>
      <c r="I47" s="614">
        <v>6.7521399999999998</v>
      </c>
      <c r="J47" s="615">
        <v>3.9396751525570002</v>
      </c>
      <c r="K47" s="618">
        <v>0.40013181593699998</v>
      </c>
    </row>
    <row r="48" spans="1:11" ht="14.4" customHeight="1" thickBot="1" x14ac:dyDescent="0.35">
      <c r="A48" s="636" t="s">
        <v>368</v>
      </c>
      <c r="B48" s="614">
        <v>0</v>
      </c>
      <c r="C48" s="614">
        <v>2.9039999999999999</v>
      </c>
      <c r="D48" s="615">
        <v>2.9039999999999999</v>
      </c>
      <c r="E48" s="624" t="s">
        <v>335</v>
      </c>
      <c r="F48" s="614">
        <v>0</v>
      </c>
      <c r="G48" s="615">
        <v>0</v>
      </c>
      <c r="H48" s="617">
        <v>0</v>
      </c>
      <c r="I48" s="614">
        <v>0</v>
      </c>
      <c r="J48" s="615">
        <v>0</v>
      </c>
      <c r="K48" s="625" t="s">
        <v>323</v>
      </c>
    </row>
    <row r="49" spans="1:11" ht="14.4" customHeight="1" thickBot="1" x14ac:dyDescent="0.35">
      <c r="A49" s="636" t="s">
        <v>369</v>
      </c>
      <c r="B49" s="614">
        <v>0</v>
      </c>
      <c r="C49" s="614">
        <v>2.67</v>
      </c>
      <c r="D49" s="615">
        <v>2.67</v>
      </c>
      <c r="E49" s="624" t="s">
        <v>335</v>
      </c>
      <c r="F49" s="614">
        <v>0</v>
      </c>
      <c r="G49" s="615">
        <v>0</v>
      </c>
      <c r="H49" s="617">
        <v>0</v>
      </c>
      <c r="I49" s="614">
        <v>0</v>
      </c>
      <c r="J49" s="615">
        <v>0</v>
      </c>
      <c r="K49" s="625" t="s">
        <v>323</v>
      </c>
    </row>
    <row r="50" spans="1:11" ht="14.4" customHeight="1" thickBot="1" x14ac:dyDescent="0.35">
      <c r="A50" s="636" t="s">
        <v>370</v>
      </c>
      <c r="B50" s="614">
        <v>63.063379296050996</v>
      </c>
      <c r="C50" s="614">
        <v>76.106480000000005</v>
      </c>
      <c r="D50" s="615">
        <v>13.043100703947999</v>
      </c>
      <c r="E50" s="616">
        <v>1.2068252740259999</v>
      </c>
      <c r="F50" s="614">
        <v>75</v>
      </c>
      <c r="G50" s="615">
        <v>12.5</v>
      </c>
      <c r="H50" s="617">
        <v>5.5219100000000001</v>
      </c>
      <c r="I50" s="614">
        <v>12.4712</v>
      </c>
      <c r="J50" s="615">
        <v>-2.8799999999999999E-2</v>
      </c>
      <c r="K50" s="618">
        <v>0.166282666666</v>
      </c>
    </row>
    <row r="51" spans="1:11" ht="14.4" customHeight="1" thickBot="1" x14ac:dyDescent="0.35">
      <c r="A51" s="635" t="s">
        <v>371</v>
      </c>
      <c r="B51" s="619">
        <v>111.10826860548801</v>
      </c>
      <c r="C51" s="619">
        <v>234.63054</v>
      </c>
      <c r="D51" s="620">
        <v>123.522271394512</v>
      </c>
      <c r="E51" s="626">
        <v>2.1117288834110002</v>
      </c>
      <c r="F51" s="619">
        <v>260.93503331185599</v>
      </c>
      <c r="G51" s="620">
        <v>43.489172218641997</v>
      </c>
      <c r="H51" s="622">
        <v>0</v>
      </c>
      <c r="I51" s="619">
        <v>3.1919999999999997E-2</v>
      </c>
      <c r="J51" s="620">
        <v>-43.457252218641997</v>
      </c>
      <c r="K51" s="627">
        <v>1.2232930000000001E-4</v>
      </c>
    </row>
    <row r="52" spans="1:11" ht="14.4" customHeight="1" thickBot="1" x14ac:dyDescent="0.35">
      <c r="A52" s="636" t="s">
        <v>372</v>
      </c>
      <c r="B52" s="614">
        <v>0</v>
      </c>
      <c r="C52" s="614">
        <v>18.774000000000001</v>
      </c>
      <c r="D52" s="615">
        <v>18.774000000000001</v>
      </c>
      <c r="E52" s="624" t="s">
        <v>335</v>
      </c>
      <c r="F52" s="614">
        <v>24.480147409762001</v>
      </c>
      <c r="G52" s="615">
        <v>4.0800245682930001</v>
      </c>
      <c r="H52" s="617">
        <v>0</v>
      </c>
      <c r="I52" s="614">
        <v>0</v>
      </c>
      <c r="J52" s="615">
        <v>-4.0800245682930001</v>
      </c>
      <c r="K52" s="618">
        <v>0</v>
      </c>
    </row>
    <row r="53" spans="1:11" ht="14.4" customHeight="1" thickBot="1" x14ac:dyDescent="0.35">
      <c r="A53" s="636" t="s">
        <v>373</v>
      </c>
      <c r="B53" s="614">
        <v>105.258731244354</v>
      </c>
      <c r="C53" s="614">
        <v>207.90558999999999</v>
      </c>
      <c r="D53" s="615">
        <v>102.64685875564599</v>
      </c>
      <c r="E53" s="616">
        <v>1.9751861678560001</v>
      </c>
      <c r="F53" s="614">
        <v>228.02309124639601</v>
      </c>
      <c r="G53" s="615">
        <v>38.003848541064997</v>
      </c>
      <c r="H53" s="617">
        <v>0</v>
      </c>
      <c r="I53" s="614">
        <v>0</v>
      </c>
      <c r="J53" s="615">
        <v>-38.003848541064997</v>
      </c>
      <c r="K53" s="618">
        <v>0</v>
      </c>
    </row>
    <row r="54" spans="1:11" ht="14.4" customHeight="1" thickBot="1" x14ac:dyDescent="0.35">
      <c r="A54" s="636" t="s">
        <v>374</v>
      </c>
      <c r="B54" s="614">
        <v>5.8495373611329997</v>
      </c>
      <c r="C54" s="614">
        <v>7.9509499999999997</v>
      </c>
      <c r="D54" s="615">
        <v>2.1014126388659999</v>
      </c>
      <c r="E54" s="616">
        <v>1.359244246019</v>
      </c>
      <c r="F54" s="614">
        <v>8.4317946556980008</v>
      </c>
      <c r="G54" s="615">
        <v>1.4052991092830001</v>
      </c>
      <c r="H54" s="617">
        <v>0</v>
      </c>
      <c r="I54" s="614">
        <v>3.1919999999999997E-2</v>
      </c>
      <c r="J54" s="615">
        <v>-1.3733791092830001</v>
      </c>
      <c r="K54" s="618">
        <v>3.7856709389999998E-3</v>
      </c>
    </row>
    <row r="55" spans="1:11" ht="14.4" customHeight="1" thickBot="1" x14ac:dyDescent="0.35">
      <c r="A55" s="635" t="s">
        <v>375</v>
      </c>
      <c r="B55" s="619">
        <v>142.120187634671</v>
      </c>
      <c r="C55" s="619">
        <v>219.26244</v>
      </c>
      <c r="D55" s="620">
        <v>77.142252365329</v>
      </c>
      <c r="E55" s="626">
        <v>1.542795880368</v>
      </c>
      <c r="F55" s="619">
        <v>278.55983442335997</v>
      </c>
      <c r="G55" s="620">
        <v>46.42663907056</v>
      </c>
      <c r="H55" s="622">
        <v>8.4786099999999998</v>
      </c>
      <c r="I55" s="619">
        <v>22.665649999999999</v>
      </c>
      <c r="J55" s="620">
        <v>-23.760989070560001</v>
      </c>
      <c r="K55" s="627">
        <v>8.1367258301000001E-2</v>
      </c>
    </row>
    <row r="56" spans="1:11" ht="14.4" customHeight="1" thickBot="1" x14ac:dyDescent="0.35">
      <c r="A56" s="636" t="s">
        <v>376</v>
      </c>
      <c r="B56" s="614">
        <v>0</v>
      </c>
      <c r="C56" s="614">
        <v>0</v>
      </c>
      <c r="D56" s="615">
        <v>0</v>
      </c>
      <c r="E56" s="616">
        <v>1</v>
      </c>
      <c r="F56" s="614">
        <v>20</v>
      </c>
      <c r="G56" s="615">
        <v>3.333333333333</v>
      </c>
      <c r="H56" s="617">
        <v>0</v>
      </c>
      <c r="I56" s="614">
        <v>0</v>
      </c>
      <c r="J56" s="615">
        <v>-3.333333333333</v>
      </c>
      <c r="K56" s="618">
        <v>0</v>
      </c>
    </row>
    <row r="57" spans="1:11" ht="14.4" customHeight="1" thickBot="1" x14ac:dyDescent="0.35">
      <c r="A57" s="636" t="s">
        <v>377</v>
      </c>
      <c r="B57" s="614">
        <v>0</v>
      </c>
      <c r="C57" s="614">
        <v>8.9540699999999998</v>
      </c>
      <c r="D57" s="615">
        <v>8.9540699999999998</v>
      </c>
      <c r="E57" s="624" t="s">
        <v>323</v>
      </c>
      <c r="F57" s="614">
        <v>10</v>
      </c>
      <c r="G57" s="615">
        <v>1.6666666666659999</v>
      </c>
      <c r="H57" s="617">
        <v>0.31218000000000001</v>
      </c>
      <c r="I57" s="614">
        <v>0.31218000000000001</v>
      </c>
      <c r="J57" s="615">
        <v>-1.354486666666</v>
      </c>
      <c r="K57" s="618">
        <v>3.1217999999000001E-2</v>
      </c>
    </row>
    <row r="58" spans="1:11" ht="14.4" customHeight="1" thickBot="1" x14ac:dyDescent="0.35">
      <c r="A58" s="636" t="s">
        <v>378</v>
      </c>
      <c r="B58" s="614">
        <v>4.540210264673</v>
      </c>
      <c r="C58" s="614">
        <v>6.1095300000000003</v>
      </c>
      <c r="D58" s="615">
        <v>1.569319735326</v>
      </c>
      <c r="E58" s="616">
        <v>1.3456491316129999</v>
      </c>
      <c r="F58" s="614">
        <v>0</v>
      </c>
      <c r="G58" s="615">
        <v>0</v>
      </c>
      <c r="H58" s="617">
        <v>0.34484999999999999</v>
      </c>
      <c r="I58" s="614">
        <v>0.68969999999999998</v>
      </c>
      <c r="J58" s="615">
        <v>0.68969999999999998</v>
      </c>
      <c r="K58" s="625" t="s">
        <v>323</v>
      </c>
    </row>
    <row r="59" spans="1:11" ht="14.4" customHeight="1" thickBot="1" x14ac:dyDescent="0.35">
      <c r="A59" s="636" t="s">
        <v>379</v>
      </c>
      <c r="B59" s="614">
        <v>0</v>
      </c>
      <c r="C59" s="614">
        <v>10.1477</v>
      </c>
      <c r="D59" s="615">
        <v>10.1477</v>
      </c>
      <c r="E59" s="624" t="s">
        <v>323</v>
      </c>
      <c r="F59" s="614">
        <v>0</v>
      </c>
      <c r="G59" s="615">
        <v>0</v>
      </c>
      <c r="H59" s="617">
        <v>0</v>
      </c>
      <c r="I59" s="614">
        <v>0</v>
      </c>
      <c r="J59" s="615">
        <v>0</v>
      </c>
      <c r="K59" s="625" t="s">
        <v>323</v>
      </c>
    </row>
    <row r="60" spans="1:11" ht="14.4" customHeight="1" thickBot="1" x14ac:dyDescent="0.35">
      <c r="A60" s="636" t="s">
        <v>380</v>
      </c>
      <c r="B60" s="614">
        <v>18.787730906566001</v>
      </c>
      <c r="C60" s="614">
        <v>23.82281</v>
      </c>
      <c r="D60" s="615">
        <v>5.0350790934329996</v>
      </c>
      <c r="E60" s="616">
        <v>1.2679982547369999</v>
      </c>
      <c r="F60" s="614">
        <v>73.734175836877</v>
      </c>
      <c r="G60" s="615">
        <v>12.289029306146</v>
      </c>
      <c r="H60" s="617">
        <v>1.79819</v>
      </c>
      <c r="I60" s="614">
        <v>4.4834800000000001</v>
      </c>
      <c r="J60" s="615">
        <v>-7.8055493061460002</v>
      </c>
      <c r="K60" s="618">
        <v>6.0805995985999998E-2</v>
      </c>
    </row>
    <row r="61" spans="1:11" ht="14.4" customHeight="1" thickBot="1" x14ac:dyDescent="0.35">
      <c r="A61" s="636" t="s">
        <v>381</v>
      </c>
      <c r="B61" s="614">
        <v>6.0700633676519997</v>
      </c>
      <c r="C61" s="614">
        <v>10.051410000000001</v>
      </c>
      <c r="D61" s="615">
        <v>3.9813466323469999</v>
      </c>
      <c r="E61" s="616">
        <v>1.6558986935060001</v>
      </c>
      <c r="F61" s="614">
        <v>59.825658586482</v>
      </c>
      <c r="G61" s="615">
        <v>9.9709430977469999</v>
      </c>
      <c r="H61" s="617">
        <v>0</v>
      </c>
      <c r="I61" s="614">
        <v>2.2559999999999998</v>
      </c>
      <c r="J61" s="615">
        <v>-7.7149430977469997</v>
      </c>
      <c r="K61" s="618">
        <v>3.7709572334999997E-2</v>
      </c>
    </row>
    <row r="62" spans="1:11" ht="14.4" customHeight="1" thickBot="1" x14ac:dyDescent="0.35">
      <c r="A62" s="636" t="s">
        <v>382</v>
      </c>
      <c r="B62" s="614">
        <v>112.722183095779</v>
      </c>
      <c r="C62" s="614">
        <v>160.17692</v>
      </c>
      <c r="D62" s="615">
        <v>47.454736904221001</v>
      </c>
      <c r="E62" s="616">
        <v>1.420988447889</v>
      </c>
      <c r="F62" s="614">
        <v>115</v>
      </c>
      <c r="G62" s="615">
        <v>19.166666666666</v>
      </c>
      <c r="H62" s="617">
        <v>6.02339</v>
      </c>
      <c r="I62" s="614">
        <v>14.924289999999999</v>
      </c>
      <c r="J62" s="615">
        <v>-4.2423766666659999</v>
      </c>
      <c r="K62" s="618">
        <v>0.12977643478199999</v>
      </c>
    </row>
    <row r="63" spans="1:11" ht="14.4" customHeight="1" thickBot="1" x14ac:dyDescent="0.35">
      <c r="A63" s="634" t="s">
        <v>29</v>
      </c>
      <c r="B63" s="614">
        <v>304.68564280130101</v>
      </c>
      <c r="C63" s="614">
        <v>299.00200000000001</v>
      </c>
      <c r="D63" s="615">
        <v>-5.6836428013000004</v>
      </c>
      <c r="E63" s="616">
        <v>0.981345879152</v>
      </c>
      <c r="F63" s="614">
        <v>302.25195330528999</v>
      </c>
      <c r="G63" s="615">
        <v>50.375325550881001</v>
      </c>
      <c r="H63" s="617">
        <v>31.300999999999998</v>
      </c>
      <c r="I63" s="614">
        <v>70.763999999999996</v>
      </c>
      <c r="J63" s="615">
        <v>20.388674449118</v>
      </c>
      <c r="K63" s="618">
        <v>0.23412255644999999</v>
      </c>
    </row>
    <row r="64" spans="1:11" ht="14.4" customHeight="1" thickBot="1" x14ac:dyDescent="0.35">
      <c r="A64" s="635" t="s">
        <v>383</v>
      </c>
      <c r="B64" s="619">
        <v>304.68564280130101</v>
      </c>
      <c r="C64" s="619">
        <v>299.00200000000001</v>
      </c>
      <c r="D64" s="620">
        <v>-5.6836428013000004</v>
      </c>
      <c r="E64" s="626">
        <v>0.981345879152</v>
      </c>
      <c r="F64" s="619">
        <v>302.25195330528999</v>
      </c>
      <c r="G64" s="620">
        <v>50.375325550881001</v>
      </c>
      <c r="H64" s="622">
        <v>31.300999999999998</v>
      </c>
      <c r="I64" s="619">
        <v>70.763999999999996</v>
      </c>
      <c r="J64" s="620">
        <v>20.388674449118</v>
      </c>
      <c r="K64" s="627">
        <v>0.23412255644999999</v>
      </c>
    </row>
    <row r="65" spans="1:11" ht="14.4" customHeight="1" thickBot="1" x14ac:dyDescent="0.35">
      <c r="A65" s="636" t="s">
        <v>384</v>
      </c>
      <c r="B65" s="614">
        <v>104.655162717577</v>
      </c>
      <c r="C65" s="614">
        <v>95.093999999999994</v>
      </c>
      <c r="D65" s="615">
        <v>-9.561162717577</v>
      </c>
      <c r="E65" s="616">
        <v>0.90864127034599995</v>
      </c>
      <c r="F65" s="614">
        <v>97.999999999999005</v>
      </c>
      <c r="G65" s="615">
        <v>16.333333333333002</v>
      </c>
      <c r="H65" s="617">
        <v>7.8529999999999998</v>
      </c>
      <c r="I65" s="614">
        <v>16.22</v>
      </c>
      <c r="J65" s="615">
        <v>-0.113333333333</v>
      </c>
      <c r="K65" s="618">
        <v>0.16551020408100001</v>
      </c>
    </row>
    <row r="66" spans="1:11" ht="14.4" customHeight="1" thickBot="1" x14ac:dyDescent="0.35">
      <c r="A66" s="636" t="s">
        <v>385</v>
      </c>
      <c r="B66" s="614">
        <v>25.940625280494999</v>
      </c>
      <c r="C66" s="614">
        <v>27.087</v>
      </c>
      <c r="D66" s="615">
        <v>1.1463747195039999</v>
      </c>
      <c r="E66" s="616">
        <v>1.0441922547010001</v>
      </c>
      <c r="F66" s="614">
        <v>29.251953305290002</v>
      </c>
      <c r="G66" s="615">
        <v>4.8753255508809996</v>
      </c>
      <c r="H66" s="617">
        <v>2.23</v>
      </c>
      <c r="I66" s="614">
        <v>5.101</v>
      </c>
      <c r="J66" s="615">
        <v>0.225674449118</v>
      </c>
      <c r="K66" s="618">
        <v>0.174381517253</v>
      </c>
    </row>
    <row r="67" spans="1:11" ht="14.4" customHeight="1" thickBot="1" x14ac:dyDescent="0.35">
      <c r="A67" s="636" t="s">
        <v>386</v>
      </c>
      <c r="B67" s="614">
        <v>174.08985480322801</v>
      </c>
      <c r="C67" s="614">
        <v>176.821</v>
      </c>
      <c r="D67" s="615">
        <v>2.7311451967720002</v>
      </c>
      <c r="E67" s="616">
        <v>1.0156881353010001</v>
      </c>
      <c r="F67" s="614">
        <v>174.99999999999901</v>
      </c>
      <c r="G67" s="615">
        <v>29.166666666666</v>
      </c>
      <c r="H67" s="617">
        <v>21.218</v>
      </c>
      <c r="I67" s="614">
        <v>49.442999999999998</v>
      </c>
      <c r="J67" s="615">
        <v>20.276333333333</v>
      </c>
      <c r="K67" s="618">
        <v>0.282531428571</v>
      </c>
    </row>
    <row r="68" spans="1:11" ht="14.4" customHeight="1" thickBot="1" x14ac:dyDescent="0.35">
      <c r="A68" s="637" t="s">
        <v>387</v>
      </c>
      <c r="B68" s="619">
        <v>1546.9264129926</v>
      </c>
      <c r="C68" s="619">
        <v>1838.4109599999999</v>
      </c>
      <c r="D68" s="620">
        <v>291.48454700740399</v>
      </c>
      <c r="E68" s="626">
        <v>1.188428191903</v>
      </c>
      <c r="F68" s="619">
        <v>1772.4511823231501</v>
      </c>
      <c r="G68" s="620">
        <v>295.408530387192</v>
      </c>
      <c r="H68" s="622">
        <v>169.91918999999999</v>
      </c>
      <c r="I68" s="619">
        <v>281.73250000000002</v>
      </c>
      <c r="J68" s="620">
        <v>-13.676030387192</v>
      </c>
      <c r="K68" s="627">
        <v>0.15895078116</v>
      </c>
    </row>
    <row r="69" spans="1:11" ht="14.4" customHeight="1" thickBot="1" x14ac:dyDescent="0.35">
      <c r="A69" s="634" t="s">
        <v>32</v>
      </c>
      <c r="B69" s="614">
        <v>578.10704015763395</v>
      </c>
      <c r="C69" s="614">
        <v>628.76692000000003</v>
      </c>
      <c r="D69" s="615">
        <v>50.659879842366003</v>
      </c>
      <c r="E69" s="616">
        <v>1.087630622572</v>
      </c>
      <c r="F69" s="614">
        <v>746.73813139167498</v>
      </c>
      <c r="G69" s="615">
        <v>124.45635523194601</v>
      </c>
      <c r="H69" s="617">
        <v>83.275400000000005</v>
      </c>
      <c r="I69" s="614">
        <v>128.11741000000001</v>
      </c>
      <c r="J69" s="615">
        <v>3.661054768054</v>
      </c>
      <c r="K69" s="618">
        <v>0.17156939576800001</v>
      </c>
    </row>
    <row r="70" spans="1:11" ht="14.4" customHeight="1" thickBot="1" x14ac:dyDescent="0.35">
      <c r="A70" s="638" t="s">
        <v>388</v>
      </c>
      <c r="B70" s="614">
        <v>578.10704015763395</v>
      </c>
      <c r="C70" s="614">
        <v>628.76692000000003</v>
      </c>
      <c r="D70" s="615">
        <v>50.659879842366003</v>
      </c>
      <c r="E70" s="616">
        <v>1.087630622572</v>
      </c>
      <c r="F70" s="614">
        <v>746.73813139167498</v>
      </c>
      <c r="G70" s="615">
        <v>124.45635523194601</v>
      </c>
      <c r="H70" s="617">
        <v>83.275400000000005</v>
      </c>
      <c r="I70" s="614">
        <v>128.11741000000001</v>
      </c>
      <c r="J70" s="615">
        <v>3.661054768054</v>
      </c>
      <c r="K70" s="618">
        <v>0.17156939576800001</v>
      </c>
    </row>
    <row r="71" spans="1:11" ht="14.4" customHeight="1" thickBot="1" x14ac:dyDescent="0.35">
      <c r="A71" s="636" t="s">
        <v>389</v>
      </c>
      <c r="B71" s="614">
        <v>524.76082482663401</v>
      </c>
      <c r="C71" s="614">
        <v>497.05614000000003</v>
      </c>
      <c r="D71" s="615">
        <v>-27.704684826634001</v>
      </c>
      <c r="E71" s="616">
        <v>0.94720511990199996</v>
      </c>
      <c r="F71" s="614">
        <v>612.73151418735301</v>
      </c>
      <c r="G71" s="615">
        <v>102.121919031226</v>
      </c>
      <c r="H71" s="617">
        <v>78.382999999999996</v>
      </c>
      <c r="I71" s="614">
        <v>121.46525</v>
      </c>
      <c r="J71" s="615">
        <v>19.343330968774001</v>
      </c>
      <c r="K71" s="618">
        <v>0.198235682656</v>
      </c>
    </row>
    <row r="72" spans="1:11" ht="14.4" customHeight="1" thickBot="1" x14ac:dyDescent="0.35">
      <c r="A72" s="636" t="s">
        <v>390</v>
      </c>
      <c r="B72" s="614">
        <v>0</v>
      </c>
      <c r="C72" s="614">
        <v>6.1201299999999996</v>
      </c>
      <c r="D72" s="615">
        <v>6.1201299999999996</v>
      </c>
      <c r="E72" s="624" t="s">
        <v>323</v>
      </c>
      <c r="F72" s="614">
        <v>3.782589646425</v>
      </c>
      <c r="G72" s="615">
        <v>0.63043160773700002</v>
      </c>
      <c r="H72" s="617">
        <v>0.13829</v>
      </c>
      <c r="I72" s="614">
        <v>0.13829</v>
      </c>
      <c r="J72" s="615">
        <v>-0.492141607737</v>
      </c>
      <c r="K72" s="618">
        <v>3.6559609400999997E-2</v>
      </c>
    </row>
    <row r="73" spans="1:11" ht="14.4" customHeight="1" thickBot="1" x14ac:dyDescent="0.35">
      <c r="A73" s="636" t="s">
        <v>391</v>
      </c>
      <c r="B73" s="614">
        <v>23.684919065047001</v>
      </c>
      <c r="C73" s="614">
        <v>95.282449999999997</v>
      </c>
      <c r="D73" s="615">
        <v>71.597530934952999</v>
      </c>
      <c r="E73" s="616">
        <v>4.0229164278890002</v>
      </c>
      <c r="F73" s="614">
        <v>98.224027557895994</v>
      </c>
      <c r="G73" s="615">
        <v>16.370671259649001</v>
      </c>
      <c r="H73" s="617">
        <v>1.0660099999999999</v>
      </c>
      <c r="I73" s="614">
        <v>1.0660099999999999</v>
      </c>
      <c r="J73" s="615">
        <v>-15.304661259649</v>
      </c>
      <c r="K73" s="618">
        <v>1.0852843508999999E-2</v>
      </c>
    </row>
    <row r="74" spans="1:11" ht="14.4" customHeight="1" thickBot="1" x14ac:dyDescent="0.35">
      <c r="A74" s="636" t="s">
        <v>392</v>
      </c>
      <c r="B74" s="614">
        <v>29.661296265952</v>
      </c>
      <c r="C74" s="614">
        <v>30.308199999999999</v>
      </c>
      <c r="D74" s="615">
        <v>0.64690373404699997</v>
      </c>
      <c r="E74" s="616">
        <v>1.021809691938</v>
      </c>
      <c r="F74" s="614">
        <v>31.999999999999002</v>
      </c>
      <c r="G74" s="615">
        <v>5.333333333333</v>
      </c>
      <c r="H74" s="617">
        <v>3.6880999999999999</v>
      </c>
      <c r="I74" s="614">
        <v>5.4478600000000004</v>
      </c>
      <c r="J74" s="615">
        <v>0.114526666666</v>
      </c>
      <c r="K74" s="618">
        <v>0.17024562500000001</v>
      </c>
    </row>
    <row r="75" spans="1:11" ht="14.4" customHeight="1" thickBot="1" x14ac:dyDescent="0.35">
      <c r="A75" s="639" t="s">
        <v>33</v>
      </c>
      <c r="B75" s="619">
        <v>0</v>
      </c>
      <c r="C75" s="619">
        <v>198.92202</v>
      </c>
      <c r="D75" s="620">
        <v>198.92202</v>
      </c>
      <c r="E75" s="621" t="s">
        <v>323</v>
      </c>
      <c r="F75" s="619">
        <v>0</v>
      </c>
      <c r="G75" s="620">
        <v>0</v>
      </c>
      <c r="H75" s="622">
        <v>38.023000000000003</v>
      </c>
      <c r="I75" s="619">
        <v>38.93</v>
      </c>
      <c r="J75" s="620">
        <v>38.93</v>
      </c>
      <c r="K75" s="623" t="s">
        <v>323</v>
      </c>
    </row>
    <row r="76" spans="1:11" ht="14.4" customHeight="1" thickBot="1" x14ac:dyDescent="0.35">
      <c r="A76" s="635" t="s">
        <v>393</v>
      </c>
      <c r="B76" s="619">
        <v>0</v>
      </c>
      <c r="C76" s="619">
        <v>164.571</v>
      </c>
      <c r="D76" s="620">
        <v>164.571</v>
      </c>
      <c r="E76" s="621" t="s">
        <v>323</v>
      </c>
      <c r="F76" s="619">
        <v>0</v>
      </c>
      <c r="G76" s="620">
        <v>0</v>
      </c>
      <c r="H76" s="622">
        <v>20.039000000000001</v>
      </c>
      <c r="I76" s="619">
        <v>20.946000000000002</v>
      </c>
      <c r="J76" s="620">
        <v>20.946000000000002</v>
      </c>
      <c r="K76" s="623" t="s">
        <v>323</v>
      </c>
    </row>
    <row r="77" spans="1:11" ht="14.4" customHeight="1" thickBot="1" x14ac:dyDescent="0.35">
      <c r="A77" s="636" t="s">
        <v>394</v>
      </c>
      <c r="B77" s="614">
        <v>0</v>
      </c>
      <c r="C77" s="614">
        <v>77.301000000000002</v>
      </c>
      <c r="D77" s="615">
        <v>77.301000000000002</v>
      </c>
      <c r="E77" s="624" t="s">
        <v>323</v>
      </c>
      <c r="F77" s="614">
        <v>0</v>
      </c>
      <c r="G77" s="615">
        <v>0</v>
      </c>
      <c r="H77" s="617">
        <v>10.079000000000001</v>
      </c>
      <c r="I77" s="614">
        <v>10.986000000000001</v>
      </c>
      <c r="J77" s="615">
        <v>10.986000000000001</v>
      </c>
      <c r="K77" s="625" t="s">
        <v>323</v>
      </c>
    </row>
    <row r="78" spans="1:11" ht="14.4" customHeight="1" thickBot="1" x14ac:dyDescent="0.35">
      <c r="A78" s="636" t="s">
        <v>395</v>
      </c>
      <c r="B78" s="614">
        <v>0</v>
      </c>
      <c r="C78" s="614">
        <v>87.27</v>
      </c>
      <c r="D78" s="615">
        <v>87.27</v>
      </c>
      <c r="E78" s="624" t="s">
        <v>323</v>
      </c>
      <c r="F78" s="614">
        <v>0</v>
      </c>
      <c r="G78" s="615">
        <v>0</v>
      </c>
      <c r="H78" s="617">
        <v>9.9600000000000009</v>
      </c>
      <c r="I78" s="614">
        <v>9.9600000000000009</v>
      </c>
      <c r="J78" s="615">
        <v>9.9600000000000009</v>
      </c>
      <c r="K78" s="625" t="s">
        <v>323</v>
      </c>
    </row>
    <row r="79" spans="1:11" ht="14.4" customHeight="1" thickBot="1" x14ac:dyDescent="0.35">
      <c r="A79" s="635" t="s">
        <v>396</v>
      </c>
      <c r="B79" s="619">
        <v>0</v>
      </c>
      <c r="C79" s="619">
        <v>34.351019999999998</v>
      </c>
      <c r="D79" s="620">
        <v>34.351019999999998</v>
      </c>
      <c r="E79" s="621" t="s">
        <v>323</v>
      </c>
      <c r="F79" s="619">
        <v>0</v>
      </c>
      <c r="G79" s="620">
        <v>0</v>
      </c>
      <c r="H79" s="622">
        <v>17.984000000000002</v>
      </c>
      <c r="I79" s="619">
        <v>17.984000000000002</v>
      </c>
      <c r="J79" s="620">
        <v>17.984000000000002</v>
      </c>
      <c r="K79" s="623" t="s">
        <v>323</v>
      </c>
    </row>
    <row r="80" spans="1:11" ht="14.4" customHeight="1" thickBot="1" x14ac:dyDescent="0.35">
      <c r="A80" s="636" t="s">
        <v>397</v>
      </c>
      <c r="B80" s="614">
        <v>0</v>
      </c>
      <c r="C80" s="614">
        <v>17.568000000000001</v>
      </c>
      <c r="D80" s="615">
        <v>17.568000000000001</v>
      </c>
      <c r="E80" s="624" t="s">
        <v>323</v>
      </c>
      <c r="F80" s="614">
        <v>0</v>
      </c>
      <c r="G80" s="615">
        <v>0</v>
      </c>
      <c r="H80" s="617">
        <v>17.984000000000002</v>
      </c>
      <c r="I80" s="614">
        <v>17.984000000000002</v>
      </c>
      <c r="J80" s="615">
        <v>17.984000000000002</v>
      </c>
      <c r="K80" s="625" t="s">
        <v>323</v>
      </c>
    </row>
    <row r="81" spans="1:11" ht="14.4" customHeight="1" thickBot="1" x14ac:dyDescent="0.35">
      <c r="A81" s="636" t="s">
        <v>398</v>
      </c>
      <c r="B81" s="614">
        <v>0</v>
      </c>
      <c r="C81" s="614">
        <v>16.78302</v>
      </c>
      <c r="D81" s="615">
        <v>16.78302</v>
      </c>
      <c r="E81" s="624" t="s">
        <v>335</v>
      </c>
      <c r="F81" s="614">
        <v>0</v>
      </c>
      <c r="G81" s="615">
        <v>0</v>
      </c>
      <c r="H81" s="617">
        <v>0</v>
      </c>
      <c r="I81" s="614">
        <v>0</v>
      </c>
      <c r="J81" s="615">
        <v>0</v>
      </c>
      <c r="K81" s="625" t="s">
        <v>323</v>
      </c>
    </row>
    <row r="82" spans="1:11" ht="14.4" customHeight="1" thickBot="1" x14ac:dyDescent="0.35">
      <c r="A82" s="634" t="s">
        <v>34</v>
      </c>
      <c r="B82" s="614">
        <v>968.81937283496302</v>
      </c>
      <c r="C82" s="614">
        <v>1010.72202</v>
      </c>
      <c r="D82" s="615">
        <v>41.902647165037003</v>
      </c>
      <c r="E82" s="616">
        <v>1.0432512482089999</v>
      </c>
      <c r="F82" s="614">
        <v>1025.71305093148</v>
      </c>
      <c r="G82" s="615">
        <v>170.95217515524601</v>
      </c>
      <c r="H82" s="617">
        <v>48.62079</v>
      </c>
      <c r="I82" s="614">
        <v>114.68509</v>
      </c>
      <c r="J82" s="615">
        <v>-56.267085155246001</v>
      </c>
      <c r="K82" s="618">
        <v>0.111810110923</v>
      </c>
    </row>
    <row r="83" spans="1:11" ht="14.4" customHeight="1" thickBot="1" x14ac:dyDescent="0.35">
      <c r="A83" s="635" t="s">
        <v>399</v>
      </c>
      <c r="B83" s="619">
        <v>5.2766745769999996</v>
      </c>
      <c r="C83" s="619">
        <v>0</v>
      </c>
      <c r="D83" s="620">
        <v>-5.2766745769999996</v>
      </c>
      <c r="E83" s="626">
        <v>0</v>
      </c>
      <c r="F83" s="619">
        <v>0</v>
      </c>
      <c r="G83" s="620">
        <v>0</v>
      </c>
      <c r="H83" s="622">
        <v>0</v>
      </c>
      <c r="I83" s="619">
        <v>0</v>
      </c>
      <c r="J83" s="620">
        <v>0</v>
      </c>
      <c r="K83" s="627">
        <v>2</v>
      </c>
    </row>
    <row r="84" spans="1:11" ht="14.4" customHeight="1" thickBot="1" x14ac:dyDescent="0.35">
      <c r="A84" s="636" t="s">
        <v>400</v>
      </c>
      <c r="B84" s="614">
        <v>5.2766745769999996</v>
      </c>
      <c r="C84" s="614">
        <v>0</v>
      </c>
      <c r="D84" s="615">
        <v>-5.2766745769999996</v>
      </c>
      <c r="E84" s="616">
        <v>0</v>
      </c>
      <c r="F84" s="614">
        <v>0</v>
      </c>
      <c r="G84" s="615">
        <v>0</v>
      </c>
      <c r="H84" s="617">
        <v>0</v>
      </c>
      <c r="I84" s="614">
        <v>0</v>
      </c>
      <c r="J84" s="615">
        <v>0</v>
      </c>
      <c r="K84" s="618">
        <v>2</v>
      </c>
    </row>
    <row r="85" spans="1:11" ht="14.4" customHeight="1" thickBot="1" x14ac:dyDescent="0.35">
      <c r="A85" s="635" t="s">
        <v>401</v>
      </c>
      <c r="B85" s="619">
        <v>5.8516966701799999</v>
      </c>
      <c r="C85" s="619">
        <v>5.7067899999999998</v>
      </c>
      <c r="D85" s="620">
        <v>-0.14490667018</v>
      </c>
      <c r="E85" s="626">
        <v>0.97523681107399995</v>
      </c>
      <c r="F85" s="619">
        <v>6.088952058446</v>
      </c>
      <c r="G85" s="620">
        <v>1.014825343074</v>
      </c>
      <c r="H85" s="622">
        <v>0.54903999999999997</v>
      </c>
      <c r="I85" s="619">
        <v>0.75936000000000003</v>
      </c>
      <c r="J85" s="620">
        <v>-0.25546534307399998</v>
      </c>
      <c r="K85" s="627">
        <v>0.12471111493500001</v>
      </c>
    </row>
    <row r="86" spans="1:11" ht="14.4" customHeight="1" thickBot="1" x14ac:dyDescent="0.35">
      <c r="A86" s="636" t="s">
        <v>402</v>
      </c>
      <c r="B86" s="614">
        <v>0.73088596033300002</v>
      </c>
      <c r="C86" s="614">
        <v>1.2236</v>
      </c>
      <c r="D86" s="615">
        <v>0.49271403966600003</v>
      </c>
      <c r="E86" s="616">
        <v>1.674132582108</v>
      </c>
      <c r="F86" s="614">
        <v>1.100716192493</v>
      </c>
      <c r="G86" s="615">
        <v>0.18345269874799999</v>
      </c>
      <c r="H86" s="617">
        <v>4.7500000000000001E-2</v>
      </c>
      <c r="I86" s="614">
        <v>0.21590000000000001</v>
      </c>
      <c r="J86" s="615">
        <v>3.2447301251000003E-2</v>
      </c>
      <c r="K86" s="618">
        <v>0.19614502037100001</v>
      </c>
    </row>
    <row r="87" spans="1:11" ht="14.4" customHeight="1" thickBot="1" x14ac:dyDescent="0.35">
      <c r="A87" s="636" t="s">
        <v>403</v>
      </c>
      <c r="B87" s="614">
        <v>5.1208107098470004</v>
      </c>
      <c r="C87" s="614">
        <v>4.4831899999999996</v>
      </c>
      <c r="D87" s="615">
        <v>-0.63762070984700003</v>
      </c>
      <c r="E87" s="616">
        <v>0.87548442112400005</v>
      </c>
      <c r="F87" s="614">
        <v>4.9882358659520003</v>
      </c>
      <c r="G87" s="615">
        <v>0.83137264432500002</v>
      </c>
      <c r="H87" s="617">
        <v>0.50153999999999999</v>
      </c>
      <c r="I87" s="614">
        <v>0.54346000000000005</v>
      </c>
      <c r="J87" s="615">
        <v>-0.28791264432500002</v>
      </c>
      <c r="K87" s="618">
        <v>0.108948336567</v>
      </c>
    </row>
    <row r="88" spans="1:11" ht="14.4" customHeight="1" thickBot="1" x14ac:dyDescent="0.35">
      <c r="A88" s="635" t="s">
        <v>404</v>
      </c>
      <c r="B88" s="619">
        <v>35.893306920904003</v>
      </c>
      <c r="C88" s="619">
        <v>34.533819999999999</v>
      </c>
      <c r="D88" s="620">
        <v>-1.3594869209039999</v>
      </c>
      <c r="E88" s="626">
        <v>0.96212422210299997</v>
      </c>
      <c r="F88" s="619">
        <v>33</v>
      </c>
      <c r="G88" s="620">
        <v>5.5</v>
      </c>
      <c r="H88" s="622">
        <v>0</v>
      </c>
      <c r="I88" s="619">
        <v>21.148</v>
      </c>
      <c r="J88" s="620">
        <v>15.648</v>
      </c>
      <c r="K88" s="627">
        <v>0.64084848484800006</v>
      </c>
    </row>
    <row r="89" spans="1:11" ht="14.4" customHeight="1" thickBot="1" x14ac:dyDescent="0.35">
      <c r="A89" s="636" t="s">
        <v>405</v>
      </c>
      <c r="B89" s="614">
        <v>12.999979310038</v>
      </c>
      <c r="C89" s="614">
        <v>12.96</v>
      </c>
      <c r="D89" s="615">
        <v>-3.9979310038000003E-2</v>
      </c>
      <c r="E89" s="616">
        <v>0.996924663564</v>
      </c>
      <c r="F89" s="614">
        <v>11</v>
      </c>
      <c r="G89" s="615">
        <v>1.833333333333</v>
      </c>
      <c r="H89" s="617">
        <v>0</v>
      </c>
      <c r="I89" s="614">
        <v>3.24</v>
      </c>
      <c r="J89" s="615">
        <v>1.4066666666659999</v>
      </c>
      <c r="K89" s="618">
        <v>0.29454545454499997</v>
      </c>
    </row>
    <row r="90" spans="1:11" ht="14.4" customHeight="1" thickBot="1" x14ac:dyDescent="0.35">
      <c r="A90" s="636" t="s">
        <v>406</v>
      </c>
      <c r="B90" s="614">
        <v>22.893327610865999</v>
      </c>
      <c r="C90" s="614">
        <v>21.573820000000001</v>
      </c>
      <c r="D90" s="615">
        <v>-1.319507610866</v>
      </c>
      <c r="E90" s="616">
        <v>0.94236278651600003</v>
      </c>
      <c r="F90" s="614">
        <v>22</v>
      </c>
      <c r="G90" s="615">
        <v>3.6666666666659999</v>
      </c>
      <c r="H90" s="617">
        <v>0</v>
      </c>
      <c r="I90" s="614">
        <v>17.908000000000001</v>
      </c>
      <c r="J90" s="615">
        <v>14.241333333332999</v>
      </c>
      <c r="K90" s="618">
        <v>0.81399999999899997</v>
      </c>
    </row>
    <row r="91" spans="1:11" ht="14.4" customHeight="1" thickBot="1" x14ac:dyDescent="0.35">
      <c r="A91" s="635" t="s">
        <v>407</v>
      </c>
      <c r="B91" s="619">
        <v>448.06023074944898</v>
      </c>
      <c r="C91" s="619">
        <v>455.68596000000002</v>
      </c>
      <c r="D91" s="620">
        <v>7.6257292505510001</v>
      </c>
      <c r="E91" s="626">
        <v>1.0170194289229999</v>
      </c>
      <c r="F91" s="619">
        <v>474.22825453617202</v>
      </c>
      <c r="G91" s="620">
        <v>79.038042422695</v>
      </c>
      <c r="H91" s="622">
        <v>33.077710000000003</v>
      </c>
      <c r="I91" s="619">
        <v>67.44896</v>
      </c>
      <c r="J91" s="620">
        <v>-11.589082422695</v>
      </c>
      <c r="K91" s="627">
        <v>0.142228893691</v>
      </c>
    </row>
    <row r="92" spans="1:11" ht="14.4" customHeight="1" thickBot="1" x14ac:dyDescent="0.35">
      <c r="A92" s="636" t="s">
        <v>408</v>
      </c>
      <c r="B92" s="614">
        <v>448.06023074944898</v>
      </c>
      <c r="C92" s="614">
        <v>405.51229999999998</v>
      </c>
      <c r="D92" s="615">
        <v>-42.547930749448</v>
      </c>
      <c r="E92" s="616">
        <v>0.90503970709799997</v>
      </c>
      <c r="F92" s="614">
        <v>421</v>
      </c>
      <c r="G92" s="615">
        <v>70.166666666666003</v>
      </c>
      <c r="H92" s="617">
        <v>33.077710000000003</v>
      </c>
      <c r="I92" s="614">
        <v>67.44896</v>
      </c>
      <c r="J92" s="615">
        <v>-2.7177066666659999</v>
      </c>
      <c r="K92" s="618">
        <v>0.16021130641299999</v>
      </c>
    </row>
    <row r="93" spans="1:11" ht="14.4" customHeight="1" thickBot="1" x14ac:dyDescent="0.35">
      <c r="A93" s="636" t="s">
        <v>409</v>
      </c>
      <c r="B93" s="614">
        <v>0</v>
      </c>
      <c r="C93" s="614">
        <v>43.736660000000001</v>
      </c>
      <c r="D93" s="615">
        <v>43.736660000000001</v>
      </c>
      <c r="E93" s="624" t="s">
        <v>335</v>
      </c>
      <c r="F93" s="614">
        <v>46</v>
      </c>
      <c r="G93" s="615">
        <v>7.6666666666659999</v>
      </c>
      <c r="H93" s="617">
        <v>0</v>
      </c>
      <c r="I93" s="614">
        <v>0</v>
      </c>
      <c r="J93" s="615">
        <v>-7.6666666666659999</v>
      </c>
      <c r="K93" s="618">
        <v>0</v>
      </c>
    </row>
    <row r="94" spans="1:11" ht="14.4" customHeight="1" thickBot="1" x14ac:dyDescent="0.35">
      <c r="A94" s="636" t="s">
        <v>410</v>
      </c>
      <c r="B94" s="614">
        <v>0</v>
      </c>
      <c r="C94" s="614">
        <v>6.4370000000000003</v>
      </c>
      <c r="D94" s="615">
        <v>6.4370000000000003</v>
      </c>
      <c r="E94" s="624" t="s">
        <v>335</v>
      </c>
      <c r="F94" s="614">
        <v>7.2282545361709998</v>
      </c>
      <c r="G94" s="615">
        <v>1.204709089361</v>
      </c>
      <c r="H94" s="617">
        <v>0</v>
      </c>
      <c r="I94" s="614">
        <v>0</v>
      </c>
      <c r="J94" s="615">
        <v>-1.204709089361</v>
      </c>
      <c r="K94" s="618">
        <v>0</v>
      </c>
    </row>
    <row r="95" spans="1:11" ht="14.4" customHeight="1" thickBot="1" x14ac:dyDescent="0.35">
      <c r="A95" s="635" t="s">
        <v>411</v>
      </c>
      <c r="B95" s="619">
        <v>473.73746391742799</v>
      </c>
      <c r="C95" s="619">
        <v>514.79544999999996</v>
      </c>
      <c r="D95" s="620">
        <v>41.057986082570999</v>
      </c>
      <c r="E95" s="626">
        <v>1.0866682270450001</v>
      </c>
      <c r="F95" s="619">
        <v>512.39584433686002</v>
      </c>
      <c r="G95" s="620">
        <v>85.399307389475993</v>
      </c>
      <c r="H95" s="622">
        <v>14.99404</v>
      </c>
      <c r="I95" s="619">
        <v>25.328769999999999</v>
      </c>
      <c r="J95" s="620">
        <v>-60.070537389476002</v>
      </c>
      <c r="K95" s="627">
        <v>4.9432036344000001E-2</v>
      </c>
    </row>
    <row r="96" spans="1:11" ht="14.4" customHeight="1" thickBot="1" x14ac:dyDescent="0.35">
      <c r="A96" s="636" t="s">
        <v>412</v>
      </c>
      <c r="B96" s="614">
        <v>0.99999840846400001</v>
      </c>
      <c r="C96" s="614">
        <v>0.90500000000000003</v>
      </c>
      <c r="D96" s="615">
        <v>-9.4998408463999998E-2</v>
      </c>
      <c r="E96" s="616">
        <v>0.90500144034100005</v>
      </c>
      <c r="F96" s="614">
        <v>14.103999999998999</v>
      </c>
      <c r="G96" s="615">
        <v>2.3506666666660001</v>
      </c>
      <c r="H96" s="617">
        <v>0</v>
      </c>
      <c r="I96" s="614">
        <v>0</v>
      </c>
      <c r="J96" s="615">
        <v>-2.3506666666660001</v>
      </c>
      <c r="K96" s="618">
        <v>0</v>
      </c>
    </row>
    <row r="97" spans="1:11" ht="14.4" customHeight="1" thickBot="1" x14ac:dyDescent="0.35">
      <c r="A97" s="636" t="s">
        <v>413</v>
      </c>
      <c r="B97" s="614">
        <v>380.53282531032397</v>
      </c>
      <c r="C97" s="614">
        <v>458.89452999999997</v>
      </c>
      <c r="D97" s="615">
        <v>78.361704689674994</v>
      </c>
      <c r="E97" s="616">
        <v>1.20592626832</v>
      </c>
      <c r="F97" s="614">
        <v>414.07075081599601</v>
      </c>
      <c r="G97" s="615">
        <v>69.011791802665996</v>
      </c>
      <c r="H97" s="617">
        <v>14.99404</v>
      </c>
      <c r="I97" s="614">
        <v>21.826599999999999</v>
      </c>
      <c r="J97" s="615">
        <v>-47.185191802665997</v>
      </c>
      <c r="K97" s="618">
        <v>5.2712247742E-2</v>
      </c>
    </row>
    <row r="98" spans="1:11" ht="14.4" customHeight="1" thickBot="1" x14ac:dyDescent="0.35">
      <c r="A98" s="636" t="s">
        <v>414</v>
      </c>
      <c r="B98" s="614">
        <v>5.999990450786</v>
      </c>
      <c r="C98" s="614">
        <v>4.2519999999999998</v>
      </c>
      <c r="D98" s="615">
        <v>-1.747990450786</v>
      </c>
      <c r="E98" s="616">
        <v>0.70866779453600004</v>
      </c>
      <c r="F98" s="614">
        <v>5</v>
      </c>
      <c r="G98" s="615">
        <v>0.83333333333299997</v>
      </c>
      <c r="H98" s="617">
        <v>0</v>
      </c>
      <c r="I98" s="614">
        <v>0</v>
      </c>
      <c r="J98" s="615">
        <v>-0.83333333333299997</v>
      </c>
      <c r="K98" s="618">
        <v>0</v>
      </c>
    </row>
    <row r="99" spans="1:11" ht="14.4" customHeight="1" thickBot="1" x14ac:dyDescent="0.35">
      <c r="A99" s="636" t="s">
        <v>415</v>
      </c>
      <c r="B99" s="614">
        <v>1.7826979080700001</v>
      </c>
      <c r="C99" s="614">
        <v>0.77439999999999998</v>
      </c>
      <c r="D99" s="615">
        <v>-1.0082979080700001</v>
      </c>
      <c r="E99" s="616">
        <v>0.43439777232799998</v>
      </c>
      <c r="F99" s="614">
        <v>1.3958282360259999</v>
      </c>
      <c r="G99" s="615">
        <v>0.232638039337</v>
      </c>
      <c r="H99" s="617">
        <v>0</v>
      </c>
      <c r="I99" s="614">
        <v>0</v>
      </c>
      <c r="J99" s="615">
        <v>-0.232638039337</v>
      </c>
      <c r="K99" s="618">
        <v>0</v>
      </c>
    </row>
    <row r="100" spans="1:11" ht="14.4" customHeight="1" thickBot="1" x14ac:dyDescent="0.35">
      <c r="A100" s="636" t="s">
        <v>416</v>
      </c>
      <c r="B100" s="614">
        <v>84.421951839781997</v>
      </c>
      <c r="C100" s="614">
        <v>49.969520000000003</v>
      </c>
      <c r="D100" s="615">
        <v>-34.452431839782001</v>
      </c>
      <c r="E100" s="616">
        <v>0.59190197467600003</v>
      </c>
      <c r="F100" s="614">
        <v>77.825265284835993</v>
      </c>
      <c r="G100" s="615">
        <v>12.970877547472</v>
      </c>
      <c r="H100" s="617">
        <v>0</v>
      </c>
      <c r="I100" s="614">
        <v>3.50217</v>
      </c>
      <c r="J100" s="615">
        <v>-9.4687075474720004</v>
      </c>
      <c r="K100" s="618">
        <v>4.5000424825000003E-2</v>
      </c>
    </row>
    <row r="101" spans="1:11" ht="14.4" customHeight="1" thickBot="1" x14ac:dyDescent="0.35">
      <c r="A101" s="633" t="s">
        <v>35</v>
      </c>
      <c r="B101" s="614">
        <v>38949.383767820298</v>
      </c>
      <c r="C101" s="614">
        <v>42785.85441</v>
      </c>
      <c r="D101" s="615">
        <v>3836.47064217969</v>
      </c>
      <c r="E101" s="616">
        <v>1.098498879084</v>
      </c>
      <c r="F101" s="614">
        <v>43931</v>
      </c>
      <c r="G101" s="615">
        <v>7321.8333333333303</v>
      </c>
      <c r="H101" s="617">
        <v>3506.4272299999998</v>
      </c>
      <c r="I101" s="614">
        <v>7176.3363200000003</v>
      </c>
      <c r="J101" s="615">
        <v>-145.49701333333499</v>
      </c>
      <c r="K101" s="618">
        <v>0.16335472263299999</v>
      </c>
    </row>
    <row r="102" spans="1:11" ht="14.4" customHeight="1" thickBot="1" x14ac:dyDescent="0.35">
      <c r="A102" s="639" t="s">
        <v>417</v>
      </c>
      <c r="B102" s="619">
        <v>28782.183045425601</v>
      </c>
      <c r="C102" s="619">
        <v>31677.327000000001</v>
      </c>
      <c r="D102" s="620">
        <v>2895.1439545743801</v>
      </c>
      <c r="E102" s="626">
        <v>1.1005880599810001</v>
      </c>
      <c r="F102" s="619">
        <v>32345</v>
      </c>
      <c r="G102" s="620">
        <v>5390.8333333333403</v>
      </c>
      <c r="H102" s="622">
        <v>2582.123</v>
      </c>
      <c r="I102" s="619">
        <v>5281.9709999999995</v>
      </c>
      <c r="J102" s="620">
        <v>-108.86233333333701</v>
      </c>
      <c r="K102" s="627">
        <v>0.16330100479199999</v>
      </c>
    </row>
    <row r="103" spans="1:11" ht="14.4" customHeight="1" thickBot="1" x14ac:dyDescent="0.35">
      <c r="A103" s="635" t="s">
        <v>418</v>
      </c>
      <c r="B103" s="619">
        <v>28640.0020342934</v>
      </c>
      <c r="C103" s="619">
        <v>31543.356</v>
      </c>
      <c r="D103" s="620">
        <v>2903.3539657065799</v>
      </c>
      <c r="E103" s="626">
        <v>1.1013740837799999</v>
      </c>
      <c r="F103" s="619">
        <v>32185</v>
      </c>
      <c r="G103" s="620">
        <v>5364.1666666666697</v>
      </c>
      <c r="H103" s="622">
        <v>2567.23</v>
      </c>
      <c r="I103" s="619">
        <v>5261.5379999999996</v>
      </c>
      <c r="J103" s="620">
        <v>-102.62866666667</v>
      </c>
      <c r="K103" s="627">
        <v>0.16347795556899999</v>
      </c>
    </row>
    <row r="104" spans="1:11" ht="14.4" customHeight="1" thickBot="1" x14ac:dyDescent="0.35">
      <c r="A104" s="636" t="s">
        <v>419</v>
      </c>
      <c r="B104" s="614">
        <v>28640.0020342934</v>
      </c>
      <c r="C104" s="614">
        <v>31543.356</v>
      </c>
      <c r="D104" s="615">
        <v>2903.3539657065799</v>
      </c>
      <c r="E104" s="616">
        <v>1.1013740837799999</v>
      </c>
      <c r="F104" s="614">
        <v>32185</v>
      </c>
      <c r="G104" s="615">
        <v>5364.1666666666697</v>
      </c>
      <c r="H104" s="617">
        <v>2567.23</v>
      </c>
      <c r="I104" s="614">
        <v>5261.5379999999996</v>
      </c>
      <c r="J104" s="615">
        <v>-102.62866666667</v>
      </c>
      <c r="K104" s="618">
        <v>0.16347795556899999</v>
      </c>
    </row>
    <row r="105" spans="1:11" ht="14.4" customHeight="1" thickBot="1" x14ac:dyDescent="0.35">
      <c r="A105" s="635" t="s">
        <v>420</v>
      </c>
      <c r="B105" s="619">
        <v>60.000005416769</v>
      </c>
      <c r="C105" s="619">
        <v>67.2</v>
      </c>
      <c r="D105" s="620">
        <v>7.1999945832299996</v>
      </c>
      <c r="E105" s="626">
        <v>1.119999898886</v>
      </c>
      <c r="F105" s="619">
        <v>69.999999999999005</v>
      </c>
      <c r="G105" s="620">
        <v>11.666666666666</v>
      </c>
      <c r="H105" s="622">
        <v>9.6</v>
      </c>
      <c r="I105" s="619">
        <v>9.6</v>
      </c>
      <c r="J105" s="620">
        <v>-2.0666666666659999</v>
      </c>
      <c r="K105" s="627">
        <v>0.137142857142</v>
      </c>
    </row>
    <row r="106" spans="1:11" ht="14.4" customHeight="1" thickBot="1" x14ac:dyDescent="0.35">
      <c r="A106" s="636" t="s">
        <v>421</v>
      </c>
      <c r="B106" s="614">
        <v>60.000005416769</v>
      </c>
      <c r="C106" s="614">
        <v>67.2</v>
      </c>
      <c r="D106" s="615">
        <v>7.1999945832299996</v>
      </c>
      <c r="E106" s="616">
        <v>1.119999898886</v>
      </c>
      <c r="F106" s="614">
        <v>69.999999999999005</v>
      </c>
      <c r="G106" s="615">
        <v>11.666666666666</v>
      </c>
      <c r="H106" s="617">
        <v>9.6</v>
      </c>
      <c r="I106" s="614">
        <v>9.6</v>
      </c>
      <c r="J106" s="615">
        <v>-2.0666666666659999</v>
      </c>
      <c r="K106" s="618">
        <v>0.137142857142</v>
      </c>
    </row>
    <row r="107" spans="1:11" ht="14.4" customHeight="1" thickBot="1" x14ac:dyDescent="0.35">
      <c r="A107" s="635" t="s">
        <v>422</v>
      </c>
      <c r="B107" s="619">
        <v>82.181005715430999</v>
      </c>
      <c r="C107" s="619">
        <v>66.771000000000001</v>
      </c>
      <c r="D107" s="620">
        <v>-15.410005715431</v>
      </c>
      <c r="E107" s="626">
        <v>0.81248701471399998</v>
      </c>
      <c r="F107" s="619">
        <v>90</v>
      </c>
      <c r="G107" s="620">
        <v>15</v>
      </c>
      <c r="H107" s="622">
        <v>5.2930000000000001</v>
      </c>
      <c r="I107" s="619">
        <v>10.833</v>
      </c>
      <c r="J107" s="620">
        <v>-4.1669999999999998</v>
      </c>
      <c r="K107" s="627">
        <v>0.120366666666</v>
      </c>
    </row>
    <row r="108" spans="1:11" ht="14.4" customHeight="1" thickBot="1" x14ac:dyDescent="0.35">
      <c r="A108" s="636" t="s">
        <v>423</v>
      </c>
      <c r="B108" s="614">
        <v>82.181005715430999</v>
      </c>
      <c r="C108" s="614">
        <v>66.771000000000001</v>
      </c>
      <c r="D108" s="615">
        <v>-15.410005715431</v>
      </c>
      <c r="E108" s="616">
        <v>0.81248701471399998</v>
      </c>
      <c r="F108" s="614">
        <v>90</v>
      </c>
      <c r="G108" s="615">
        <v>15</v>
      </c>
      <c r="H108" s="617">
        <v>5.2930000000000001</v>
      </c>
      <c r="I108" s="614">
        <v>10.833</v>
      </c>
      <c r="J108" s="615">
        <v>-4.1669999999999998</v>
      </c>
      <c r="K108" s="618">
        <v>0.120366666666</v>
      </c>
    </row>
    <row r="109" spans="1:11" ht="14.4" customHeight="1" thickBot="1" x14ac:dyDescent="0.35">
      <c r="A109" s="634" t="s">
        <v>424</v>
      </c>
      <c r="B109" s="614">
        <v>9737.6006917700306</v>
      </c>
      <c r="C109" s="614">
        <v>10634.37478</v>
      </c>
      <c r="D109" s="615">
        <v>896.77408822997495</v>
      </c>
      <c r="E109" s="616">
        <v>1.0920939476380001</v>
      </c>
      <c r="F109" s="614">
        <v>10942</v>
      </c>
      <c r="G109" s="615">
        <v>1823.6666666666599</v>
      </c>
      <c r="H109" s="617">
        <v>872.85640000000001</v>
      </c>
      <c r="I109" s="614">
        <v>1788.9190000000001</v>
      </c>
      <c r="J109" s="615">
        <v>-34.747666666664003</v>
      </c>
      <c r="K109" s="618">
        <v>0.163491043684</v>
      </c>
    </row>
    <row r="110" spans="1:11" ht="14.4" customHeight="1" thickBot="1" x14ac:dyDescent="0.35">
      <c r="A110" s="635" t="s">
        <v>425</v>
      </c>
      <c r="B110" s="619">
        <v>2577.6001831966701</v>
      </c>
      <c r="C110" s="619">
        <v>2838.89878</v>
      </c>
      <c r="D110" s="620">
        <v>261.29859680332999</v>
      </c>
      <c r="E110" s="626">
        <v>1.1013728189909999</v>
      </c>
      <c r="F110" s="619">
        <v>2895.99999999999</v>
      </c>
      <c r="G110" s="620">
        <v>482.66666666666498</v>
      </c>
      <c r="H110" s="622">
        <v>231.0489</v>
      </c>
      <c r="I110" s="619">
        <v>473.53449999999998</v>
      </c>
      <c r="J110" s="620">
        <v>-9.1321666666640002</v>
      </c>
      <c r="K110" s="627">
        <v>0.16351329419800001</v>
      </c>
    </row>
    <row r="111" spans="1:11" ht="14.4" customHeight="1" thickBot="1" x14ac:dyDescent="0.35">
      <c r="A111" s="636" t="s">
        <v>426</v>
      </c>
      <c r="B111" s="614">
        <v>2577.6001831966701</v>
      </c>
      <c r="C111" s="614">
        <v>2838.89878</v>
      </c>
      <c r="D111" s="615">
        <v>261.29859680332999</v>
      </c>
      <c r="E111" s="616">
        <v>1.1013728189909999</v>
      </c>
      <c r="F111" s="614">
        <v>2895.99999999999</v>
      </c>
      <c r="G111" s="615">
        <v>482.66666666666498</v>
      </c>
      <c r="H111" s="617">
        <v>231.0489</v>
      </c>
      <c r="I111" s="614">
        <v>473.53449999999998</v>
      </c>
      <c r="J111" s="615">
        <v>-9.1321666666640002</v>
      </c>
      <c r="K111" s="618">
        <v>0.16351329419800001</v>
      </c>
    </row>
    <row r="112" spans="1:11" ht="14.4" customHeight="1" thickBot="1" x14ac:dyDescent="0.35">
      <c r="A112" s="635" t="s">
        <v>427</v>
      </c>
      <c r="B112" s="619">
        <v>7160.0005085733601</v>
      </c>
      <c r="C112" s="619">
        <v>7795.4759999999997</v>
      </c>
      <c r="D112" s="620">
        <v>635.475491426644</v>
      </c>
      <c r="E112" s="626">
        <v>1.08875355395</v>
      </c>
      <c r="F112" s="619">
        <v>8046</v>
      </c>
      <c r="G112" s="620">
        <v>1341</v>
      </c>
      <c r="H112" s="622">
        <v>641.8075</v>
      </c>
      <c r="I112" s="619">
        <v>1315.3844999999999</v>
      </c>
      <c r="J112" s="620">
        <v>-25.615499999998999</v>
      </c>
      <c r="K112" s="627">
        <v>0.16348303504799999</v>
      </c>
    </row>
    <row r="113" spans="1:11" ht="14.4" customHeight="1" thickBot="1" x14ac:dyDescent="0.35">
      <c r="A113" s="636" t="s">
        <v>428</v>
      </c>
      <c r="B113" s="614">
        <v>7160.0005085733601</v>
      </c>
      <c r="C113" s="614">
        <v>7795.4759999999997</v>
      </c>
      <c r="D113" s="615">
        <v>635.475491426644</v>
      </c>
      <c r="E113" s="616">
        <v>1.08875355395</v>
      </c>
      <c r="F113" s="614">
        <v>8046</v>
      </c>
      <c r="G113" s="615">
        <v>1341</v>
      </c>
      <c r="H113" s="617">
        <v>641.8075</v>
      </c>
      <c r="I113" s="614">
        <v>1315.3844999999999</v>
      </c>
      <c r="J113" s="615">
        <v>-25.615499999998999</v>
      </c>
      <c r="K113" s="618">
        <v>0.16348303504799999</v>
      </c>
    </row>
    <row r="114" spans="1:11" ht="14.4" customHeight="1" thickBot="1" x14ac:dyDescent="0.35">
      <c r="A114" s="634" t="s">
        <v>429</v>
      </c>
      <c r="B114" s="614">
        <v>429.60003062466399</v>
      </c>
      <c r="C114" s="614">
        <v>474.15262999999999</v>
      </c>
      <c r="D114" s="615">
        <v>44.552599375336001</v>
      </c>
      <c r="E114" s="616">
        <v>1.1037071606119999</v>
      </c>
      <c r="F114" s="614">
        <v>644.00000000000102</v>
      </c>
      <c r="G114" s="615">
        <v>107.333333333333</v>
      </c>
      <c r="H114" s="617">
        <v>51.447830000000003</v>
      </c>
      <c r="I114" s="614">
        <v>105.44632</v>
      </c>
      <c r="J114" s="615">
        <v>-1.8870133333329999</v>
      </c>
      <c r="K114" s="618">
        <v>0.163736521739</v>
      </c>
    </row>
    <row r="115" spans="1:11" ht="14.4" customHeight="1" thickBot="1" x14ac:dyDescent="0.35">
      <c r="A115" s="635" t="s">
        <v>430</v>
      </c>
      <c r="B115" s="619">
        <v>429.60003062466399</v>
      </c>
      <c r="C115" s="619">
        <v>474.15262999999999</v>
      </c>
      <c r="D115" s="620">
        <v>44.552599375336001</v>
      </c>
      <c r="E115" s="626">
        <v>1.1037071606119999</v>
      </c>
      <c r="F115" s="619">
        <v>644.00000000000102</v>
      </c>
      <c r="G115" s="620">
        <v>107.333333333333</v>
      </c>
      <c r="H115" s="622">
        <v>51.447830000000003</v>
      </c>
      <c r="I115" s="619">
        <v>105.44632</v>
      </c>
      <c r="J115" s="620">
        <v>-1.8870133333329999</v>
      </c>
      <c r="K115" s="627">
        <v>0.163736521739</v>
      </c>
    </row>
    <row r="116" spans="1:11" ht="14.4" customHeight="1" thickBot="1" x14ac:dyDescent="0.35">
      <c r="A116" s="636" t="s">
        <v>431</v>
      </c>
      <c r="B116" s="614">
        <v>429.60003062466399</v>
      </c>
      <c r="C116" s="614">
        <v>474.15262999999999</v>
      </c>
      <c r="D116" s="615">
        <v>44.552599375336001</v>
      </c>
      <c r="E116" s="616">
        <v>1.1037071606119999</v>
      </c>
      <c r="F116" s="614">
        <v>644.00000000000102</v>
      </c>
      <c r="G116" s="615">
        <v>107.333333333333</v>
      </c>
      <c r="H116" s="617">
        <v>51.447830000000003</v>
      </c>
      <c r="I116" s="614">
        <v>105.44632</v>
      </c>
      <c r="J116" s="615">
        <v>-1.8870133333329999</v>
      </c>
      <c r="K116" s="618">
        <v>0.163736521739</v>
      </c>
    </row>
    <row r="117" spans="1:11" ht="14.4" customHeight="1" thickBot="1" x14ac:dyDescent="0.35">
      <c r="A117" s="633" t="s">
        <v>432</v>
      </c>
      <c r="B117" s="614">
        <v>0</v>
      </c>
      <c r="C117" s="614">
        <v>327.65883000000002</v>
      </c>
      <c r="D117" s="615">
        <v>327.65883000000002</v>
      </c>
      <c r="E117" s="624" t="s">
        <v>323</v>
      </c>
      <c r="F117" s="614">
        <v>0</v>
      </c>
      <c r="G117" s="615">
        <v>0</v>
      </c>
      <c r="H117" s="617">
        <v>29.097999999999999</v>
      </c>
      <c r="I117" s="614">
        <v>29.097999999999999</v>
      </c>
      <c r="J117" s="615">
        <v>29.097999999999999</v>
      </c>
      <c r="K117" s="625" t="s">
        <v>323</v>
      </c>
    </row>
    <row r="118" spans="1:11" ht="14.4" customHeight="1" thickBot="1" x14ac:dyDescent="0.35">
      <c r="A118" s="634" t="s">
        <v>433</v>
      </c>
      <c r="B118" s="614">
        <v>0</v>
      </c>
      <c r="C118" s="614">
        <v>327.65883000000002</v>
      </c>
      <c r="D118" s="615">
        <v>327.65883000000002</v>
      </c>
      <c r="E118" s="624" t="s">
        <v>323</v>
      </c>
      <c r="F118" s="614">
        <v>0</v>
      </c>
      <c r="G118" s="615">
        <v>0</v>
      </c>
      <c r="H118" s="617">
        <v>29.097999999999999</v>
      </c>
      <c r="I118" s="614">
        <v>29.097999999999999</v>
      </c>
      <c r="J118" s="615">
        <v>29.097999999999999</v>
      </c>
      <c r="K118" s="625" t="s">
        <v>323</v>
      </c>
    </row>
    <row r="119" spans="1:11" ht="14.4" customHeight="1" thickBot="1" x14ac:dyDescent="0.35">
      <c r="A119" s="635" t="s">
        <v>434</v>
      </c>
      <c r="B119" s="619">
        <v>0</v>
      </c>
      <c r="C119" s="619">
        <v>298.55883</v>
      </c>
      <c r="D119" s="620">
        <v>298.55883</v>
      </c>
      <c r="E119" s="621" t="s">
        <v>323</v>
      </c>
      <c r="F119" s="619">
        <v>0</v>
      </c>
      <c r="G119" s="620">
        <v>0</v>
      </c>
      <c r="H119" s="622">
        <v>26.198</v>
      </c>
      <c r="I119" s="619">
        <v>26.198</v>
      </c>
      <c r="J119" s="620">
        <v>26.198</v>
      </c>
      <c r="K119" s="623" t="s">
        <v>323</v>
      </c>
    </row>
    <row r="120" spans="1:11" ht="14.4" customHeight="1" thickBot="1" x14ac:dyDescent="0.35">
      <c r="A120" s="636" t="s">
        <v>435</v>
      </c>
      <c r="B120" s="614">
        <v>0</v>
      </c>
      <c r="C120" s="614">
        <v>1.88083</v>
      </c>
      <c r="D120" s="615">
        <v>1.88083</v>
      </c>
      <c r="E120" s="624" t="s">
        <v>323</v>
      </c>
      <c r="F120" s="614">
        <v>0</v>
      </c>
      <c r="G120" s="615">
        <v>0</v>
      </c>
      <c r="H120" s="617">
        <v>0</v>
      </c>
      <c r="I120" s="614">
        <v>0</v>
      </c>
      <c r="J120" s="615">
        <v>0</v>
      </c>
      <c r="K120" s="625" t="s">
        <v>323</v>
      </c>
    </row>
    <row r="121" spans="1:11" ht="14.4" customHeight="1" thickBot="1" x14ac:dyDescent="0.35">
      <c r="A121" s="636" t="s">
        <v>436</v>
      </c>
      <c r="B121" s="614">
        <v>0</v>
      </c>
      <c r="C121" s="614">
        <v>5</v>
      </c>
      <c r="D121" s="615">
        <v>5</v>
      </c>
      <c r="E121" s="624" t="s">
        <v>323</v>
      </c>
      <c r="F121" s="614">
        <v>0</v>
      </c>
      <c r="G121" s="615">
        <v>0</v>
      </c>
      <c r="H121" s="617">
        <v>0</v>
      </c>
      <c r="I121" s="614">
        <v>0</v>
      </c>
      <c r="J121" s="615">
        <v>0</v>
      </c>
      <c r="K121" s="625" t="s">
        <v>323</v>
      </c>
    </row>
    <row r="122" spans="1:11" ht="14.4" customHeight="1" thickBot="1" x14ac:dyDescent="0.35">
      <c r="A122" s="636" t="s">
        <v>437</v>
      </c>
      <c r="B122" s="614">
        <v>0</v>
      </c>
      <c r="C122" s="614">
        <v>194.39699999999999</v>
      </c>
      <c r="D122" s="615">
        <v>194.39699999999999</v>
      </c>
      <c r="E122" s="624" t="s">
        <v>323</v>
      </c>
      <c r="F122" s="614">
        <v>0</v>
      </c>
      <c r="G122" s="615">
        <v>0</v>
      </c>
      <c r="H122" s="617">
        <v>26.198</v>
      </c>
      <c r="I122" s="614">
        <v>26.198</v>
      </c>
      <c r="J122" s="615">
        <v>26.198</v>
      </c>
      <c r="K122" s="625" t="s">
        <v>323</v>
      </c>
    </row>
    <row r="123" spans="1:11" ht="14.4" customHeight="1" thickBot="1" x14ac:dyDescent="0.35">
      <c r="A123" s="636" t="s">
        <v>438</v>
      </c>
      <c r="B123" s="614">
        <v>0</v>
      </c>
      <c r="C123" s="614">
        <v>97.281000000000006</v>
      </c>
      <c r="D123" s="615">
        <v>97.281000000000006</v>
      </c>
      <c r="E123" s="624" t="s">
        <v>323</v>
      </c>
      <c r="F123" s="614">
        <v>0</v>
      </c>
      <c r="G123" s="615">
        <v>0</v>
      </c>
      <c r="H123" s="617">
        <v>0</v>
      </c>
      <c r="I123" s="614">
        <v>0</v>
      </c>
      <c r="J123" s="615">
        <v>0</v>
      </c>
      <c r="K123" s="625" t="s">
        <v>323</v>
      </c>
    </row>
    <row r="124" spans="1:11" ht="14.4" customHeight="1" thickBot="1" x14ac:dyDescent="0.35">
      <c r="A124" s="638" t="s">
        <v>439</v>
      </c>
      <c r="B124" s="614">
        <v>0</v>
      </c>
      <c r="C124" s="614">
        <v>27.6</v>
      </c>
      <c r="D124" s="615">
        <v>27.6</v>
      </c>
      <c r="E124" s="624" t="s">
        <v>323</v>
      </c>
      <c r="F124" s="614">
        <v>0</v>
      </c>
      <c r="G124" s="615">
        <v>0</v>
      </c>
      <c r="H124" s="617">
        <v>2.9</v>
      </c>
      <c r="I124" s="614">
        <v>2.9</v>
      </c>
      <c r="J124" s="615">
        <v>2.9</v>
      </c>
      <c r="K124" s="625" t="s">
        <v>323</v>
      </c>
    </row>
    <row r="125" spans="1:11" ht="14.4" customHeight="1" thickBot="1" x14ac:dyDescent="0.35">
      <c r="A125" s="636" t="s">
        <v>440</v>
      </c>
      <c r="B125" s="614">
        <v>0</v>
      </c>
      <c r="C125" s="614">
        <v>27.6</v>
      </c>
      <c r="D125" s="615">
        <v>27.6</v>
      </c>
      <c r="E125" s="624" t="s">
        <v>323</v>
      </c>
      <c r="F125" s="614">
        <v>0</v>
      </c>
      <c r="G125" s="615">
        <v>0</v>
      </c>
      <c r="H125" s="617">
        <v>2.9</v>
      </c>
      <c r="I125" s="614">
        <v>2.9</v>
      </c>
      <c r="J125" s="615">
        <v>2.9</v>
      </c>
      <c r="K125" s="625" t="s">
        <v>323</v>
      </c>
    </row>
    <row r="126" spans="1:11" ht="14.4" customHeight="1" thickBot="1" x14ac:dyDescent="0.35">
      <c r="A126" s="638" t="s">
        <v>441</v>
      </c>
      <c r="B126" s="614">
        <v>0</v>
      </c>
      <c r="C126" s="614">
        <v>1.5</v>
      </c>
      <c r="D126" s="615">
        <v>1.5</v>
      </c>
      <c r="E126" s="624" t="s">
        <v>335</v>
      </c>
      <c r="F126" s="614">
        <v>0</v>
      </c>
      <c r="G126" s="615">
        <v>0</v>
      </c>
      <c r="H126" s="617">
        <v>0</v>
      </c>
      <c r="I126" s="614">
        <v>0</v>
      </c>
      <c r="J126" s="615">
        <v>0</v>
      </c>
      <c r="K126" s="625" t="s">
        <v>323</v>
      </c>
    </row>
    <row r="127" spans="1:11" ht="14.4" customHeight="1" thickBot="1" x14ac:dyDescent="0.35">
      <c r="A127" s="636" t="s">
        <v>442</v>
      </c>
      <c r="B127" s="614">
        <v>0</v>
      </c>
      <c r="C127" s="614">
        <v>1.5</v>
      </c>
      <c r="D127" s="615">
        <v>1.5</v>
      </c>
      <c r="E127" s="624" t="s">
        <v>335</v>
      </c>
      <c r="F127" s="614">
        <v>0</v>
      </c>
      <c r="G127" s="615">
        <v>0</v>
      </c>
      <c r="H127" s="617">
        <v>0</v>
      </c>
      <c r="I127" s="614">
        <v>0</v>
      </c>
      <c r="J127" s="615">
        <v>0</v>
      </c>
      <c r="K127" s="625" t="s">
        <v>323</v>
      </c>
    </row>
    <row r="128" spans="1:11" ht="14.4" customHeight="1" thickBot="1" x14ac:dyDescent="0.35">
      <c r="A128" s="633" t="s">
        <v>443</v>
      </c>
      <c r="B128" s="614">
        <v>1830.00422594517</v>
      </c>
      <c r="C128" s="614">
        <v>1932.9524899999999</v>
      </c>
      <c r="D128" s="615">
        <v>102.948264054834</v>
      </c>
      <c r="E128" s="616">
        <v>1.056255752088</v>
      </c>
      <c r="F128" s="614">
        <v>1884</v>
      </c>
      <c r="G128" s="615">
        <v>314.00000000000102</v>
      </c>
      <c r="H128" s="617">
        <v>144.50200000000001</v>
      </c>
      <c r="I128" s="614">
        <v>295.61500000000001</v>
      </c>
      <c r="J128" s="615">
        <v>-18.385000000000002</v>
      </c>
      <c r="K128" s="618">
        <v>0.156908174097</v>
      </c>
    </row>
    <row r="129" spans="1:11" ht="14.4" customHeight="1" thickBot="1" x14ac:dyDescent="0.35">
      <c r="A129" s="634" t="s">
        <v>444</v>
      </c>
      <c r="B129" s="614">
        <v>1830.00422594517</v>
      </c>
      <c r="C129" s="614">
        <v>1836.3420000000001</v>
      </c>
      <c r="D129" s="615">
        <v>6.3377740548329999</v>
      </c>
      <c r="E129" s="616">
        <v>1.0034632565129999</v>
      </c>
      <c r="F129" s="614">
        <v>1884</v>
      </c>
      <c r="G129" s="615">
        <v>314.00000000000102</v>
      </c>
      <c r="H129" s="617">
        <v>144.50200000000001</v>
      </c>
      <c r="I129" s="614">
        <v>295.61500000000001</v>
      </c>
      <c r="J129" s="615">
        <v>-18.385000000000002</v>
      </c>
      <c r="K129" s="618">
        <v>0.156908174097</v>
      </c>
    </row>
    <row r="130" spans="1:11" ht="14.4" customHeight="1" thickBot="1" x14ac:dyDescent="0.35">
      <c r="A130" s="635" t="s">
        <v>445</v>
      </c>
      <c r="B130" s="619">
        <v>1830.00422594517</v>
      </c>
      <c r="C130" s="619">
        <v>1836.3420000000001</v>
      </c>
      <c r="D130" s="620">
        <v>6.3377740548329999</v>
      </c>
      <c r="E130" s="626">
        <v>1.0034632565129999</v>
      </c>
      <c r="F130" s="619">
        <v>1884</v>
      </c>
      <c r="G130" s="620">
        <v>314.00000000000102</v>
      </c>
      <c r="H130" s="622">
        <v>144.50200000000001</v>
      </c>
      <c r="I130" s="619">
        <v>295.61500000000001</v>
      </c>
      <c r="J130" s="620">
        <v>-18.385000000000002</v>
      </c>
      <c r="K130" s="627">
        <v>0.156908174097</v>
      </c>
    </row>
    <row r="131" spans="1:11" ht="14.4" customHeight="1" thickBot="1" x14ac:dyDescent="0.35">
      <c r="A131" s="636" t="s">
        <v>446</v>
      </c>
      <c r="B131" s="614">
        <v>73.000168575954007</v>
      </c>
      <c r="C131" s="614">
        <v>74.475999999999999</v>
      </c>
      <c r="D131" s="615">
        <v>1.4758314240449999</v>
      </c>
      <c r="E131" s="616">
        <v>1.020216822136</v>
      </c>
      <c r="F131" s="614">
        <v>78</v>
      </c>
      <c r="G131" s="615">
        <v>13</v>
      </c>
      <c r="H131" s="617">
        <v>6.4610000000000003</v>
      </c>
      <c r="I131" s="614">
        <v>12.922000000000001</v>
      </c>
      <c r="J131" s="615">
        <v>-7.8E-2</v>
      </c>
      <c r="K131" s="618">
        <v>0.165666666666</v>
      </c>
    </row>
    <row r="132" spans="1:11" ht="14.4" customHeight="1" thickBot="1" x14ac:dyDescent="0.35">
      <c r="A132" s="636" t="s">
        <v>447</v>
      </c>
      <c r="B132" s="614">
        <v>1061.00245012449</v>
      </c>
      <c r="C132" s="614">
        <v>1067.693</v>
      </c>
      <c r="D132" s="615">
        <v>6.6905498755070001</v>
      </c>
      <c r="E132" s="616">
        <v>1.006305875989</v>
      </c>
      <c r="F132" s="614">
        <v>1193</v>
      </c>
      <c r="G132" s="615">
        <v>198.833333333334</v>
      </c>
      <c r="H132" s="617">
        <v>86.947000000000003</v>
      </c>
      <c r="I132" s="614">
        <v>173.89400000000001</v>
      </c>
      <c r="J132" s="615">
        <v>-24.939333333333</v>
      </c>
      <c r="K132" s="618">
        <v>0.14576194467699999</v>
      </c>
    </row>
    <row r="133" spans="1:11" ht="14.4" customHeight="1" thickBot="1" x14ac:dyDescent="0.35">
      <c r="A133" s="636" t="s">
        <v>448</v>
      </c>
      <c r="B133" s="614">
        <v>593.00136939097501</v>
      </c>
      <c r="C133" s="614">
        <v>596.52800000000002</v>
      </c>
      <c r="D133" s="615">
        <v>3.5266306090250001</v>
      </c>
      <c r="E133" s="616">
        <v>1.005947086787</v>
      </c>
      <c r="F133" s="614">
        <v>604.00000000000102</v>
      </c>
      <c r="G133" s="615">
        <v>100.666666666667</v>
      </c>
      <c r="H133" s="617">
        <v>50.345999999999997</v>
      </c>
      <c r="I133" s="614">
        <v>100.69199999999999</v>
      </c>
      <c r="J133" s="615">
        <v>2.5333333332999999E-2</v>
      </c>
      <c r="K133" s="618">
        <v>0.16670860927100001</v>
      </c>
    </row>
    <row r="134" spans="1:11" ht="14.4" customHeight="1" thickBot="1" x14ac:dyDescent="0.35">
      <c r="A134" s="636" t="s">
        <v>449</v>
      </c>
      <c r="B134" s="614">
        <v>103.000237853744</v>
      </c>
      <c r="C134" s="614">
        <v>97.644999999999996</v>
      </c>
      <c r="D134" s="615">
        <v>-5.3552378537439997</v>
      </c>
      <c r="E134" s="616">
        <v>0.94800751954200002</v>
      </c>
      <c r="F134" s="614">
        <v>9</v>
      </c>
      <c r="G134" s="615">
        <v>1.5</v>
      </c>
      <c r="H134" s="617">
        <v>0.748</v>
      </c>
      <c r="I134" s="614">
        <v>8.1069999999999993</v>
      </c>
      <c r="J134" s="615">
        <v>6.6070000000000002</v>
      </c>
      <c r="K134" s="618">
        <v>0.90077777777699997</v>
      </c>
    </row>
    <row r="135" spans="1:11" ht="14.4" customHeight="1" thickBot="1" x14ac:dyDescent="0.35">
      <c r="A135" s="634" t="s">
        <v>450</v>
      </c>
      <c r="B135" s="614">
        <v>0</v>
      </c>
      <c r="C135" s="614">
        <v>96.610489999999999</v>
      </c>
      <c r="D135" s="615">
        <v>96.610489999999999</v>
      </c>
      <c r="E135" s="624" t="s">
        <v>323</v>
      </c>
      <c r="F135" s="614">
        <v>0</v>
      </c>
      <c r="G135" s="615">
        <v>0</v>
      </c>
      <c r="H135" s="617">
        <v>0</v>
      </c>
      <c r="I135" s="614">
        <v>0</v>
      </c>
      <c r="J135" s="615">
        <v>0</v>
      </c>
      <c r="K135" s="625" t="s">
        <v>323</v>
      </c>
    </row>
    <row r="136" spans="1:11" ht="14.4" customHeight="1" thickBot="1" x14ac:dyDescent="0.35">
      <c r="A136" s="635" t="s">
        <v>451</v>
      </c>
      <c r="B136" s="619">
        <v>0</v>
      </c>
      <c r="C136" s="619">
        <v>92.042490000000001</v>
      </c>
      <c r="D136" s="620">
        <v>92.042490000000001</v>
      </c>
      <c r="E136" s="621" t="s">
        <v>323</v>
      </c>
      <c r="F136" s="619">
        <v>0</v>
      </c>
      <c r="G136" s="620">
        <v>0</v>
      </c>
      <c r="H136" s="622">
        <v>0</v>
      </c>
      <c r="I136" s="619">
        <v>0</v>
      </c>
      <c r="J136" s="620">
        <v>0</v>
      </c>
      <c r="K136" s="623" t="s">
        <v>323</v>
      </c>
    </row>
    <row r="137" spans="1:11" ht="14.4" customHeight="1" thickBot="1" x14ac:dyDescent="0.35">
      <c r="A137" s="636" t="s">
        <v>452</v>
      </c>
      <c r="B137" s="614">
        <v>0</v>
      </c>
      <c r="C137" s="614">
        <v>92.042490000000001</v>
      </c>
      <c r="D137" s="615">
        <v>92.042490000000001</v>
      </c>
      <c r="E137" s="624" t="s">
        <v>323</v>
      </c>
      <c r="F137" s="614">
        <v>0</v>
      </c>
      <c r="G137" s="615">
        <v>0</v>
      </c>
      <c r="H137" s="617">
        <v>0</v>
      </c>
      <c r="I137" s="614">
        <v>0</v>
      </c>
      <c r="J137" s="615">
        <v>0</v>
      </c>
      <c r="K137" s="625" t="s">
        <v>323</v>
      </c>
    </row>
    <row r="138" spans="1:11" ht="14.4" customHeight="1" thickBot="1" x14ac:dyDescent="0.35">
      <c r="A138" s="635" t="s">
        <v>453</v>
      </c>
      <c r="B138" s="619">
        <v>0</v>
      </c>
      <c r="C138" s="619">
        <v>4.5679999999999996</v>
      </c>
      <c r="D138" s="620">
        <v>4.5679999999999996</v>
      </c>
      <c r="E138" s="621" t="s">
        <v>323</v>
      </c>
      <c r="F138" s="619">
        <v>0</v>
      </c>
      <c r="G138" s="620">
        <v>0</v>
      </c>
      <c r="H138" s="622">
        <v>0</v>
      </c>
      <c r="I138" s="619">
        <v>0</v>
      </c>
      <c r="J138" s="620">
        <v>0</v>
      </c>
      <c r="K138" s="623" t="s">
        <v>323</v>
      </c>
    </row>
    <row r="139" spans="1:11" ht="14.4" customHeight="1" thickBot="1" x14ac:dyDescent="0.35">
      <c r="A139" s="636" t="s">
        <v>454</v>
      </c>
      <c r="B139" s="614">
        <v>0</v>
      </c>
      <c r="C139" s="614">
        <v>4.5679999999999996</v>
      </c>
      <c r="D139" s="615">
        <v>4.5679999999999996</v>
      </c>
      <c r="E139" s="624" t="s">
        <v>335</v>
      </c>
      <c r="F139" s="614">
        <v>0</v>
      </c>
      <c r="G139" s="615">
        <v>0</v>
      </c>
      <c r="H139" s="617">
        <v>0</v>
      </c>
      <c r="I139" s="614">
        <v>0</v>
      </c>
      <c r="J139" s="615">
        <v>0</v>
      </c>
      <c r="K139" s="625" t="s">
        <v>323</v>
      </c>
    </row>
    <row r="140" spans="1:11" ht="14.4" customHeight="1" thickBot="1" x14ac:dyDescent="0.35">
      <c r="A140" s="633" t="s">
        <v>455</v>
      </c>
      <c r="B140" s="614">
        <v>0</v>
      </c>
      <c r="C140" s="614">
        <v>2.84632</v>
      </c>
      <c r="D140" s="615">
        <v>2.84632</v>
      </c>
      <c r="E140" s="624" t="s">
        <v>323</v>
      </c>
      <c r="F140" s="614">
        <v>0</v>
      </c>
      <c r="G140" s="615">
        <v>0</v>
      </c>
      <c r="H140" s="617">
        <v>0</v>
      </c>
      <c r="I140" s="614">
        <v>0</v>
      </c>
      <c r="J140" s="615">
        <v>0</v>
      </c>
      <c r="K140" s="625" t="s">
        <v>323</v>
      </c>
    </row>
    <row r="141" spans="1:11" ht="14.4" customHeight="1" thickBot="1" x14ac:dyDescent="0.35">
      <c r="A141" s="634" t="s">
        <v>456</v>
      </c>
      <c r="B141" s="614">
        <v>0</v>
      </c>
      <c r="C141" s="614">
        <v>2.84632</v>
      </c>
      <c r="D141" s="615">
        <v>2.84632</v>
      </c>
      <c r="E141" s="624" t="s">
        <v>323</v>
      </c>
      <c r="F141" s="614">
        <v>0</v>
      </c>
      <c r="G141" s="615">
        <v>0</v>
      </c>
      <c r="H141" s="617">
        <v>0</v>
      </c>
      <c r="I141" s="614">
        <v>0</v>
      </c>
      <c r="J141" s="615">
        <v>0</v>
      </c>
      <c r="K141" s="625" t="s">
        <v>323</v>
      </c>
    </row>
    <row r="142" spans="1:11" ht="14.4" customHeight="1" thickBot="1" x14ac:dyDescent="0.35">
      <c r="A142" s="635" t="s">
        <v>457</v>
      </c>
      <c r="B142" s="619">
        <v>0</v>
      </c>
      <c r="C142" s="619">
        <v>2.84632</v>
      </c>
      <c r="D142" s="620">
        <v>2.84632</v>
      </c>
      <c r="E142" s="621" t="s">
        <v>323</v>
      </c>
      <c r="F142" s="619">
        <v>0</v>
      </c>
      <c r="G142" s="620">
        <v>0</v>
      </c>
      <c r="H142" s="622">
        <v>0</v>
      </c>
      <c r="I142" s="619">
        <v>0</v>
      </c>
      <c r="J142" s="620">
        <v>0</v>
      </c>
      <c r="K142" s="623" t="s">
        <v>323</v>
      </c>
    </row>
    <row r="143" spans="1:11" ht="14.4" customHeight="1" thickBot="1" x14ac:dyDescent="0.35">
      <c r="A143" s="636" t="s">
        <v>458</v>
      </c>
      <c r="B143" s="614">
        <v>0</v>
      </c>
      <c r="C143" s="614">
        <v>2.84632</v>
      </c>
      <c r="D143" s="615">
        <v>2.84632</v>
      </c>
      <c r="E143" s="624" t="s">
        <v>323</v>
      </c>
      <c r="F143" s="614">
        <v>0</v>
      </c>
      <c r="G143" s="615">
        <v>0</v>
      </c>
      <c r="H143" s="617">
        <v>0</v>
      </c>
      <c r="I143" s="614">
        <v>0</v>
      </c>
      <c r="J143" s="615">
        <v>0</v>
      </c>
      <c r="K143" s="625" t="s">
        <v>323</v>
      </c>
    </row>
    <row r="144" spans="1:11" ht="14.4" customHeight="1" thickBot="1" x14ac:dyDescent="0.35">
      <c r="A144" s="632" t="s">
        <v>459</v>
      </c>
      <c r="B144" s="614">
        <v>55975.388680743898</v>
      </c>
      <c r="C144" s="614">
        <v>58577.900070000003</v>
      </c>
      <c r="D144" s="615">
        <v>2602.5113892561099</v>
      </c>
      <c r="E144" s="616">
        <v>1.0464938511470001</v>
      </c>
      <c r="F144" s="614">
        <v>59467.387475152398</v>
      </c>
      <c r="G144" s="615">
        <v>9911.2312458587403</v>
      </c>
      <c r="H144" s="617">
        <v>5480.9401900000003</v>
      </c>
      <c r="I144" s="614">
        <v>10211.75722</v>
      </c>
      <c r="J144" s="615">
        <v>300.52597414126097</v>
      </c>
      <c r="K144" s="618">
        <v>0.171720293316</v>
      </c>
    </row>
    <row r="145" spans="1:11" ht="14.4" customHeight="1" thickBot="1" x14ac:dyDescent="0.35">
      <c r="A145" s="633" t="s">
        <v>460</v>
      </c>
      <c r="B145" s="614">
        <v>55975.388680743898</v>
      </c>
      <c r="C145" s="614">
        <v>58479.182789999999</v>
      </c>
      <c r="D145" s="615">
        <v>2503.7941092561</v>
      </c>
      <c r="E145" s="616">
        <v>1.044730267502</v>
      </c>
      <c r="F145" s="614">
        <v>59453.214672039299</v>
      </c>
      <c r="G145" s="615">
        <v>9908.8691120065396</v>
      </c>
      <c r="H145" s="617">
        <v>5480.9401900000003</v>
      </c>
      <c r="I145" s="614">
        <v>10211.75722</v>
      </c>
      <c r="J145" s="615">
        <v>302.888107993456</v>
      </c>
      <c r="K145" s="618">
        <v>0.171761228998</v>
      </c>
    </row>
    <row r="146" spans="1:11" ht="14.4" customHeight="1" thickBot="1" x14ac:dyDescent="0.35">
      <c r="A146" s="634" t="s">
        <v>461</v>
      </c>
      <c r="B146" s="614">
        <v>55975.388680743898</v>
      </c>
      <c r="C146" s="614">
        <v>58479.182789999999</v>
      </c>
      <c r="D146" s="615">
        <v>2503.7941092561</v>
      </c>
      <c r="E146" s="616">
        <v>1.044730267502</v>
      </c>
      <c r="F146" s="614">
        <v>59453.214672039299</v>
      </c>
      <c r="G146" s="615">
        <v>9908.8691120065396</v>
      </c>
      <c r="H146" s="617">
        <v>5480.9401900000003</v>
      </c>
      <c r="I146" s="614">
        <v>10211.75722</v>
      </c>
      <c r="J146" s="615">
        <v>302.888107993456</v>
      </c>
      <c r="K146" s="618">
        <v>0.171761228998</v>
      </c>
    </row>
    <row r="147" spans="1:11" ht="14.4" customHeight="1" thickBot="1" x14ac:dyDescent="0.35">
      <c r="A147" s="635" t="s">
        <v>462</v>
      </c>
      <c r="B147" s="619">
        <v>76.383075826246994</v>
      </c>
      <c r="C147" s="619">
        <v>0.53991</v>
      </c>
      <c r="D147" s="620">
        <v>-75.843165826247002</v>
      </c>
      <c r="E147" s="626">
        <v>7.0684506239999997E-3</v>
      </c>
      <c r="F147" s="619">
        <v>0.45669018547099999</v>
      </c>
      <c r="G147" s="620">
        <v>7.6115030910999998E-2</v>
      </c>
      <c r="H147" s="622">
        <v>0.39337</v>
      </c>
      <c r="I147" s="619">
        <v>0.39337</v>
      </c>
      <c r="J147" s="620">
        <v>0.31725496908799999</v>
      </c>
      <c r="K147" s="627">
        <v>0.86134980017999996</v>
      </c>
    </row>
    <row r="148" spans="1:11" ht="14.4" customHeight="1" thickBot="1" x14ac:dyDescent="0.35">
      <c r="A148" s="636" t="s">
        <v>463</v>
      </c>
      <c r="B148" s="614">
        <v>0.649188720464</v>
      </c>
      <c r="C148" s="614">
        <v>5.7029999999999997E-2</v>
      </c>
      <c r="D148" s="615">
        <v>-0.59215872046399998</v>
      </c>
      <c r="E148" s="616">
        <v>8.7848106723999994E-2</v>
      </c>
      <c r="F148" s="614">
        <v>5.2582380115000001E-2</v>
      </c>
      <c r="G148" s="615">
        <v>8.7637300190000003E-3</v>
      </c>
      <c r="H148" s="617">
        <v>5.3719999999999997E-2</v>
      </c>
      <c r="I148" s="614">
        <v>5.3719999999999997E-2</v>
      </c>
      <c r="J148" s="615">
        <v>4.4956269979999998E-2</v>
      </c>
      <c r="K148" s="618">
        <v>1.0216350017160001</v>
      </c>
    </row>
    <row r="149" spans="1:11" ht="14.4" customHeight="1" thickBot="1" x14ac:dyDescent="0.35">
      <c r="A149" s="636" t="s">
        <v>464</v>
      </c>
      <c r="B149" s="614">
        <v>0</v>
      </c>
      <c r="C149" s="614">
        <v>0.41427999999999998</v>
      </c>
      <c r="D149" s="615">
        <v>0.41427999999999998</v>
      </c>
      <c r="E149" s="624" t="s">
        <v>335</v>
      </c>
      <c r="F149" s="614">
        <v>0.34028465039299999</v>
      </c>
      <c r="G149" s="615">
        <v>5.6714108398E-2</v>
      </c>
      <c r="H149" s="617">
        <v>0</v>
      </c>
      <c r="I149" s="614">
        <v>0</v>
      </c>
      <c r="J149" s="615">
        <v>-5.6714108398E-2</v>
      </c>
      <c r="K149" s="618">
        <v>0</v>
      </c>
    </row>
    <row r="150" spans="1:11" ht="14.4" customHeight="1" thickBot="1" x14ac:dyDescent="0.35">
      <c r="A150" s="636" t="s">
        <v>465</v>
      </c>
      <c r="B150" s="614">
        <v>75.516133172428994</v>
      </c>
      <c r="C150" s="614">
        <v>0</v>
      </c>
      <c r="D150" s="615">
        <v>-75.516133172428994</v>
      </c>
      <c r="E150" s="616">
        <v>0</v>
      </c>
      <c r="F150" s="614">
        <v>0</v>
      </c>
      <c r="G150" s="615">
        <v>0</v>
      </c>
      <c r="H150" s="617">
        <v>0</v>
      </c>
      <c r="I150" s="614">
        <v>0</v>
      </c>
      <c r="J150" s="615">
        <v>0</v>
      </c>
      <c r="K150" s="618">
        <v>2</v>
      </c>
    </row>
    <row r="151" spans="1:11" ht="14.4" customHeight="1" thickBot="1" x14ac:dyDescent="0.35">
      <c r="A151" s="636" t="s">
        <v>466</v>
      </c>
      <c r="B151" s="614">
        <v>0.217753933353</v>
      </c>
      <c r="C151" s="614">
        <v>6.8599999999999994E-2</v>
      </c>
      <c r="D151" s="615">
        <v>-0.14915393335300001</v>
      </c>
      <c r="E151" s="616">
        <v>0.31503449303300002</v>
      </c>
      <c r="F151" s="614">
        <v>6.3823154960999995E-2</v>
      </c>
      <c r="G151" s="615">
        <v>1.0637192493E-2</v>
      </c>
      <c r="H151" s="617">
        <v>0.33965000000000001</v>
      </c>
      <c r="I151" s="614">
        <v>0.33965000000000001</v>
      </c>
      <c r="J151" s="615">
        <v>0.32901280750599998</v>
      </c>
      <c r="K151" s="618">
        <v>5.3217362915270003</v>
      </c>
    </row>
    <row r="152" spans="1:11" ht="14.4" customHeight="1" thickBot="1" x14ac:dyDescent="0.35">
      <c r="A152" s="635" t="s">
        <v>467</v>
      </c>
      <c r="B152" s="619">
        <v>100.00001002686599</v>
      </c>
      <c r="C152" s="619">
        <v>121.66717</v>
      </c>
      <c r="D152" s="620">
        <v>21.667159973134002</v>
      </c>
      <c r="E152" s="626">
        <v>1.2166715780049999</v>
      </c>
      <c r="F152" s="619">
        <v>164.75798185379301</v>
      </c>
      <c r="G152" s="620">
        <v>27.459663642298</v>
      </c>
      <c r="H152" s="622">
        <v>0</v>
      </c>
      <c r="I152" s="619">
        <v>0</v>
      </c>
      <c r="J152" s="620">
        <v>-27.459663642298</v>
      </c>
      <c r="K152" s="627">
        <v>0</v>
      </c>
    </row>
    <row r="153" spans="1:11" ht="14.4" customHeight="1" thickBot="1" x14ac:dyDescent="0.35">
      <c r="A153" s="636" t="s">
        <v>468</v>
      </c>
      <c r="B153" s="614">
        <v>100.00001002686599</v>
      </c>
      <c r="C153" s="614">
        <v>121.66717</v>
      </c>
      <c r="D153" s="615">
        <v>21.667159973134002</v>
      </c>
      <c r="E153" s="616">
        <v>1.2166715780049999</v>
      </c>
      <c r="F153" s="614">
        <v>164.75798185379301</v>
      </c>
      <c r="G153" s="615">
        <v>27.459663642298</v>
      </c>
      <c r="H153" s="617">
        <v>0</v>
      </c>
      <c r="I153" s="614">
        <v>0</v>
      </c>
      <c r="J153" s="615">
        <v>-27.459663642298</v>
      </c>
      <c r="K153" s="618">
        <v>0</v>
      </c>
    </row>
    <row r="154" spans="1:11" ht="14.4" customHeight="1" thickBot="1" x14ac:dyDescent="0.35">
      <c r="A154" s="635" t="s">
        <v>469</v>
      </c>
      <c r="B154" s="619">
        <v>0</v>
      </c>
      <c r="C154" s="619">
        <v>45.041820000000001</v>
      </c>
      <c r="D154" s="620">
        <v>45.041820000000001</v>
      </c>
      <c r="E154" s="621" t="s">
        <v>323</v>
      </c>
      <c r="F154" s="619">
        <v>0</v>
      </c>
      <c r="G154" s="620">
        <v>0</v>
      </c>
      <c r="H154" s="622">
        <v>0</v>
      </c>
      <c r="I154" s="619">
        <v>0</v>
      </c>
      <c r="J154" s="620">
        <v>0</v>
      </c>
      <c r="K154" s="623" t="s">
        <v>323</v>
      </c>
    </row>
    <row r="155" spans="1:11" ht="14.4" customHeight="1" thickBot="1" x14ac:dyDescent="0.35">
      <c r="A155" s="636" t="s">
        <v>470</v>
      </c>
      <c r="B155" s="614">
        <v>0</v>
      </c>
      <c r="C155" s="614">
        <v>45.041820000000001</v>
      </c>
      <c r="D155" s="615">
        <v>45.041820000000001</v>
      </c>
      <c r="E155" s="624" t="s">
        <v>323</v>
      </c>
      <c r="F155" s="614">
        <v>0</v>
      </c>
      <c r="G155" s="615">
        <v>0</v>
      </c>
      <c r="H155" s="617">
        <v>0</v>
      </c>
      <c r="I155" s="614">
        <v>0</v>
      </c>
      <c r="J155" s="615">
        <v>0</v>
      </c>
      <c r="K155" s="625" t="s">
        <v>323</v>
      </c>
    </row>
    <row r="156" spans="1:11" ht="14.4" customHeight="1" thickBot="1" x14ac:dyDescent="0.35">
      <c r="A156" s="635" t="s">
        <v>471</v>
      </c>
      <c r="B156" s="619">
        <v>55799.005594890798</v>
      </c>
      <c r="C156" s="619">
        <v>54864.114220000003</v>
      </c>
      <c r="D156" s="620">
        <v>-934.89137489079405</v>
      </c>
      <c r="E156" s="626">
        <v>0.98324537570199999</v>
      </c>
      <c r="F156" s="619">
        <v>59288</v>
      </c>
      <c r="G156" s="620">
        <v>9881.3333333333303</v>
      </c>
      <c r="H156" s="622">
        <v>5480.4575199999999</v>
      </c>
      <c r="I156" s="619">
        <v>10211.037909999999</v>
      </c>
      <c r="J156" s="620">
        <v>329.70457666666499</v>
      </c>
      <c r="K156" s="627">
        <v>0.17222773427999999</v>
      </c>
    </row>
    <row r="157" spans="1:11" ht="14.4" customHeight="1" thickBot="1" x14ac:dyDescent="0.35">
      <c r="A157" s="636" t="s">
        <v>472</v>
      </c>
      <c r="B157" s="614">
        <v>26725.002679679899</v>
      </c>
      <c r="C157" s="614">
        <v>26934.4768</v>
      </c>
      <c r="D157" s="615">
        <v>209.474120320141</v>
      </c>
      <c r="E157" s="616">
        <v>1.0078381328079999</v>
      </c>
      <c r="F157" s="614">
        <v>27981</v>
      </c>
      <c r="G157" s="615">
        <v>4663.5</v>
      </c>
      <c r="H157" s="617">
        <v>2859.4003400000001</v>
      </c>
      <c r="I157" s="614">
        <v>4609.5274099999997</v>
      </c>
      <c r="J157" s="615">
        <v>-53.972589999999997</v>
      </c>
      <c r="K157" s="618">
        <v>0.164737765269</v>
      </c>
    </row>
    <row r="158" spans="1:11" ht="14.4" customHeight="1" thickBot="1" x14ac:dyDescent="0.35">
      <c r="A158" s="636" t="s">
        <v>473</v>
      </c>
      <c r="B158" s="614">
        <v>29074.002915210898</v>
      </c>
      <c r="C158" s="614">
        <v>27929.637419999999</v>
      </c>
      <c r="D158" s="615">
        <v>-1144.36549521093</v>
      </c>
      <c r="E158" s="616">
        <v>0.96063956179099996</v>
      </c>
      <c r="F158" s="614">
        <v>31307</v>
      </c>
      <c r="G158" s="615">
        <v>5217.8333333333303</v>
      </c>
      <c r="H158" s="617">
        <v>2621.0571799999998</v>
      </c>
      <c r="I158" s="614">
        <v>5601.5105000000003</v>
      </c>
      <c r="J158" s="615">
        <v>383.67716666666701</v>
      </c>
      <c r="K158" s="618">
        <v>0.178921982304</v>
      </c>
    </row>
    <row r="159" spans="1:11" ht="14.4" customHeight="1" thickBot="1" x14ac:dyDescent="0.35">
      <c r="A159" s="635" t="s">
        <v>474</v>
      </c>
      <c r="B159" s="619">
        <v>0</v>
      </c>
      <c r="C159" s="619">
        <v>3447.8196699999999</v>
      </c>
      <c r="D159" s="620">
        <v>3447.8196699999999</v>
      </c>
      <c r="E159" s="621" t="s">
        <v>323</v>
      </c>
      <c r="F159" s="619">
        <v>0</v>
      </c>
      <c r="G159" s="620">
        <v>0</v>
      </c>
      <c r="H159" s="622">
        <v>8.9300000000000004E-2</v>
      </c>
      <c r="I159" s="619">
        <v>0.32594000000000001</v>
      </c>
      <c r="J159" s="620">
        <v>0.32594000000000001</v>
      </c>
      <c r="K159" s="623" t="s">
        <v>323</v>
      </c>
    </row>
    <row r="160" spans="1:11" ht="14.4" customHeight="1" thickBot="1" x14ac:dyDescent="0.35">
      <c r="A160" s="636" t="s">
        <v>475</v>
      </c>
      <c r="B160" s="614">
        <v>0</v>
      </c>
      <c r="C160" s="614">
        <v>390.40561000000002</v>
      </c>
      <c r="D160" s="615">
        <v>390.40561000000002</v>
      </c>
      <c r="E160" s="624" t="s">
        <v>323</v>
      </c>
      <c r="F160" s="614">
        <v>0</v>
      </c>
      <c r="G160" s="615">
        <v>0</v>
      </c>
      <c r="H160" s="617">
        <v>0</v>
      </c>
      <c r="I160" s="614">
        <v>0</v>
      </c>
      <c r="J160" s="615">
        <v>0</v>
      </c>
      <c r="K160" s="625" t="s">
        <v>323</v>
      </c>
    </row>
    <row r="161" spans="1:11" ht="14.4" customHeight="1" thickBot="1" x14ac:dyDescent="0.35">
      <c r="A161" s="636" t="s">
        <v>476</v>
      </c>
      <c r="B161" s="614">
        <v>0</v>
      </c>
      <c r="C161" s="614">
        <v>3057.4140600000001</v>
      </c>
      <c r="D161" s="615">
        <v>3057.4140600000001</v>
      </c>
      <c r="E161" s="624" t="s">
        <v>323</v>
      </c>
      <c r="F161" s="614">
        <v>0</v>
      </c>
      <c r="G161" s="615">
        <v>0</v>
      </c>
      <c r="H161" s="617">
        <v>8.9300000000000004E-2</v>
      </c>
      <c r="I161" s="614">
        <v>0.32594000000000001</v>
      </c>
      <c r="J161" s="615">
        <v>0.32594000000000001</v>
      </c>
      <c r="K161" s="625" t="s">
        <v>323</v>
      </c>
    </row>
    <row r="162" spans="1:11" ht="14.4" customHeight="1" thickBot="1" x14ac:dyDescent="0.35">
      <c r="A162" s="633" t="s">
        <v>477</v>
      </c>
      <c r="B162" s="614">
        <v>0</v>
      </c>
      <c r="C162" s="614">
        <v>4.9172799999999999</v>
      </c>
      <c r="D162" s="615">
        <v>4.9172799999999999</v>
      </c>
      <c r="E162" s="624" t="s">
        <v>323</v>
      </c>
      <c r="F162" s="614">
        <v>0</v>
      </c>
      <c r="G162" s="615">
        <v>0</v>
      </c>
      <c r="H162" s="617">
        <v>0</v>
      </c>
      <c r="I162" s="614">
        <v>0</v>
      </c>
      <c r="J162" s="615">
        <v>0</v>
      </c>
      <c r="K162" s="625" t="s">
        <v>323</v>
      </c>
    </row>
    <row r="163" spans="1:11" ht="14.4" customHeight="1" thickBot="1" x14ac:dyDescent="0.35">
      <c r="A163" s="639" t="s">
        <v>478</v>
      </c>
      <c r="B163" s="619">
        <v>0</v>
      </c>
      <c r="C163" s="619">
        <v>4.9172799999999999</v>
      </c>
      <c r="D163" s="620">
        <v>4.9172799999999999</v>
      </c>
      <c r="E163" s="621" t="s">
        <v>323</v>
      </c>
      <c r="F163" s="619">
        <v>0</v>
      </c>
      <c r="G163" s="620">
        <v>0</v>
      </c>
      <c r="H163" s="622">
        <v>0</v>
      </c>
      <c r="I163" s="619">
        <v>0</v>
      </c>
      <c r="J163" s="620">
        <v>0</v>
      </c>
      <c r="K163" s="623" t="s">
        <v>323</v>
      </c>
    </row>
    <row r="164" spans="1:11" ht="14.4" customHeight="1" thickBot="1" x14ac:dyDescent="0.35">
      <c r="A164" s="635" t="s">
        <v>479</v>
      </c>
      <c r="B164" s="619">
        <v>0</v>
      </c>
      <c r="C164" s="619">
        <v>-1.3999999999999999E-4</v>
      </c>
      <c r="D164" s="620">
        <v>-1.3999999999999999E-4</v>
      </c>
      <c r="E164" s="621" t="s">
        <v>323</v>
      </c>
      <c r="F164" s="619">
        <v>0</v>
      </c>
      <c r="G164" s="620">
        <v>0</v>
      </c>
      <c r="H164" s="622">
        <v>0</v>
      </c>
      <c r="I164" s="619">
        <v>0</v>
      </c>
      <c r="J164" s="620">
        <v>0</v>
      </c>
      <c r="K164" s="623" t="s">
        <v>323</v>
      </c>
    </row>
    <row r="165" spans="1:11" ht="14.4" customHeight="1" thickBot="1" x14ac:dyDescent="0.35">
      <c r="A165" s="636" t="s">
        <v>480</v>
      </c>
      <c r="B165" s="614">
        <v>0</v>
      </c>
      <c r="C165" s="614">
        <v>-1.3999999999999999E-4</v>
      </c>
      <c r="D165" s="615">
        <v>-1.3999999999999999E-4</v>
      </c>
      <c r="E165" s="624" t="s">
        <v>323</v>
      </c>
      <c r="F165" s="614">
        <v>0</v>
      </c>
      <c r="G165" s="615">
        <v>0</v>
      </c>
      <c r="H165" s="617">
        <v>0</v>
      </c>
      <c r="I165" s="614">
        <v>0</v>
      </c>
      <c r="J165" s="615">
        <v>0</v>
      </c>
      <c r="K165" s="625" t="s">
        <v>323</v>
      </c>
    </row>
    <row r="166" spans="1:11" ht="14.4" customHeight="1" thickBot="1" x14ac:dyDescent="0.35">
      <c r="A166" s="635" t="s">
        <v>481</v>
      </c>
      <c r="B166" s="619">
        <v>0</v>
      </c>
      <c r="C166" s="619">
        <v>4.9174199999999999</v>
      </c>
      <c r="D166" s="620">
        <v>4.9174199999999999</v>
      </c>
      <c r="E166" s="621" t="s">
        <v>335</v>
      </c>
      <c r="F166" s="619">
        <v>0</v>
      </c>
      <c r="G166" s="620">
        <v>0</v>
      </c>
      <c r="H166" s="622">
        <v>0</v>
      </c>
      <c r="I166" s="619">
        <v>0</v>
      </c>
      <c r="J166" s="620">
        <v>0</v>
      </c>
      <c r="K166" s="623" t="s">
        <v>323</v>
      </c>
    </row>
    <row r="167" spans="1:11" ht="14.4" customHeight="1" thickBot="1" x14ac:dyDescent="0.35">
      <c r="A167" s="636" t="s">
        <v>482</v>
      </c>
      <c r="B167" s="614">
        <v>0</v>
      </c>
      <c r="C167" s="614">
        <v>4.9174199999999999</v>
      </c>
      <c r="D167" s="615">
        <v>4.9174199999999999</v>
      </c>
      <c r="E167" s="624" t="s">
        <v>335</v>
      </c>
      <c r="F167" s="614">
        <v>0</v>
      </c>
      <c r="G167" s="615">
        <v>0</v>
      </c>
      <c r="H167" s="617">
        <v>0</v>
      </c>
      <c r="I167" s="614">
        <v>0</v>
      </c>
      <c r="J167" s="615">
        <v>0</v>
      </c>
      <c r="K167" s="625" t="s">
        <v>323</v>
      </c>
    </row>
    <row r="168" spans="1:11" ht="14.4" customHeight="1" thickBot="1" x14ac:dyDescent="0.35">
      <c r="A168" s="633" t="s">
        <v>483</v>
      </c>
      <c r="B168" s="614">
        <v>0</v>
      </c>
      <c r="C168" s="614">
        <v>93.8</v>
      </c>
      <c r="D168" s="615">
        <v>93.8</v>
      </c>
      <c r="E168" s="624" t="s">
        <v>335</v>
      </c>
      <c r="F168" s="614">
        <v>14.172803113162001</v>
      </c>
      <c r="G168" s="615">
        <v>2.3621338521930002</v>
      </c>
      <c r="H168" s="617">
        <v>0</v>
      </c>
      <c r="I168" s="614">
        <v>0</v>
      </c>
      <c r="J168" s="615">
        <v>-2.3621338521930002</v>
      </c>
      <c r="K168" s="618">
        <v>0</v>
      </c>
    </row>
    <row r="169" spans="1:11" ht="14.4" customHeight="1" thickBot="1" x14ac:dyDescent="0.35">
      <c r="A169" s="639" t="s">
        <v>484</v>
      </c>
      <c r="B169" s="619">
        <v>0</v>
      </c>
      <c r="C169" s="619">
        <v>93.8</v>
      </c>
      <c r="D169" s="620">
        <v>93.8</v>
      </c>
      <c r="E169" s="621" t="s">
        <v>335</v>
      </c>
      <c r="F169" s="619">
        <v>14.172803113162001</v>
      </c>
      <c r="G169" s="620">
        <v>2.3621338521930002</v>
      </c>
      <c r="H169" s="622">
        <v>0</v>
      </c>
      <c r="I169" s="619">
        <v>0</v>
      </c>
      <c r="J169" s="620">
        <v>-2.3621338521930002</v>
      </c>
      <c r="K169" s="627">
        <v>0</v>
      </c>
    </row>
    <row r="170" spans="1:11" ht="14.4" customHeight="1" thickBot="1" x14ac:dyDescent="0.35">
      <c r="A170" s="635" t="s">
        <v>485</v>
      </c>
      <c r="B170" s="619">
        <v>0</v>
      </c>
      <c r="C170" s="619">
        <v>93.8</v>
      </c>
      <c r="D170" s="620">
        <v>93.8</v>
      </c>
      <c r="E170" s="621" t="s">
        <v>335</v>
      </c>
      <c r="F170" s="619">
        <v>14.172803113162001</v>
      </c>
      <c r="G170" s="620">
        <v>2.3621338521930002</v>
      </c>
      <c r="H170" s="622">
        <v>0</v>
      </c>
      <c r="I170" s="619">
        <v>0</v>
      </c>
      <c r="J170" s="620">
        <v>-2.3621338521930002</v>
      </c>
      <c r="K170" s="627">
        <v>0</v>
      </c>
    </row>
    <row r="171" spans="1:11" ht="14.4" customHeight="1" thickBot="1" x14ac:dyDescent="0.35">
      <c r="A171" s="636" t="s">
        <v>486</v>
      </c>
      <c r="B171" s="614">
        <v>0</v>
      </c>
      <c r="C171" s="614">
        <v>93.8</v>
      </c>
      <c r="D171" s="615">
        <v>93.8</v>
      </c>
      <c r="E171" s="624" t="s">
        <v>335</v>
      </c>
      <c r="F171" s="614">
        <v>14.172803113162001</v>
      </c>
      <c r="G171" s="615">
        <v>2.3621338521930002</v>
      </c>
      <c r="H171" s="617">
        <v>0</v>
      </c>
      <c r="I171" s="614">
        <v>0</v>
      </c>
      <c r="J171" s="615">
        <v>-2.3621338521930002</v>
      </c>
      <c r="K171" s="618">
        <v>0</v>
      </c>
    </row>
    <row r="172" spans="1:11" ht="14.4" customHeight="1" thickBot="1" x14ac:dyDescent="0.35">
      <c r="A172" s="632" t="s">
        <v>487</v>
      </c>
      <c r="B172" s="614">
        <v>5710.2391833633901</v>
      </c>
      <c r="C172" s="614">
        <v>7253.6823100000001</v>
      </c>
      <c r="D172" s="615">
        <v>1543.44312663661</v>
      </c>
      <c r="E172" s="616">
        <v>1.270293953908</v>
      </c>
      <c r="F172" s="614">
        <v>0</v>
      </c>
      <c r="G172" s="615">
        <v>0</v>
      </c>
      <c r="H172" s="617">
        <v>681.55605000000003</v>
      </c>
      <c r="I172" s="614">
        <v>1365.8334500000001</v>
      </c>
      <c r="J172" s="615">
        <v>1365.8334500000001</v>
      </c>
      <c r="K172" s="625" t="s">
        <v>335</v>
      </c>
    </row>
    <row r="173" spans="1:11" ht="14.4" customHeight="1" thickBot="1" x14ac:dyDescent="0.35">
      <c r="A173" s="637" t="s">
        <v>488</v>
      </c>
      <c r="B173" s="619">
        <v>5710.2391833633901</v>
      </c>
      <c r="C173" s="619">
        <v>7253.6823100000001</v>
      </c>
      <c r="D173" s="620">
        <v>1543.44312663661</v>
      </c>
      <c r="E173" s="626">
        <v>1.270293953908</v>
      </c>
      <c r="F173" s="619">
        <v>0</v>
      </c>
      <c r="G173" s="620">
        <v>0</v>
      </c>
      <c r="H173" s="622">
        <v>681.55605000000003</v>
      </c>
      <c r="I173" s="619">
        <v>1365.8334500000001</v>
      </c>
      <c r="J173" s="620">
        <v>1365.8334500000001</v>
      </c>
      <c r="K173" s="623" t="s">
        <v>335</v>
      </c>
    </row>
    <row r="174" spans="1:11" ht="14.4" customHeight="1" thickBot="1" x14ac:dyDescent="0.35">
      <c r="A174" s="639" t="s">
        <v>41</v>
      </c>
      <c r="B174" s="619">
        <v>5710.2391833633901</v>
      </c>
      <c r="C174" s="619">
        <v>7253.6823100000001</v>
      </c>
      <c r="D174" s="620">
        <v>1543.44312663661</v>
      </c>
      <c r="E174" s="626">
        <v>1.270293953908</v>
      </c>
      <c r="F174" s="619">
        <v>0</v>
      </c>
      <c r="G174" s="620">
        <v>0</v>
      </c>
      <c r="H174" s="622">
        <v>681.55605000000003</v>
      </c>
      <c r="I174" s="619">
        <v>1365.8334500000001</v>
      </c>
      <c r="J174" s="620">
        <v>1365.8334500000001</v>
      </c>
      <c r="K174" s="623" t="s">
        <v>335</v>
      </c>
    </row>
    <row r="175" spans="1:11" ht="14.4" customHeight="1" thickBot="1" x14ac:dyDescent="0.35">
      <c r="A175" s="638" t="s">
        <v>489</v>
      </c>
      <c r="B175" s="614">
        <v>0</v>
      </c>
      <c r="C175" s="614">
        <v>0</v>
      </c>
      <c r="D175" s="615">
        <v>0</v>
      </c>
      <c r="E175" s="616">
        <v>1</v>
      </c>
      <c r="F175" s="614">
        <v>0</v>
      </c>
      <c r="G175" s="615">
        <v>0</v>
      </c>
      <c r="H175" s="617">
        <v>22.77196</v>
      </c>
      <c r="I175" s="614">
        <v>53.804900000000004</v>
      </c>
      <c r="J175" s="615">
        <v>53.804900000000004</v>
      </c>
      <c r="K175" s="625" t="s">
        <v>335</v>
      </c>
    </row>
    <row r="176" spans="1:11" ht="14.4" customHeight="1" thickBot="1" x14ac:dyDescent="0.35">
      <c r="A176" s="636" t="s">
        <v>490</v>
      </c>
      <c r="B176" s="614">
        <v>0</v>
      </c>
      <c r="C176" s="614">
        <v>0</v>
      </c>
      <c r="D176" s="615">
        <v>0</v>
      </c>
      <c r="E176" s="616">
        <v>1</v>
      </c>
      <c r="F176" s="614">
        <v>0</v>
      </c>
      <c r="G176" s="615">
        <v>0</v>
      </c>
      <c r="H176" s="617">
        <v>22.77196</v>
      </c>
      <c r="I176" s="614">
        <v>53.804900000000004</v>
      </c>
      <c r="J176" s="615">
        <v>53.804900000000004</v>
      </c>
      <c r="K176" s="625" t="s">
        <v>335</v>
      </c>
    </row>
    <row r="177" spans="1:11" ht="14.4" customHeight="1" thickBot="1" x14ac:dyDescent="0.35">
      <c r="A177" s="635" t="s">
        <v>491</v>
      </c>
      <c r="B177" s="619">
        <v>65.082376034798003</v>
      </c>
      <c r="C177" s="619">
        <v>59.03</v>
      </c>
      <c r="D177" s="620">
        <v>-6.0523760347979998</v>
      </c>
      <c r="E177" s="626">
        <v>0.90700437808900003</v>
      </c>
      <c r="F177" s="619">
        <v>0</v>
      </c>
      <c r="G177" s="620">
        <v>0</v>
      </c>
      <c r="H177" s="622">
        <v>4.9050000000000002</v>
      </c>
      <c r="I177" s="619">
        <v>9.81</v>
      </c>
      <c r="J177" s="620">
        <v>9.81</v>
      </c>
      <c r="K177" s="623" t="s">
        <v>335</v>
      </c>
    </row>
    <row r="178" spans="1:11" ht="14.4" customHeight="1" thickBot="1" x14ac:dyDescent="0.35">
      <c r="A178" s="636" t="s">
        <v>492</v>
      </c>
      <c r="B178" s="614">
        <v>65.082376034798003</v>
      </c>
      <c r="C178" s="614">
        <v>59.03</v>
      </c>
      <c r="D178" s="615">
        <v>-6.0523760347979998</v>
      </c>
      <c r="E178" s="616">
        <v>0.90700437808900003</v>
      </c>
      <c r="F178" s="614">
        <v>0</v>
      </c>
      <c r="G178" s="615">
        <v>0</v>
      </c>
      <c r="H178" s="617">
        <v>4.9050000000000002</v>
      </c>
      <c r="I178" s="614">
        <v>9.81</v>
      </c>
      <c r="J178" s="615">
        <v>9.81</v>
      </c>
      <c r="K178" s="625" t="s">
        <v>335</v>
      </c>
    </row>
    <row r="179" spans="1:11" ht="14.4" customHeight="1" thickBot="1" x14ac:dyDescent="0.35">
      <c r="A179" s="635" t="s">
        <v>493</v>
      </c>
      <c r="B179" s="619">
        <v>165.015191100767</v>
      </c>
      <c r="C179" s="619">
        <v>129.59556000000001</v>
      </c>
      <c r="D179" s="620">
        <v>-35.419631100765997</v>
      </c>
      <c r="E179" s="626">
        <v>0.78535533083599995</v>
      </c>
      <c r="F179" s="619">
        <v>0</v>
      </c>
      <c r="G179" s="620">
        <v>0</v>
      </c>
      <c r="H179" s="622">
        <v>9.3752399999999998</v>
      </c>
      <c r="I179" s="619">
        <v>18.026060000000001</v>
      </c>
      <c r="J179" s="620">
        <v>18.026060000000001</v>
      </c>
      <c r="K179" s="623" t="s">
        <v>335</v>
      </c>
    </row>
    <row r="180" spans="1:11" ht="14.4" customHeight="1" thickBot="1" x14ac:dyDescent="0.35">
      <c r="A180" s="636" t="s">
        <v>494</v>
      </c>
      <c r="B180" s="614">
        <v>124.677433413537</v>
      </c>
      <c r="C180" s="614">
        <v>105.08</v>
      </c>
      <c r="D180" s="615">
        <v>-19.597433413535999</v>
      </c>
      <c r="E180" s="616">
        <v>0.84281491143200005</v>
      </c>
      <c r="F180" s="614">
        <v>0</v>
      </c>
      <c r="G180" s="615">
        <v>0</v>
      </c>
      <c r="H180" s="617">
        <v>7.77</v>
      </c>
      <c r="I180" s="614">
        <v>14.06</v>
      </c>
      <c r="J180" s="615">
        <v>14.06</v>
      </c>
      <c r="K180" s="625" t="s">
        <v>335</v>
      </c>
    </row>
    <row r="181" spans="1:11" ht="14.4" customHeight="1" thickBot="1" x14ac:dyDescent="0.35">
      <c r="A181" s="636" t="s">
        <v>495</v>
      </c>
      <c r="B181" s="614">
        <v>19.560651888146001</v>
      </c>
      <c r="C181" s="614">
        <v>4.4824000000000002</v>
      </c>
      <c r="D181" s="615">
        <v>-15.078251888145999</v>
      </c>
      <c r="E181" s="616">
        <v>0.229153917038</v>
      </c>
      <c r="F181" s="614">
        <v>0</v>
      </c>
      <c r="G181" s="615">
        <v>0</v>
      </c>
      <c r="H181" s="617">
        <v>0</v>
      </c>
      <c r="I181" s="614">
        <v>0</v>
      </c>
      <c r="J181" s="615">
        <v>0</v>
      </c>
      <c r="K181" s="618">
        <v>2</v>
      </c>
    </row>
    <row r="182" spans="1:11" ht="14.4" customHeight="1" thickBot="1" x14ac:dyDescent="0.35">
      <c r="A182" s="636" t="s">
        <v>496</v>
      </c>
      <c r="B182" s="614">
        <v>20.777105799084001</v>
      </c>
      <c r="C182" s="614">
        <v>20.033159999999999</v>
      </c>
      <c r="D182" s="615">
        <v>-0.74394579908400005</v>
      </c>
      <c r="E182" s="616">
        <v>0.96419396395800006</v>
      </c>
      <c r="F182" s="614">
        <v>0</v>
      </c>
      <c r="G182" s="615">
        <v>0</v>
      </c>
      <c r="H182" s="617">
        <v>1.60524</v>
      </c>
      <c r="I182" s="614">
        <v>3.9660600000000001</v>
      </c>
      <c r="J182" s="615">
        <v>3.9660600000000001</v>
      </c>
      <c r="K182" s="625" t="s">
        <v>335</v>
      </c>
    </row>
    <row r="183" spans="1:11" ht="14.4" customHeight="1" thickBot="1" x14ac:dyDescent="0.35">
      <c r="A183" s="635" t="s">
        <v>497</v>
      </c>
      <c r="B183" s="619">
        <v>745.22421780198897</v>
      </c>
      <c r="C183" s="619">
        <v>770.65670999999998</v>
      </c>
      <c r="D183" s="620">
        <v>25.432492198009999</v>
      </c>
      <c r="E183" s="626">
        <v>1.034127302348</v>
      </c>
      <c r="F183" s="619">
        <v>0</v>
      </c>
      <c r="G183" s="620">
        <v>0</v>
      </c>
      <c r="H183" s="622">
        <v>77.556730000000002</v>
      </c>
      <c r="I183" s="619">
        <v>153.30059</v>
      </c>
      <c r="J183" s="620">
        <v>153.30059</v>
      </c>
      <c r="K183" s="623" t="s">
        <v>335</v>
      </c>
    </row>
    <row r="184" spans="1:11" ht="14.4" customHeight="1" thickBot="1" x14ac:dyDescent="0.35">
      <c r="A184" s="636" t="s">
        <v>498</v>
      </c>
      <c r="B184" s="614">
        <v>745.22421780198897</v>
      </c>
      <c r="C184" s="614">
        <v>770.65670999999998</v>
      </c>
      <c r="D184" s="615">
        <v>25.432492198009999</v>
      </c>
      <c r="E184" s="616">
        <v>1.034127302348</v>
      </c>
      <c r="F184" s="614">
        <v>0</v>
      </c>
      <c r="G184" s="615">
        <v>0</v>
      </c>
      <c r="H184" s="617">
        <v>77.556730000000002</v>
      </c>
      <c r="I184" s="614">
        <v>153.30059</v>
      </c>
      <c r="J184" s="615">
        <v>153.30059</v>
      </c>
      <c r="K184" s="625" t="s">
        <v>335</v>
      </c>
    </row>
    <row r="185" spans="1:11" ht="14.4" customHeight="1" thickBot="1" x14ac:dyDescent="0.35">
      <c r="A185" s="635" t="s">
        <v>499</v>
      </c>
      <c r="B185" s="619">
        <v>0</v>
      </c>
      <c r="C185" s="619">
        <v>1.0069999999999999</v>
      </c>
      <c r="D185" s="620">
        <v>1.0069999999999999</v>
      </c>
      <c r="E185" s="621" t="s">
        <v>335</v>
      </c>
      <c r="F185" s="619">
        <v>0</v>
      </c>
      <c r="G185" s="620">
        <v>0</v>
      </c>
      <c r="H185" s="622">
        <v>0.32400000000000001</v>
      </c>
      <c r="I185" s="619">
        <v>0.46600000000000003</v>
      </c>
      <c r="J185" s="620">
        <v>0.46600000000000003</v>
      </c>
      <c r="K185" s="623" t="s">
        <v>335</v>
      </c>
    </row>
    <row r="186" spans="1:11" ht="14.4" customHeight="1" thickBot="1" x14ac:dyDescent="0.35">
      <c r="A186" s="636" t="s">
        <v>500</v>
      </c>
      <c r="B186" s="614">
        <v>0</v>
      </c>
      <c r="C186" s="614">
        <v>1.0069999999999999</v>
      </c>
      <c r="D186" s="615">
        <v>1.0069999999999999</v>
      </c>
      <c r="E186" s="624" t="s">
        <v>335</v>
      </c>
      <c r="F186" s="614">
        <v>0</v>
      </c>
      <c r="G186" s="615">
        <v>0</v>
      </c>
      <c r="H186" s="617">
        <v>0.32400000000000001</v>
      </c>
      <c r="I186" s="614">
        <v>0.46600000000000003</v>
      </c>
      <c r="J186" s="615">
        <v>0.46600000000000003</v>
      </c>
      <c r="K186" s="625" t="s">
        <v>335</v>
      </c>
    </row>
    <row r="187" spans="1:11" ht="14.4" customHeight="1" thickBot="1" x14ac:dyDescent="0.35">
      <c r="A187" s="635" t="s">
        <v>501</v>
      </c>
      <c r="B187" s="619">
        <v>318.44877067894498</v>
      </c>
      <c r="C187" s="619">
        <v>304.68792999999999</v>
      </c>
      <c r="D187" s="620">
        <v>-13.760840678944</v>
      </c>
      <c r="E187" s="626">
        <v>0.95678789825499999</v>
      </c>
      <c r="F187" s="619">
        <v>0</v>
      </c>
      <c r="G187" s="620">
        <v>0</v>
      </c>
      <c r="H187" s="622">
        <v>19.69622</v>
      </c>
      <c r="I187" s="619">
        <v>40.352589999999999</v>
      </c>
      <c r="J187" s="620">
        <v>40.352589999999999</v>
      </c>
      <c r="K187" s="623" t="s">
        <v>335</v>
      </c>
    </row>
    <row r="188" spans="1:11" ht="14.4" customHeight="1" thickBot="1" x14ac:dyDescent="0.35">
      <c r="A188" s="636" t="s">
        <v>502</v>
      </c>
      <c r="B188" s="614">
        <v>318.44877067894498</v>
      </c>
      <c r="C188" s="614">
        <v>304.68792999999999</v>
      </c>
      <c r="D188" s="615">
        <v>-13.760840678944</v>
      </c>
      <c r="E188" s="616">
        <v>0.95678789825499999</v>
      </c>
      <c r="F188" s="614">
        <v>0</v>
      </c>
      <c r="G188" s="615">
        <v>0</v>
      </c>
      <c r="H188" s="617">
        <v>19.69622</v>
      </c>
      <c r="I188" s="614">
        <v>40.352589999999999</v>
      </c>
      <c r="J188" s="615">
        <v>40.352589999999999</v>
      </c>
      <c r="K188" s="625" t="s">
        <v>335</v>
      </c>
    </row>
    <row r="189" spans="1:11" ht="14.4" customHeight="1" thickBot="1" x14ac:dyDescent="0.35">
      <c r="A189" s="635" t="s">
        <v>503</v>
      </c>
      <c r="B189" s="619">
        <v>0</v>
      </c>
      <c r="C189" s="619">
        <v>1662.9827</v>
      </c>
      <c r="D189" s="620">
        <v>1662.9827</v>
      </c>
      <c r="E189" s="621" t="s">
        <v>335</v>
      </c>
      <c r="F189" s="619">
        <v>0</v>
      </c>
      <c r="G189" s="620">
        <v>0</v>
      </c>
      <c r="H189" s="622">
        <v>236.53953999999999</v>
      </c>
      <c r="I189" s="619">
        <v>448.26031</v>
      </c>
      <c r="J189" s="620">
        <v>448.26031</v>
      </c>
      <c r="K189" s="623" t="s">
        <v>335</v>
      </c>
    </row>
    <row r="190" spans="1:11" ht="14.4" customHeight="1" thickBot="1" x14ac:dyDescent="0.35">
      <c r="A190" s="636" t="s">
        <v>504</v>
      </c>
      <c r="B190" s="614">
        <v>0</v>
      </c>
      <c r="C190" s="614">
        <v>1662.9827</v>
      </c>
      <c r="D190" s="615">
        <v>1662.9827</v>
      </c>
      <c r="E190" s="624" t="s">
        <v>335</v>
      </c>
      <c r="F190" s="614">
        <v>0</v>
      </c>
      <c r="G190" s="615">
        <v>0</v>
      </c>
      <c r="H190" s="617">
        <v>236.53953999999999</v>
      </c>
      <c r="I190" s="614">
        <v>448.26031</v>
      </c>
      <c r="J190" s="615">
        <v>448.26031</v>
      </c>
      <c r="K190" s="625" t="s">
        <v>335</v>
      </c>
    </row>
    <row r="191" spans="1:11" ht="14.4" customHeight="1" thickBot="1" x14ac:dyDescent="0.35">
      <c r="A191" s="635" t="s">
        <v>505</v>
      </c>
      <c r="B191" s="619">
        <v>4416.4686277469</v>
      </c>
      <c r="C191" s="619">
        <v>4325.7224100000003</v>
      </c>
      <c r="D191" s="620">
        <v>-90.746217746894999</v>
      </c>
      <c r="E191" s="626">
        <v>0.97945276523000002</v>
      </c>
      <c r="F191" s="619">
        <v>0</v>
      </c>
      <c r="G191" s="620">
        <v>0</v>
      </c>
      <c r="H191" s="622">
        <v>310.38736</v>
      </c>
      <c r="I191" s="619">
        <v>641.81299999999999</v>
      </c>
      <c r="J191" s="620">
        <v>641.81299999999999</v>
      </c>
      <c r="K191" s="623" t="s">
        <v>335</v>
      </c>
    </row>
    <row r="192" spans="1:11" ht="14.4" customHeight="1" thickBot="1" x14ac:dyDescent="0.35">
      <c r="A192" s="636" t="s">
        <v>506</v>
      </c>
      <c r="B192" s="614">
        <v>4416.4686277469</v>
      </c>
      <c r="C192" s="614">
        <v>4325.7224100000003</v>
      </c>
      <c r="D192" s="615">
        <v>-90.746217746894999</v>
      </c>
      <c r="E192" s="616">
        <v>0.97945276523000002</v>
      </c>
      <c r="F192" s="614">
        <v>0</v>
      </c>
      <c r="G192" s="615">
        <v>0</v>
      </c>
      <c r="H192" s="617">
        <v>310.38736</v>
      </c>
      <c r="I192" s="614">
        <v>641.81299999999999</v>
      </c>
      <c r="J192" s="615">
        <v>641.81299999999999</v>
      </c>
      <c r="K192" s="625" t="s">
        <v>335</v>
      </c>
    </row>
    <row r="193" spans="1:11" ht="14.4" customHeight="1" thickBot="1" x14ac:dyDescent="0.35">
      <c r="A193" s="640" t="s">
        <v>507</v>
      </c>
      <c r="B193" s="619">
        <v>0</v>
      </c>
      <c r="C193" s="619">
        <v>3.3210000000000003E-2</v>
      </c>
      <c r="D193" s="620">
        <v>3.3210000000000003E-2</v>
      </c>
      <c r="E193" s="621" t="s">
        <v>335</v>
      </c>
      <c r="F193" s="619">
        <v>0</v>
      </c>
      <c r="G193" s="620">
        <v>0</v>
      </c>
      <c r="H193" s="622">
        <v>0</v>
      </c>
      <c r="I193" s="619">
        <v>0</v>
      </c>
      <c r="J193" s="620">
        <v>0</v>
      </c>
      <c r="K193" s="627">
        <v>2</v>
      </c>
    </row>
    <row r="194" spans="1:11" ht="14.4" customHeight="1" thickBot="1" x14ac:dyDescent="0.35">
      <c r="A194" s="637" t="s">
        <v>508</v>
      </c>
      <c r="B194" s="619">
        <v>0</v>
      </c>
      <c r="C194" s="619">
        <v>3.3210000000000003E-2</v>
      </c>
      <c r="D194" s="620">
        <v>3.3210000000000003E-2</v>
      </c>
      <c r="E194" s="621" t="s">
        <v>335</v>
      </c>
      <c r="F194" s="619">
        <v>0</v>
      </c>
      <c r="G194" s="620">
        <v>0</v>
      </c>
      <c r="H194" s="622">
        <v>0</v>
      </c>
      <c r="I194" s="619">
        <v>0</v>
      </c>
      <c r="J194" s="620">
        <v>0</v>
      </c>
      <c r="K194" s="627">
        <v>2</v>
      </c>
    </row>
    <row r="195" spans="1:11" ht="14.4" customHeight="1" thickBot="1" x14ac:dyDescent="0.35">
      <c r="A195" s="639" t="s">
        <v>509</v>
      </c>
      <c r="B195" s="619">
        <v>0</v>
      </c>
      <c r="C195" s="619">
        <v>3.3210000000000003E-2</v>
      </c>
      <c r="D195" s="620">
        <v>3.3210000000000003E-2</v>
      </c>
      <c r="E195" s="621" t="s">
        <v>335</v>
      </c>
      <c r="F195" s="619">
        <v>0</v>
      </c>
      <c r="G195" s="620">
        <v>0</v>
      </c>
      <c r="H195" s="622">
        <v>0</v>
      </c>
      <c r="I195" s="619">
        <v>0</v>
      </c>
      <c r="J195" s="620">
        <v>0</v>
      </c>
      <c r="K195" s="627">
        <v>2</v>
      </c>
    </row>
    <row r="196" spans="1:11" ht="14.4" customHeight="1" thickBot="1" x14ac:dyDescent="0.35">
      <c r="A196" s="635" t="s">
        <v>510</v>
      </c>
      <c r="B196" s="619">
        <v>0</v>
      </c>
      <c r="C196" s="619">
        <v>3.3210000000000003E-2</v>
      </c>
      <c r="D196" s="620">
        <v>3.3210000000000003E-2</v>
      </c>
      <c r="E196" s="621" t="s">
        <v>335</v>
      </c>
      <c r="F196" s="619">
        <v>0</v>
      </c>
      <c r="G196" s="620">
        <v>0</v>
      </c>
      <c r="H196" s="622">
        <v>0</v>
      </c>
      <c r="I196" s="619">
        <v>0</v>
      </c>
      <c r="J196" s="620">
        <v>0</v>
      </c>
      <c r="K196" s="627">
        <v>2</v>
      </c>
    </row>
    <row r="197" spans="1:11" ht="14.4" customHeight="1" thickBot="1" x14ac:dyDescent="0.35">
      <c r="A197" s="636" t="s">
        <v>511</v>
      </c>
      <c r="B197" s="614">
        <v>0</v>
      </c>
      <c r="C197" s="614">
        <v>3.3210000000000003E-2</v>
      </c>
      <c r="D197" s="615">
        <v>3.3210000000000003E-2</v>
      </c>
      <c r="E197" s="624" t="s">
        <v>335</v>
      </c>
      <c r="F197" s="614">
        <v>0</v>
      </c>
      <c r="G197" s="615">
        <v>0</v>
      </c>
      <c r="H197" s="617">
        <v>0</v>
      </c>
      <c r="I197" s="614">
        <v>0</v>
      </c>
      <c r="J197" s="615">
        <v>0</v>
      </c>
      <c r="K197" s="618">
        <v>2</v>
      </c>
    </row>
    <row r="198" spans="1:11" ht="14.4" customHeight="1" thickBot="1" x14ac:dyDescent="0.35">
      <c r="A198" s="641"/>
      <c r="B198" s="614">
        <v>-11035.9556798782</v>
      </c>
      <c r="C198" s="614">
        <v>-16354.16488</v>
      </c>
      <c r="D198" s="615">
        <v>-5318.2092001218298</v>
      </c>
      <c r="E198" s="616">
        <v>1.4818983832829999</v>
      </c>
      <c r="F198" s="614">
        <v>-11713.2258329289</v>
      </c>
      <c r="G198" s="615">
        <v>-1952.2043054881599</v>
      </c>
      <c r="H198" s="617">
        <v>-777.43984999999998</v>
      </c>
      <c r="I198" s="614">
        <v>-3021.5095500000002</v>
      </c>
      <c r="J198" s="615">
        <v>-1069.3052445118401</v>
      </c>
      <c r="K198" s="618">
        <v>0.25795708143000001</v>
      </c>
    </row>
    <row r="199" spans="1:11" ht="14.4" customHeight="1" thickBot="1" x14ac:dyDescent="0.35">
      <c r="A199" s="642" t="s">
        <v>53</v>
      </c>
      <c r="B199" s="628">
        <v>-11035.9556798782</v>
      </c>
      <c r="C199" s="628">
        <v>-16354.16488</v>
      </c>
      <c r="D199" s="629">
        <v>-5318.2092001218198</v>
      </c>
      <c r="E199" s="630" t="s">
        <v>335</v>
      </c>
      <c r="F199" s="628">
        <v>-11713.2258329289</v>
      </c>
      <c r="G199" s="629">
        <v>-1952.2043054881599</v>
      </c>
      <c r="H199" s="628">
        <v>-777.43984999999998</v>
      </c>
      <c r="I199" s="628">
        <v>-3021.5095500000002</v>
      </c>
      <c r="J199" s="629">
        <v>-1069.3052445118401</v>
      </c>
      <c r="K199" s="631">
        <v>0.25795708143000001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8" t="s">
        <v>158</v>
      </c>
      <c r="B1" s="519"/>
      <c r="C1" s="519"/>
      <c r="D1" s="519"/>
      <c r="E1" s="519"/>
      <c r="F1" s="519"/>
      <c r="G1" s="489"/>
      <c r="H1" s="520"/>
      <c r="I1" s="520"/>
    </row>
    <row r="2" spans="1:10" ht="14.4" customHeight="1" thickBot="1" x14ac:dyDescent="0.35">
      <c r="A2" s="351" t="s">
        <v>322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77"/>
      <c r="C3" s="476">
        <v>2015</v>
      </c>
      <c r="D3" s="412">
        <v>2016</v>
      </c>
      <c r="E3" s="11"/>
      <c r="F3" s="497">
        <v>2017</v>
      </c>
      <c r="G3" s="515"/>
      <c r="H3" s="515"/>
      <c r="I3" s="498"/>
    </row>
    <row r="4" spans="1:10" ht="14.4" customHeight="1" thickBot="1" x14ac:dyDescent="0.35">
      <c r="A4" s="416" t="s">
        <v>0</v>
      </c>
      <c r="B4" s="417" t="s">
        <v>253</v>
      </c>
      <c r="C4" s="516" t="s">
        <v>81</v>
      </c>
      <c r="D4" s="517"/>
      <c r="E4" s="418"/>
      <c r="F4" s="413" t="s">
        <v>81</v>
      </c>
      <c r="G4" s="414" t="s">
        <v>82</v>
      </c>
      <c r="H4" s="414" t="s">
        <v>56</v>
      </c>
      <c r="I4" s="415" t="s">
        <v>83</v>
      </c>
    </row>
    <row r="5" spans="1:10" ht="14.4" customHeight="1" x14ac:dyDescent="0.3">
      <c r="A5" s="643" t="s">
        <v>512</v>
      </c>
      <c r="B5" s="644" t="s">
        <v>513</v>
      </c>
      <c r="C5" s="645" t="s">
        <v>514</v>
      </c>
      <c r="D5" s="645" t="s">
        <v>514</v>
      </c>
      <c r="E5" s="645"/>
      <c r="F5" s="645" t="s">
        <v>514</v>
      </c>
      <c r="G5" s="645" t="s">
        <v>514</v>
      </c>
      <c r="H5" s="645" t="s">
        <v>514</v>
      </c>
      <c r="I5" s="646" t="s">
        <v>514</v>
      </c>
      <c r="J5" s="647" t="s">
        <v>61</v>
      </c>
    </row>
    <row r="6" spans="1:10" ht="14.4" customHeight="1" x14ac:dyDescent="0.3">
      <c r="A6" s="643" t="s">
        <v>512</v>
      </c>
      <c r="B6" s="644" t="s">
        <v>331</v>
      </c>
      <c r="C6" s="645">
        <v>488.05753000000095</v>
      </c>
      <c r="D6" s="645">
        <v>492.85312999999996</v>
      </c>
      <c r="E6" s="645"/>
      <c r="F6" s="645">
        <v>1047.7421999999999</v>
      </c>
      <c r="G6" s="645">
        <v>788.66497319622169</v>
      </c>
      <c r="H6" s="645">
        <v>259.07722680377822</v>
      </c>
      <c r="I6" s="646">
        <v>1.3285009929549885</v>
      </c>
      <c r="J6" s="647" t="s">
        <v>1</v>
      </c>
    </row>
    <row r="7" spans="1:10" ht="14.4" customHeight="1" x14ac:dyDescent="0.3">
      <c r="A7" s="643" t="s">
        <v>512</v>
      </c>
      <c r="B7" s="644" t="s">
        <v>332</v>
      </c>
      <c r="C7" s="645">
        <v>0</v>
      </c>
      <c r="D7" s="645">
        <v>180.71402</v>
      </c>
      <c r="E7" s="645"/>
      <c r="F7" s="645">
        <v>302.88288</v>
      </c>
      <c r="G7" s="645">
        <v>291.61587763188334</v>
      </c>
      <c r="H7" s="645">
        <v>11.267002368116664</v>
      </c>
      <c r="I7" s="646">
        <v>1.0386364503181797</v>
      </c>
      <c r="J7" s="647" t="s">
        <v>1</v>
      </c>
    </row>
    <row r="8" spans="1:10" ht="14.4" customHeight="1" x14ac:dyDescent="0.3">
      <c r="A8" s="643" t="s">
        <v>512</v>
      </c>
      <c r="B8" s="644" t="s">
        <v>333</v>
      </c>
      <c r="C8" s="645">
        <v>307.88040000000001</v>
      </c>
      <c r="D8" s="645">
        <v>39.987490000000001</v>
      </c>
      <c r="E8" s="645"/>
      <c r="F8" s="645">
        <v>42.808729999999997</v>
      </c>
      <c r="G8" s="645">
        <v>43.337009878085667</v>
      </c>
      <c r="H8" s="645">
        <v>-0.52827987808566945</v>
      </c>
      <c r="I8" s="646">
        <v>0.98780996013403299</v>
      </c>
      <c r="J8" s="647" t="s">
        <v>1</v>
      </c>
    </row>
    <row r="9" spans="1:10" ht="14.4" customHeight="1" x14ac:dyDescent="0.3">
      <c r="A9" s="643" t="s">
        <v>512</v>
      </c>
      <c r="B9" s="644" t="s">
        <v>334</v>
      </c>
      <c r="C9" s="645" t="s">
        <v>514</v>
      </c>
      <c r="D9" s="645">
        <v>0</v>
      </c>
      <c r="E9" s="645"/>
      <c r="F9" s="645" t="s">
        <v>514</v>
      </c>
      <c r="G9" s="645" t="s">
        <v>514</v>
      </c>
      <c r="H9" s="645" t="s">
        <v>514</v>
      </c>
      <c r="I9" s="646" t="s">
        <v>514</v>
      </c>
      <c r="J9" s="647" t="s">
        <v>1</v>
      </c>
    </row>
    <row r="10" spans="1:10" ht="14.4" customHeight="1" x14ac:dyDescent="0.3">
      <c r="A10" s="643" t="s">
        <v>512</v>
      </c>
      <c r="B10" s="644" t="s">
        <v>336</v>
      </c>
      <c r="C10" s="645">
        <v>36.103749999999998</v>
      </c>
      <c r="D10" s="645">
        <v>118.19265000000001</v>
      </c>
      <c r="E10" s="645"/>
      <c r="F10" s="645">
        <v>257.83262000000002</v>
      </c>
      <c r="G10" s="645">
        <v>333.33333333333331</v>
      </c>
      <c r="H10" s="645">
        <v>-75.500713333333294</v>
      </c>
      <c r="I10" s="646">
        <v>0.77349786000000009</v>
      </c>
      <c r="J10" s="647" t="s">
        <v>1</v>
      </c>
    </row>
    <row r="11" spans="1:10" ht="14.4" customHeight="1" x14ac:dyDescent="0.3">
      <c r="A11" s="643" t="s">
        <v>512</v>
      </c>
      <c r="B11" s="644" t="s">
        <v>337</v>
      </c>
      <c r="C11" s="645">
        <v>0</v>
      </c>
      <c r="D11" s="645">
        <v>0</v>
      </c>
      <c r="E11" s="645"/>
      <c r="F11" s="645">
        <v>0</v>
      </c>
      <c r="G11" s="645">
        <v>8.3333333333333339</v>
      </c>
      <c r="H11" s="645">
        <v>-8.3333333333333339</v>
      </c>
      <c r="I11" s="646">
        <v>0</v>
      </c>
      <c r="J11" s="647" t="s">
        <v>1</v>
      </c>
    </row>
    <row r="12" spans="1:10" ht="14.4" customHeight="1" x14ac:dyDescent="0.3">
      <c r="A12" s="643" t="s">
        <v>512</v>
      </c>
      <c r="B12" s="644" t="s">
        <v>338</v>
      </c>
      <c r="C12" s="645">
        <v>198.97745999999898</v>
      </c>
      <c r="D12" s="645">
        <v>153.37864000000002</v>
      </c>
      <c r="E12" s="645"/>
      <c r="F12" s="645">
        <v>615.52432999999996</v>
      </c>
      <c r="G12" s="645">
        <v>243.46927985895664</v>
      </c>
      <c r="H12" s="645">
        <v>372.05505014104335</v>
      </c>
      <c r="I12" s="646">
        <v>2.5281396090569506</v>
      </c>
      <c r="J12" s="647" t="s">
        <v>1</v>
      </c>
    </row>
    <row r="13" spans="1:10" ht="14.4" customHeight="1" x14ac:dyDescent="0.3">
      <c r="A13" s="643" t="s">
        <v>512</v>
      </c>
      <c r="B13" s="644" t="s">
        <v>339</v>
      </c>
      <c r="C13" s="645">
        <v>218.148470000001</v>
      </c>
      <c r="D13" s="645">
        <v>90.296090000000007</v>
      </c>
      <c r="E13" s="645"/>
      <c r="F13" s="645">
        <v>114.86645</v>
      </c>
      <c r="G13" s="645">
        <v>178.25831863868834</v>
      </c>
      <c r="H13" s="645">
        <v>-63.391868638688337</v>
      </c>
      <c r="I13" s="646">
        <v>0.64438198944769998</v>
      </c>
      <c r="J13" s="647" t="s">
        <v>1</v>
      </c>
    </row>
    <row r="14" spans="1:10" ht="14.4" customHeight="1" x14ac:dyDescent="0.3">
      <c r="A14" s="643" t="s">
        <v>512</v>
      </c>
      <c r="B14" s="644" t="s">
        <v>340</v>
      </c>
      <c r="C14" s="645">
        <v>27.363720000000001</v>
      </c>
      <c r="D14" s="645">
        <v>24.478369999999998</v>
      </c>
      <c r="E14" s="645"/>
      <c r="F14" s="645">
        <v>27.569230000000001</v>
      </c>
      <c r="G14" s="645">
        <v>21.666666666666668</v>
      </c>
      <c r="H14" s="645">
        <v>5.9025633333333332</v>
      </c>
      <c r="I14" s="646">
        <v>1.2724260000000001</v>
      </c>
      <c r="J14" s="647" t="s">
        <v>1</v>
      </c>
    </row>
    <row r="15" spans="1:10" ht="14.4" customHeight="1" x14ac:dyDescent="0.3">
      <c r="A15" s="643" t="s">
        <v>512</v>
      </c>
      <c r="B15" s="644" t="s">
        <v>515</v>
      </c>
      <c r="C15" s="645">
        <v>1276.5313300000009</v>
      </c>
      <c r="D15" s="645">
        <v>1099.90039</v>
      </c>
      <c r="E15" s="645"/>
      <c r="F15" s="645">
        <v>2409.2264399999999</v>
      </c>
      <c r="G15" s="645">
        <v>1908.6787925371689</v>
      </c>
      <c r="H15" s="645">
        <v>500.54764746283104</v>
      </c>
      <c r="I15" s="646">
        <v>1.2622482365392991</v>
      </c>
      <c r="J15" s="647" t="s">
        <v>516</v>
      </c>
    </row>
    <row r="17" spans="1:10" ht="14.4" customHeight="1" x14ac:dyDescent="0.3">
      <c r="A17" s="643" t="s">
        <v>512</v>
      </c>
      <c r="B17" s="644" t="s">
        <v>513</v>
      </c>
      <c r="C17" s="645" t="s">
        <v>514</v>
      </c>
      <c r="D17" s="645" t="s">
        <v>514</v>
      </c>
      <c r="E17" s="645"/>
      <c r="F17" s="645" t="s">
        <v>514</v>
      </c>
      <c r="G17" s="645" t="s">
        <v>514</v>
      </c>
      <c r="H17" s="645" t="s">
        <v>514</v>
      </c>
      <c r="I17" s="646" t="s">
        <v>514</v>
      </c>
      <c r="J17" s="647" t="s">
        <v>61</v>
      </c>
    </row>
    <row r="18" spans="1:10" ht="14.4" customHeight="1" x14ac:dyDescent="0.3">
      <c r="A18" s="643" t="s">
        <v>517</v>
      </c>
      <c r="B18" s="644" t="s">
        <v>518</v>
      </c>
      <c r="C18" s="645" t="s">
        <v>514</v>
      </c>
      <c r="D18" s="645" t="s">
        <v>514</v>
      </c>
      <c r="E18" s="645"/>
      <c r="F18" s="645" t="s">
        <v>514</v>
      </c>
      <c r="G18" s="645" t="s">
        <v>514</v>
      </c>
      <c r="H18" s="645" t="s">
        <v>514</v>
      </c>
      <c r="I18" s="646" t="s">
        <v>514</v>
      </c>
      <c r="J18" s="647" t="s">
        <v>0</v>
      </c>
    </row>
    <row r="19" spans="1:10" ht="14.4" customHeight="1" x14ac:dyDescent="0.3">
      <c r="A19" s="643" t="s">
        <v>517</v>
      </c>
      <c r="B19" s="644" t="s">
        <v>331</v>
      </c>
      <c r="C19" s="645">
        <v>488.05753000000095</v>
      </c>
      <c r="D19" s="645">
        <v>492.85312999999996</v>
      </c>
      <c r="E19" s="645"/>
      <c r="F19" s="645">
        <v>1047.7421999999999</v>
      </c>
      <c r="G19" s="645">
        <v>788.66497319622169</v>
      </c>
      <c r="H19" s="645">
        <v>259.07722680377822</v>
      </c>
      <c r="I19" s="646">
        <v>1.3285009929549885</v>
      </c>
      <c r="J19" s="647" t="s">
        <v>1</v>
      </c>
    </row>
    <row r="20" spans="1:10" ht="14.4" customHeight="1" x14ac:dyDescent="0.3">
      <c r="A20" s="643" t="s">
        <v>517</v>
      </c>
      <c r="B20" s="644" t="s">
        <v>332</v>
      </c>
      <c r="C20" s="645">
        <v>0</v>
      </c>
      <c r="D20" s="645">
        <v>180.71402</v>
      </c>
      <c r="E20" s="645"/>
      <c r="F20" s="645">
        <v>302.88288</v>
      </c>
      <c r="G20" s="645">
        <v>291.61587763188334</v>
      </c>
      <c r="H20" s="645">
        <v>11.267002368116664</v>
      </c>
      <c r="I20" s="646">
        <v>1.0386364503181797</v>
      </c>
      <c r="J20" s="647" t="s">
        <v>1</v>
      </c>
    </row>
    <row r="21" spans="1:10" ht="14.4" customHeight="1" x14ac:dyDescent="0.3">
      <c r="A21" s="643" t="s">
        <v>517</v>
      </c>
      <c r="B21" s="644" t="s">
        <v>333</v>
      </c>
      <c r="C21" s="645">
        <v>307.88040000000001</v>
      </c>
      <c r="D21" s="645">
        <v>39.987490000000001</v>
      </c>
      <c r="E21" s="645"/>
      <c r="F21" s="645">
        <v>42.808729999999997</v>
      </c>
      <c r="G21" s="645">
        <v>43.337009878085667</v>
      </c>
      <c r="H21" s="645">
        <v>-0.52827987808566945</v>
      </c>
      <c r="I21" s="646">
        <v>0.98780996013403299</v>
      </c>
      <c r="J21" s="647" t="s">
        <v>1</v>
      </c>
    </row>
    <row r="22" spans="1:10" ht="14.4" customHeight="1" x14ac:dyDescent="0.3">
      <c r="A22" s="643" t="s">
        <v>517</v>
      </c>
      <c r="B22" s="644" t="s">
        <v>334</v>
      </c>
      <c r="C22" s="645" t="s">
        <v>514</v>
      </c>
      <c r="D22" s="645">
        <v>0</v>
      </c>
      <c r="E22" s="645"/>
      <c r="F22" s="645" t="s">
        <v>514</v>
      </c>
      <c r="G22" s="645" t="s">
        <v>514</v>
      </c>
      <c r="H22" s="645" t="s">
        <v>514</v>
      </c>
      <c r="I22" s="646" t="s">
        <v>514</v>
      </c>
      <c r="J22" s="647" t="s">
        <v>1</v>
      </c>
    </row>
    <row r="23" spans="1:10" ht="14.4" customHeight="1" x14ac:dyDescent="0.3">
      <c r="A23" s="643" t="s">
        <v>517</v>
      </c>
      <c r="B23" s="644" t="s">
        <v>336</v>
      </c>
      <c r="C23" s="645">
        <v>36.103749999999998</v>
      </c>
      <c r="D23" s="645">
        <v>118.19265000000001</v>
      </c>
      <c r="E23" s="645"/>
      <c r="F23" s="645">
        <v>257.83262000000002</v>
      </c>
      <c r="G23" s="645">
        <v>333.33333333333331</v>
      </c>
      <c r="H23" s="645">
        <v>-75.500713333333294</v>
      </c>
      <c r="I23" s="646">
        <v>0.77349786000000009</v>
      </c>
      <c r="J23" s="647" t="s">
        <v>1</v>
      </c>
    </row>
    <row r="24" spans="1:10" ht="14.4" customHeight="1" x14ac:dyDescent="0.3">
      <c r="A24" s="643" t="s">
        <v>517</v>
      </c>
      <c r="B24" s="644" t="s">
        <v>337</v>
      </c>
      <c r="C24" s="645">
        <v>0</v>
      </c>
      <c r="D24" s="645">
        <v>0</v>
      </c>
      <c r="E24" s="645"/>
      <c r="F24" s="645">
        <v>0</v>
      </c>
      <c r="G24" s="645">
        <v>8.3333333333333339</v>
      </c>
      <c r="H24" s="645">
        <v>-8.3333333333333339</v>
      </c>
      <c r="I24" s="646">
        <v>0</v>
      </c>
      <c r="J24" s="647" t="s">
        <v>1</v>
      </c>
    </row>
    <row r="25" spans="1:10" ht="14.4" customHeight="1" x14ac:dyDescent="0.3">
      <c r="A25" s="643" t="s">
        <v>517</v>
      </c>
      <c r="B25" s="644" t="s">
        <v>338</v>
      </c>
      <c r="C25" s="645">
        <v>198.97745999999898</v>
      </c>
      <c r="D25" s="645">
        <v>153.37864000000002</v>
      </c>
      <c r="E25" s="645"/>
      <c r="F25" s="645">
        <v>615.52432999999996</v>
      </c>
      <c r="G25" s="645">
        <v>243.46927985895664</v>
      </c>
      <c r="H25" s="645">
        <v>372.05505014104335</v>
      </c>
      <c r="I25" s="646">
        <v>2.5281396090569506</v>
      </c>
      <c r="J25" s="647" t="s">
        <v>1</v>
      </c>
    </row>
    <row r="26" spans="1:10" ht="14.4" customHeight="1" x14ac:dyDescent="0.3">
      <c r="A26" s="643" t="s">
        <v>517</v>
      </c>
      <c r="B26" s="644" t="s">
        <v>339</v>
      </c>
      <c r="C26" s="645">
        <v>218.148470000001</v>
      </c>
      <c r="D26" s="645">
        <v>90.296090000000007</v>
      </c>
      <c r="E26" s="645"/>
      <c r="F26" s="645">
        <v>114.86645</v>
      </c>
      <c r="G26" s="645">
        <v>178.25831863868834</v>
      </c>
      <c r="H26" s="645">
        <v>-63.391868638688337</v>
      </c>
      <c r="I26" s="646">
        <v>0.64438198944769998</v>
      </c>
      <c r="J26" s="647" t="s">
        <v>1</v>
      </c>
    </row>
    <row r="27" spans="1:10" ht="14.4" customHeight="1" x14ac:dyDescent="0.3">
      <c r="A27" s="643" t="s">
        <v>517</v>
      </c>
      <c r="B27" s="644" t="s">
        <v>340</v>
      </c>
      <c r="C27" s="645">
        <v>27.363720000000001</v>
      </c>
      <c r="D27" s="645">
        <v>24.478369999999998</v>
      </c>
      <c r="E27" s="645"/>
      <c r="F27" s="645">
        <v>27.569230000000001</v>
      </c>
      <c r="G27" s="645">
        <v>21.666666666666668</v>
      </c>
      <c r="H27" s="645">
        <v>5.9025633333333332</v>
      </c>
      <c r="I27" s="646">
        <v>1.2724260000000001</v>
      </c>
      <c r="J27" s="647" t="s">
        <v>1</v>
      </c>
    </row>
    <row r="28" spans="1:10" ht="14.4" customHeight="1" x14ac:dyDescent="0.3">
      <c r="A28" s="643" t="s">
        <v>517</v>
      </c>
      <c r="B28" s="644" t="s">
        <v>519</v>
      </c>
      <c r="C28" s="645">
        <v>1276.5313300000009</v>
      </c>
      <c r="D28" s="645">
        <v>1099.90039</v>
      </c>
      <c r="E28" s="645"/>
      <c r="F28" s="645">
        <v>2409.2264399999999</v>
      </c>
      <c r="G28" s="645">
        <v>1908.6787925371689</v>
      </c>
      <c r="H28" s="645">
        <v>500.54764746283104</v>
      </c>
      <c r="I28" s="646">
        <v>1.2622482365392991</v>
      </c>
      <c r="J28" s="647" t="s">
        <v>520</v>
      </c>
    </row>
    <row r="29" spans="1:10" ht="14.4" customHeight="1" x14ac:dyDescent="0.3">
      <c r="A29" s="643" t="s">
        <v>514</v>
      </c>
      <c r="B29" s="644" t="s">
        <v>514</v>
      </c>
      <c r="C29" s="645" t="s">
        <v>514</v>
      </c>
      <c r="D29" s="645" t="s">
        <v>514</v>
      </c>
      <c r="E29" s="645"/>
      <c r="F29" s="645" t="s">
        <v>514</v>
      </c>
      <c r="G29" s="645" t="s">
        <v>514</v>
      </c>
      <c r="H29" s="645" t="s">
        <v>514</v>
      </c>
      <c r="I29" s="646" t="s">
        <v>514</v>
      </c>
      <c r="J29" s="647" t="s">
        <v>521</v>
      </c>
    </row>
    <row r="30" spans="1:10" ht="14.4" customHeight="1" x14ac:dyDescent="0.3">
      <c r="A30" s="643" t="s">
        <v>512</v>
      </c>
      <c r="B30" s="644" t="s">
        <v>515</v>
      </c>
      <c r="C30" s="645">
        <v>1276.5313300000009</v>
      </c>
      <c r="D30" s="645">
        <v>1099.90039</v>
      </c>
      <c r="E30" s="645"/>
      <c r="F30" s="645">
        <v>2409.2264399999999</v>
      </c>
      <c r="G30" s="645">
        <v>1908.6787925371689</v>
      </c>
      <c r="H30" s="645">
        <v>500.54764746283104</v>
      </c>
      <c r="I30" s="646">
        <v>1.2622482365392991</v>
      </c>
      <c r="J30" s="647" t="s">
        <v>516</v>
      </c>
    </row>
  </sheetData>
  <mergeCells count="3">
    <mergeCell ref="F3:I3"/>
    <mergeCell ref="C4:D4"/>
    <mergeCell ref="A1:I1"/>
  </mergeCells>
  <conditionalFormatting sqref="F16 F31:F65537">
    <cfRule type="cellIs" dxfId="63" priority="18" stopIfTrue="1" operator="greaterThan">
      <formula>1</formula>
    </cfRule>
  </conditionalFormatting>
  <conditionalFormatting sqref="H5:H15">
    <cfRule type="expression" dxfId="62" priority="14">
      <formula>$H5&gt;0</formula>
    </cfRule>
  </conditionalFormatting>
  <conditionalFormatting sqref="I5:I15">
    <cfRule type="expression" dxfId="61" priority="15">
      <formula>$I5&gt;1</formula>
    </cfRule>
  </conditionalFormatting>
  <conditionalFormatting sqref="B5:B15">
    <cfRule type="expression" dxfId="60" priority="11">
      <formula>OR($J5="NS",$J5="SumaNS",$J5="Účet")</formula>
    </cfRule>
  </conditionalFormatting>
  <conditionalFormatting sqref="B5:D15 F5:I15">
    <cfRule type="expression" dxfId="59" priority="17">
      <formula>AND($J5&lt;&gt;"",$J5&lt;&gt;"mezeraKL")</formula>
    </cfRule>
  </conditionalFormatting>
  <conditionalFormatting sqref="B5:D15 F5:I15">
    <cfRule type="expression" dxfId="5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7" priority="13">
      <formula>OR($J5="SumaNS",$J5="NS")</formula>
    </cfRule>
  </conditionalFormatting>
  <conditionalFormatting sqref="A5:A15">
    <cfRule type="expression" dxfId="56" priority="9">
      <formula>AND($J5&lt;&gt;"mezeraKL",$J5&lt;&gt;"")</formula>
    </cfRule>
  </conditionalFormatting>
  <conditionalFormatting sqref="A5:A15">
    <cfRule type="expression" dxfId="55" priority="10">
      <formula>AND($J5&lt;&gt;"",$J5&lt;&gt;"mezeraKL")</formula>
    </cfRule>
  </conditionalFormatting>
  <conditionalFormatting sqref="H17:H30">
    <cfRule type="expression" dxfId="54" priority="5">
      <formula>$H17&gt;0</formula>
    </cfRule>
  </conditionalFormatting>
  <conditionalFormatting sqref="A17:A30">
    <cfRule type="expression" dxfId="53" priority="2">
      <formula>AND($J17&lt;&gt;"mezeraKL",$J17&lt;&gt;"")</formula>
    </cfRule>
  </conditionalFormatting>
  <conditionalFormatting sqref="I17:I30">
    <cfRule type="expression" dxfId="52" priority="6">
      <formula>$I17&gt;1</formula>
    </cfRule>
  </conditionalFormatting>
  <conditionalFormatting sqref="B17:B30">
    <cfRule type="expression" dxfId="51" priority="1">
      <formula>OR($J17="NS",$J17="SumaNS",$J17="Účet")</formula>
    </cfRule>
  </conditionalFormatting>
  <conditionalFormatting sqref="A17:D30 F17:I30">
    <cfRule type="expression" dxfId="50" priority="8">
      <formula>AND($J17&lt;&gt;"",$J17&lt;&gt;"mezeraKL")</formula>
    </cfRule>
  </conditionalFormatting>
  <conditionalFormatting sqref="B17:D30 F17:I30">
    <cfRule type="expression" dxfId="49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8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25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ht="14.4" customHeight="1" thickBot="1" x14ac:dyDescent="0.35">
      <c r="A2" s="351" t="s">
        <v>322</v>
      </c>
      <c r="B2" s="66"/>
      <c r="C2" s="314"/>
      <c r="D2" s="314"/>
      <c r="E2" s="314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21"/>
      <c r="D3" s="522"/>
      <c r="E3" s="522"/>
      <c r="F3" s="522"/>
      <c r="G3" s="522"/>
      <c r="H3" s="522"/>
      <c r="I3" s="522"/>
      <c r="J3" s="523" t="s">
        <v>142</v>
      </c>
      <c r="K3" s="524"/>
      <c r="L3" s="188">
        <f>IF(M3&lt;&gt;0,N3/M3,0)</f>
        <v>476.91277799829555</v>
      </c>
      <c r="M3" s="188">
        <f>SUBTOTAL(9,M5:M1048576)</f>
        <v>4993.8499999999995</v>
      </c>
      <c r="N3" s="189">
        <f>SUBTOTAL(9,N5:N1048576)</f>
        <v>2381630.8764067879</v>
      </c>
    </row>
    <row r="4" spans="1:14" s="311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165</v>
      </c>
      <c r="M4" s="651" t="s">
        <v>13</v>
      </c>
      <c r="N4" s="652" t="s">
        <v>176</v>
      </c>
    </row>
    <row r="5" spans="1:14" ht="14.4" customHeight="1" x14ac:dyDescent="0.3">
      <c r="A5" s="655" t="s">
        <v>512</v>
      </c>
      <c r="B5" s="656" t="s">
        <v>1387</v>
      </c>
      <c r="C5" s="657" t="s">
        <v>517</v>
      </c>
      <c r="D5" s="658" t="s">
        <v>1388</v>
      </c>
      <c r="E5" s="657" t="s">
        <v>522</v>
      </c>
      <c r="F5" s="658" t="s">
        <v>1389</v>
      </c>
      <c r="G5" s="657"/>
      <c r="H5" s="657" t="s">
        <v>523</v>
      </c>
      <c r="I5" s="657" t="s">
        <v>524</v>
      </c>
      <c r="J5" s="657" t="s">
        <v>525</v>
      </c>
      <c r="K5" s="657" t="s">
        <v>526</v>
      </c>
      <c r="L5" s="659">
        <v>253.6100000000001</v>
      </c>
      <c r="M5" s="659">
        <v>3</v>
      </c>
      <c r="N5" s="660">
        <v>760.83000000000027</v>
      </c>
    </row>
    <row r="6" spans="1:14" ht="14.4" customHeight="1" x14ac:dyDescent="0.3">
      <c r="A6" s="661" t="s">
        <v>512</v>
      </c>
      <c r="B6" s="662" t="s">
        <v>1387</v>
      </c>
      <c r="C6" s="663" t="s">
        <v>517</v>
      </c>
      <c r="D6" s="664" t="s">
        <v>1388</v>
      </c>
      <c r="E6" s="663" t="s">
        <v>522</v>
      </c>
      <c r="F6" s="664" t="s">
        <v>1389</v>
      </c>
      <c r="G6" s="663"/>
      <c r="H6" s="663" t="s">
        <v>527</v>
      </c>
      <c r="I6" s="663" t="s">
        <v>528</v>
      </c>
      <c r="J6" s="663" t="s">
        <v>529</v>
      </c>
      <c r="K6" s="663" t="s">
        <v>530</v>
      </c>
      <c r="L6" s="665">
        <v>107.45000000000003</v>
      </c>
      <c r="M6" s="665">
        <v>1</v>
      </c>
      <c r="N6" s="666">
        <v>107.45000000000003</v>
      </c>
    </row>
    <row r="7" spans="1:14" ht="14.4" customHeight="1" x14ac:dyDescent="0.3">
      <c r="A7" s="661" t="s">
        <v>512</v>
      </c>
      <c r="B7" s="662" t="s">
        <v>1387</v>
      </c>
      <c r="C7" s="663" t="s">
        <v>517</v>
      </c>
      <c r="D7" s="664" t="s">
        <v>1388</v>
      </c>
      <c r="E7" s="663" t="s">
        <v>522</v>
      </c>
      <c r="F7" s="664" t="s">
        <v>1389</v>
      </c>
      <c r="G7" s="663"/>
      <c r="H7" s="663" t="s">
        <v>531</v>
      </c>
      <c r="I7" s="663" t="s">
        <v>532</v>
      </c>
      <c r="J7" s="663" t="s">
        <v>533</v>
      </c>
      <c r="K7" s="663" t="s">
        <v>534</v>
      </c>
      <c r="L7" s="665">
        <v>143.94400000000002</v>
      </c>
      <c r="M7" s="665">
        <v>20</v>
      </c>
      <c r="N7" s="666">
        <v>2878.88</v>
      </c>
    </row>
    <row r="8" spans="1:14" ht="14.4" customHeight="1" x14ac:dyDescent="0.3">
      <c r="A8" s="661" t="s">
        <v>512</v>
      </c>
      <c r="B8" s="662" t="s">
        <v>1387</v>
      </c>
      <c r="C8" s="663" t="s">
        <v>517</v>
      </c>
      <c r="D8" s="664" t="s">
        <v>1388</v>
      </c>
      <c r="E8" s="663" t="s">
        <v>522</v>
      </c>
      <c r="F8" s="664" t="s">
        <v>1389</v>
      </c>
      <c r="G8" s="663"/>
      <c r="H8" s="663" t="s">
        <v>535</v>
      </c>
      <c r="I8" s="663" t="s">
        <v>536</v>
      </c>
      <c r="J8" s="663" t="s">
        <v>537</v>
      </c>
      <c r="K8" s="663" t="s">
        <v>538</v>
      </c>
      <c r="L8" s="665">
        <v>116.35999999999997</v>
      </c>
      <c r="M8" s="665">
        <v>2</v>
      </c>
      <c r="N8" s="666">
        <v>232.71999999999994</v>
      </c>
    </row>
    <row r="9" spans="1:14" ht="14.4" customHeight="1" x14ac:dyDescent="0.3">
      <c r="A9" s="661" t="s">
        <v>512</v>
      </c>
      <c r="B9" s="662" t="s">
        <v>1387</v>
      </c>
      <c r="C9" s="663" t="s">
        <v>517</v>
      </c>
      <c r="D9" s="664" t="s">
        <v>1388</v>
      </c>
      <c r="E9" s="663" t="s">
        <v>522</v>
      </c>
      <c r="F9" s="664" t="s">
        <v>1389</v>
      </c>
      <c r="G9" s="663"/>
      <c r="H9" s="663" t="s">
        <v>539</v>
      </c>
      <c r="I9" s="663" t="s">
        <v>540</v>
      </c>
      <c r="J9" s="663" t="s">
        <v>529</v>
      </c>
      <c r="K9" s="663" t="s">
        <v>541</v>
      </c>
      <c r="L9" s="665">
        <v>465.10999999999996</v>
      </c>
      <c r="M9" s="665">
        <v>1</v>
      </c>
      <c r="N9" s="666">
        <v>465.10999999999996</v>
      </c>
    </row>
    <row r="10" spans="1:14" ht="14.4" customHeight="1" x14ac:dyDescent="0.3">
      <c r="A10" s="661" t="s">
        <v>512</v>
      </c>
      <c r="B10" s="662" t="s">
        <v>1387</v>
      </c>
      <c r="C10" s="663" t="s">
        <v>517</v>
      </c>
      <c r="D10" s="664" t="s">
        <v>1388</v>
      </c>
      <c r="E10" s="663" t="s">
        <v>522</v>
      </c>
      <c r="F10" s="664" t="s">
        <v>1389</v>
      </c>
      <c r="G10" s="663"/>
      <c r="H10" s="663" t="s">
        <v>542</v>
      </c>
      <c r="I10" s="663" t="s">
        <v>542</v>
      </c>
      <c r="J10" s="663" t="s">
        <v>543</v>
      </c>
      <c r="K10" s="663" t="s">
        <v>544</v>
      </c>
      <c r="L10" s="665">
        <v>495.84</v>
      </c>
      <c r="M10" s="665">
        <v>1</v>
      </c>
      <c r="N10" s="666">
        <v>495.84</v>
      </c>
    </row>
    <row r="11" spans="1:14" ht="14.4" customHeight="1" x14ac:dyDescent="0.3">
      <c r="A11" s="661" t="s">
        <v>512</v>
      </c>
      <c r="B11" s="662" t="s">
        <v>1387</v>
      </c>
      <c r="C11" s="663" t="s">
        <v>517</v>
      </c>
      <c r="D11" s="664" t="s">
        <v>1388</v>
      </c>
      <c r="E11" s="663" t="s">
        <v>522</v>
      </c>
      <c r="F11" s="664" t="s">
        <v>1389</v>
      </c>
      <c r="G11" s="663"/>
      <c r="H11" s="663" t="s">
        <v>545</v>
      </c>
      <c r="I11" s="663" t="s">
        <v>545</v>
      </c>
      <c r="J11" s="663" t="s">
        <v>546</v>
      </c>
      <c r="K11" s="663" t="s">
        <v>547</v>
      </c>
      <c r="L11" s="665">
        <v>44.000240058656011</v>
      </c>
      <c r="M11" s="665">
        <v>1</v>
      </c>
      <c r="N11" s="666">
        <v>44.000240058656011</v>
      </c>
    </row>
    <row r="12" spans="1:14" ht="14.4" customHeight="1" x14ac:dyDescent="0.3">
      <c r="A12" s="661" t="s">
        <v>512</v>
      </c>
      <c r="B12" s="662" t="s">
        <v>1387</v>
      </c>
      <c r="C12" s="663" t="s">
        <v>517</v>
      </c>
      <c r="D12" s="664" t="s">
        <v>1388</v>
      </c>
      <c r="E12" s="663" t="s">
        <v>522</v>
      </c>
      <c r="F12" s="664" t="s">
        <v>1389</v>
      </c>
      <c r="G12" s="663"/>
      <c r="H12" s="663" t="s">
        <v>548</v>
      </c>
      <c r="I12" s="663" t="s">
        <v>548</v>
      </c>
      <c r="J12" s="663" t="s">
        <v>549</v>
      </c>
      <c r="K12" s="663" t="s">
        <v>550</v>
      </c>
      <c r="L12" s="665">
        <v>75.040000000000006</v>
      </c>
      <c r="M12" s="665">
        <v>1</v>
      </c>
      <c r="N12" s="666">
        <v>75.040000000000006</v>
      </c>
    </row>
    <row r="13" spans="1:14" ht="14.4" customHeight="1" x14ac:dyDescent="0.3">
      <c r="A13" s="661" t="s">
        <v>512</v>
      </c>
      <c r="B13" s="662" t="s">
        <v>1387</v>
      </c>
      <c r="C13" s="663" t="s">
        <v>517</v>
      </c>
      <c r="D13" s="664" t="s">
        <v>1388</v>
      </c>
      <c r="E13" s="663" t="s">
        <v>522</v>
      </c>
      <c r="F13" s="664" t="s">
        <v>1389</v>
      </c>
      <c r="G13" s="663"/>
      <c r="H13" s="663" t="s">
        <v>551</v>
      </c>
      <c r="I13" s="663" t="s">
        <v>551</v>
      </c>
      <c r="J13" s="663" t="s">
        <v>552</v>
      </c>
      <c r="K13" s="663" t="s">
        <v>553</v>
      </c>
      <c r="L13" s="665">
        <v>817.005</v>
      </c>
      <c r="M13" s="665">
        <v>2</v>
      </c>
      <c r="N13" s="666">
        <v>1634.01</v>
      </c>
    </row>
    <row r="14" spans="1:14" ht="14.4" customHeight="1" x14ac:dyDescent="0.3">
      <c r="A14" s="661" t="s">
        <v>512</v>
      </c>
      <c r="B14" s="662" t="s">
        <v>1387</v>
      </c>
      <c r="C14" s="663" t="s">
        <v>517</v>
      </c>
      <c r="D14" s="664" t="s">
        <v>1388</v>
      </c>
      <c r="E14" s="663" t="s">
        <v>522</v>
      </c>
      <c r="F14" s="664" t="s">
        <v>1389</v>
      </c>
      <c r="G14" s="663"/>
      <c r="H14" s="663" t="s">
        <v>554</v>
      </c>
      <c r="I14" s="663" t="s">
        <v>554</v>
      </c>
      <c r="J14" s="663" t="s">
        <v>555</v>
      </c>
      <c r="K14" s="663" t="s">
        <v>556</v>
      </c>
      <c r="L14" s="665">
        <v>103.31999999999998</v>
      </c>
      <c r="M14" s="665">
        <v>1</v>
      </c>
      <c r="N14" s="666">
        <v>103.31999999999998</v>
      </c>
    </row>
    <row r="15" spans="1:14" ht="14.4" customHeight="1" x14ac:dyDescent="0.3">
      <c r="A15" s="661" t="s">
        <v>512</v>
      </c>
      <c r="B15" s="662" t="s">
        <v>1387</v>
      </c>
      <c r="C15" s="663" t="s">
        <v>517</v>
      </c>
      <c r="D15" s="664" t="s">
        <v>1388</v>
      </c>
      <c r="E15" s="663" t="s">
        <v>522</v>
      </c>
      <c r="F15" s="664" t="s">
        <v>1389</v>
      </c>
      <c r="G15" s="663"/>
      <c r="H15" s="663" t="s">
        <v>557</v>
      </c>
      <c r="I15" s="663" t="s">
        <v>558</v>
      </c>
      <c r="J15" s="663" t="s">
        <v>559</v>
      </c>
      <c r="K15" s="663" t="s">
        <v>560</v>
      </c>
      <c r="L15" s="665">
        <v>108.54999999999995</v>
      </c>
      <c r="M15" s="665">
        <v>3</v>
      </c>
      <c r="N15" s="666">
        <v>325.64999999999986</v>
      </c>
    </row>
    <row r="16" spans="1:14" ht="14.4" customHeight="1" x14ac:dyDescent="0.3">
      <c r="A16" s="661" t="s">
        <v>512</v>
      </c>
      <c r="B16" s="662" t="s">
        <v>1387</v>
      </c>
      <c r="C16" s="663" t="s">
        <v>517</v>
      </c>
      <c r="D16" s="664" t="s">
        <v>1388</v>
      </c>
      <c r="E16" s="663" t="s">
        <v>522</v>
      </c>
      <c r="F16" s="664" t="s">
        <v>1389</v>
      </c>
      <c r="G16" s="663" t="s">
        <v>561</v>
      </c>
      <c r="H16" s="663" t="s">
        <v>562</v>
      </c>
      <c r="I16" s="663" t="s">
        <v>562</v>
      </c>
      <c r="J16" s="663" t="s">
        <v>563</v>
      </c>
      <c r="K16" s="663" t="s">
        <v>564</v>
      </c>
      <c r="L16" s="665">
        <v>171.60000021618407</v>
      </c>
      <c r="M16" s="665">
        <v>24</v>
      </c>
      <c r="N16" s="666">
        <v>4118.4000051884177</v>
      </c>
    </row>
    <row r="17" spans="1:14" ht="14.4" customHeight="1" x14ac:dyDescent="0.3">
      <c r="A17" s="661" t="s">
        <v>512</v>
      </c>
      <c r="B17" s="662" t="s">
        <v>1387</v>
      </c>
      <c r="C17" s="663" t="s">
        <v>517</v>
      </c>
      <c r="D17" s="664" t="s">
        <v>1388</v>
      </c>
      <c r="E17" s="663" t="s">
        <v>522</v>
      </c>
      <c r="F17" s="664" t="s">
        <v>1389</v>
      </c>
      <c r="G17" s="663" t="s">
        <v>561</v>
      </c>
      <c r="H17" s="663" t="s">
        <v>565</v>
      </c>
      <c r="I17" s="663" t="s">
        <v>565</v>
      </c>
      <c r="J17" s="663" t="s">
        <v>566</v>
      </c>
      <c r="K17" s="663" t="s">
        <v>567</v>
      </c>
      <c r="L17" s="665">
        <v>173.68999983309206</v>
      </c>
      <c r="M17" s="665">
        <v>33</v>
      </c>
      <c r="N17" s="666">
        <v>5731.7699944920378</v>
      </c>
    </row>
    <row r="18" spans="1:14" ht="14.4" customHeight="1" x14ac:dyDescent="0.3">
      <c r="A18" s="661" t="s">
        <v>512</v>
      </c>
      <c r="B18" s="662" t="s">
        <v>1387</v>
      </c>
      <c r="C18" s="663" t="s">
        <v>517</v>
      </c>
      <c r="D18" s="664" t="s">
        <v>1388</v>
      </c>
      <c r="E18" s="663" t="s">
        <v>522</v>
      </c>
      <c r="F18" s="664" t="s">
        <v>1389</v>
      </c>
      <c r="G18" s="663" t="s">
        <v>561</v>
      </c>
      <c r="H18" s="663" t="s">
        <v>568</v>
      </c>
      <c r="I18" s="663" t="s">
        <v>568</v>
      </c>
      <c r="J18" s="663" t="s">
        <v>569</v>
      </c>
      <c r="K18" s="663" t="s">
        <v>567</v>
      </c>
      <c r="L18" s="665">
        <v>143</v>
      </c>
      <c r="M18" s="665">
        <v>7</v>
      </c>
      <c r="N18" s="666">
        <v>1001</v>
      </c>
    </row>
    <row r="19" spans="1:14" ht="14.4" customHeight="1" x14ac:dyDescent="0.3">
      <c r="A19" s="661" t="s">
        <v>512</v>
      </c>
      <c r="B19" s="662" t="s">
        <v>1387</v>
      </c>
      <c r="C19" s="663" t="s">
        <v>517</v>
      </c>
      <c r="D19" s="664" t="s">
        <v>1388</v>
      </c>
      <c r="E19" s="663" t="s">
        <v>522</v>
      </c>
      <c r="F19" s="664" t="s">
        <v>1389</v>
      </c>
      <c r="G19" s="663" t="s">
        <v>561</v>
      </c>
      <c r="H19" s="663" t="s">
        <v>570</v>
      </c>
      <c r="I19" s="663" t="s">
        <v>570</v>
      </c>
      <c r="J19" s="663" t="s">
        <v>569</v>
      </c>
      <c r="K19" s="663" t="s">
        <v>571</v>
      </c>
      <c r="L19" s="665">
        <v>126.49999859357108</v>
      </c>
      <c r="M19" s="665">
        <v>8</v>
      </c>
      <c r="N19" s="666">
        <v>1011.9999887485686</v>
      </c>
    </row>
    <row r="20" spans="1:14" ht="14.4" customHeight="1" x14ac:dyDescent="0.3">
      <c r="A20" s="661" t="s">
        <v>512</v>
      </c>
      <c r="B20" s="662" t="s">
        <v>1387</v>
      </c>
      <c r="C20" s="663" t="s">
        <v>517</v>
      </c>
      <c r="D20" s="664" t="s">
        <v>1388</v>
      </c>
      <c r="E20" s="663" t="s">
        <v>522</v>
      </c>
      <c r="F20" s="664" t="s">
        <v>1389</v>
      </c>
      <c r="G20" s="663" t="s">
        <v>561</v>
      </c>
      <c r="H20" s="663" t="s">
        <v>572</v>
      </c>
      <c r="I20" s="663" t="s">
        <v>572</v>
      </c>
      <c r="J20" s="663" t="s">
        <v>573</v>
      </c>
      <c r="K20" s="663" t="s">
        <v>574</v>
      </c>
      <c r="L20" s="665">
        <v>295.52999999999997</v>
      </c>
      <c r="M20" s="665">
        <v>1</v>
      </c>
      <c r="N20" s="666">
        <v>295.52999999999997</v>
      </c>
    </row>
    <row r="21" spans="1:14" ht="14.4" customHeight="1" x14ac:dyDescent="0.3">
      <c r="A21" s="661" t="s">
        <v>512</v>
      </c>
      <c r="B21" s="662" t="s">
        <v>1387</v>
      </c>
      <c r="C21" s="663" t="s">
        <v>517</v>
      </c>
      <c r="D21" s="664" t="s">
        <v>1388</v>
      </c>
      <c r="E21" s="663" t="s">
        <v>522</v>
      </c>
      <c r="F21" s="664" t="s">
        <v>1389</v>
      </c>
      <c r="G21" s="663" t="s">
        <v>561</v>
      </c>
      <c r="H21" s="663" t="s">
        <v>575</v>
      </c>
      <c r="I21" s="663" t="s">
        <v>575</v>
      </c>
      <c r="J21" s="663" t="s">
        <v>563</v>
      </c>
      <c r="K21" s="663" t="s">
        <v>576</v>
      </c>
      <c r="L21" s="665">
        <v>92.949998967278262</v>
      </c>
      <c r="M21" s="665">
        <v>68</v>
      </c>
      <c r="N21" s="666">
        <v>6320.5999297749222</v>
      </c>
    </row>
    <row r="22" spans="1:14" ht="14.4" customHeight="1" x14ac:dyDescent="0.3">
      <c r="A22" s="661" t="s">
        <v>512</v>
      </c>
      <c r="B22" s="662" t="s">
        <v>1387</v>
      </c>
      <c r="C22" s="663" t="s">
        <v>517</v>
      </c>
      <c r="D22" s="664" t="s">
        <v>1388</v>
      </c>
      <c r="E22" s="663" t="s">
        <v>522</v>
      </c>
      <c r="F22" s="664" t="s">
        <v>1389</v>
      </c>
      <c r="G22" s="663" t="s">
        <v>561</v>
      </c>
      <c r="H22" s="663" t="s">
        <v>577</v>
      </c>
      <c r="I22" s="663" t="s">
        <v>577</v>
      </c>
      <c r="J22" s="663" t="s">
        <v>563</v>
      </c>
      <c r="K22" s="663" t="s">
        <v>578</v>
      </c>
      <c r="L22" s="665">
        <v>93.5</v>
      </c>
      <c r="M22" s="665">
        <v>57</v>
      </c>
      <c r="N22" s="666">
        <v>5329.5</v>
      </c>
    </row>
    <row r="23" spans="1:14" ht="14.4" customHeight="1" x14ac:dyDescent="0.3">
      <c r="A23" s="661" t="s">
        <v>512</v>
      </c>
      <c r="B23" s="662" t="s">
        <v>1387</v>
      </c>
      <c r="C23" s="663" t="s">
        <v>517</v>
      </c>
      <c r="D23" s="664" t="s">
        <v>1388</v>
      </c>
      <c r="E23" s="663" t="s">
        <v>522</v>
      </c>
      <c r="F23" s="664" t="s">
        <v>1389</v>
      </c>
      <c r="G23" s="663" t="s">
        <v>561</v>
      </c>
      <c r="H23" s="663" t="s">
        <v>579</v>
      </c>
      <c r="I23" s="663" t="s">
        <v>580</v>
      </c>
      <c r="J23" s="663" t="s">
        <v>581</v>
      </c>
      <c r="K23" s="663" t="s">
        <v>582</v>
      </c>
      <c r="L23" s="665">
        <v>87.029952434987379</v>
      </c>
      <c r="M23" s="665">
        <v>12</v>
      </c>
      <c r="N23" s="666">
        <v>1044.3594292198486</v>
      </c>
    </row>
    <row r="24" spans="1:14" ht="14.4" customHeight="1" x14ac:dyDescent="0.3">
      <c r="A24" s="661" t="s">
        <v>512</v>
      </c>
      <c r="B24" s="662" t="s">
        <v>1387</v>
      </c>
      <c r="C24" s="663" t="s">
        <v>517</v>
      </c>
      <c r="D24" s="664" t="s">
        <v>1388</v>
      </c>
      <c r="E24" s="663" t="s">
        <v>522</v>
      </c>
      <c r="F24" s="664" t="s">
        <v>1389</v>
      </c>
      <c r="G24" s="663" t="s">
        <v>561</v>
      </c>
      <c r="H24" s="663" t="s">
        <v>583</v>
      </c>
      <c r="I24" s="663" t="s">
        <v>584</v>
      </c>
      <c r="J24" s="663" t="s">
        <v>585</v>
      </c>
      <c r="K24" s="663" t="s">
        <v>586</v>
      </c>
      <c r="L24" s="665">
        <v>96.819707902113848</v>
      </c>
      <c r="M24" s="665">
        <v>115</v>
      </c>
      <c r="N24" s="666">
        <v>11134.266408743093</v>
      </c>
    </row>
    <row r="25" spans="1:14" ht="14.4" customHeight="1" x14ac:dyDescent="0.3">
      <c r="A25" s="661" t="s">
        <v>512</v>
      </c>
      <c r="B25" s="662" t="s">
        <v>1387</v>
      </c>
      <c r="C25" s="663" t="s">
        <v>517</v>
      </c>
      <c r="D25" s="664" t="s">
        <v>1388</v>
      </c>
      <c r="E25" s="663" t="s">
        <v>522</v>
      </c>
      <c r="F25" s="664" t="s">
        <v>1389</v>
      </c>
      <c r="G25" s="663" t="s">
        <v>561</v>
      </c>
      <c r="H25" s="663" t="s">
        <v>587</v>
      </c>
      <c r="I25" s="663" t="s">
        <v>588</v>
      </c>
      <c r="J25" s="663" t="s">
        <v>585</v>
      </c>
      <c r="K25" s="663" t="s">
        <v>589</v>
      </c>
      <c r="L25" s="665">
        <v>100.76110201906347</v>
      </c>
      <c r="M25" s="665">
        <v>5</v>
      </c>
      <c r="N25" s="666">
        <v>503.80551009531735</v>
      </c>
    </row>
    <row r="26" spans="1:14" ht="14.4" customHeight="1" x14ac:dyDescent="0.3">
      <c r="A26" s="661" t="s">
        <v>512</v>
      </c>
      <c r="B26" s="662" t="s">
        <v>1387</v>
      </c>
      <c r="C26" s="663" t="s">
        <v>517</v>
      </c>
      <c r="D26" s="664" t="s">
        <v>1388</v>
      </c>
      <c r="E26" s="663" t="s">
        <v>522</v>
      </c>
      <c r="F26" s="664" t="s">
        <v>1389</v>
      </c>
      <c r="G26" s="663" t="s">
        <v>561</v>
      </c>
      <c r="H26" s="663" t="s">
        <v>590</v>
      </c>
      <c r="I26" s="663" t="s">
        <v>591</v>
      </c>
      <c r="J26" s="663" t="s">
        <v>592</v>
      </c>
      <c r="K26" s="663" t="s">
        <v>593</v>
      </c>
      <c r="L26" s="665">
        <v>177.20999999999998</v>
      </c>
      <c r="M26" s="665">
        <v>4</v>
      </c>
      <c r="N26" s="666">
        <v>708.83999999999992</v>
      </c>
    </row>
    <row r="27" spans="1:14" ht="14.4" customHeight="1" x14ac:dyDescent="0.3">
      <c r="A27" s="661" t="s">
        <v>512</v>
      </c>
      <c r="B27" s="662" t="s">
        <v>1387</v>
      </c>
      <c r="C27" s="663" t="s">
        <v>517</v>
      </c>
      <c r="D27" s="664" t="s">
        <v>1388</v>
      </c>
      <c r="E27" s="663" t="s">
        <v>522</v>
      </c>
      <c r="F27" s="664" t="s">
        <v>1389</v>
      </c>
      <c r="G27" s="663" t="s">
        <v>561</v>
      </c>
      <c r="H27" s="663" t="s">
        <v>594</v>
      </c>
      <c r="I27" s="663" t="s">
        <v>595</v>
      </c>
      <c r="J27" s="663" t="s">
        <v>596</v>
      </c>
      <c r="K27" s="663" t="s">
        <v>597</v>
      </c>
      <c r="L27" s="665">
        <v>64.539779974742913</v>
      </c>
      <c r="M27" s="665">
        <v>75</v>
      </c>
      <c r="N27" s="666">
        <v>4840.4834981057184</v>
      </c>
    </row>
    <row r="28" spans="1:14" ht="14.4" customHeight="1" x14ac:dyDescent="0.3">
      <c r="A28" s="661" t="s">
        <v>512</v>
      </c>
      <c r="B28" s="662" t="s">
        <v>1387</v>
      </c>
      <c r="C28" s="663" t="s">
        <v>517</v>
      </c>
      <c r="D28" s="664" t="s">
        <v>1388</v>
      </c>
      <c r="E28" s="663" t="s">
        <v>522</v>
      </c>
      <c r="F28" s="664" t="s">
        <v>1389</v>
      </c>
      <c r="G28" s="663" t="s">
        <v>561</v>
      </c>
      <c r="H28" s="663" t="s">
        <v>598</v>
      </c>
      <c r="I28" s="663" t="s">
        <v>599</v>
      </c>
      <c r="J28" s="663" t="s">
        <v>600</v>
      </c>
      <c r="K28" s="663" t="s">
        <v>601</v>
      </c>
      <c r="L28" s="665">
        <v>79.179999999999993</v>
      </c>
      <c r="M28" s="665">
        <v>1</v>
      </c>
      <c r="N28" s="666">
        <v>79.179999999999993</v>
      </c>
    </row>
    <row r="29" spans="1:14" ht="14.4" customHeight="1" x14ac:dyDescent="0.3">
      <c r="A29" s="661" t="s">
        <v>512</v>
      </c>
      <c r="B29" s="662" t="s">
        <v>1387</v>
      </c>
      <c r="C29" s="663" t="s">
        <v>517</v>
      </c>
      <c r="D29" s="664" t="s">
        <v>1388</v>
      </c>
      <c r="E29" s="663" t="s">
        <v>522</v>
      </c>
      <c r="F29" s="664" t="s">
        <v>1389</v>
      </c>
      <c r="G29" s="663" t="s">
        <v>561</v>
      </c>
      <c r="H29" s="663" t="s">
        <v>602</v>
      </c>
      <c r="I29" s="663" t="s">
        <v>603</v>
      </c>
      <c r="J29" s="663" t="s">
        <v>604</v>
      </c>
      <c r="K29" s="663" t="s">
        <v>605</v>
      </c>
      <c r="L29" s="665">
        <v>76.720909073787297</v>
      </c>
      <c r="M29" s="665">
        <v>11</v>
      </c>
      <c r="N29" s="666">
        <v>843.92999981166031</v>
      </c>
    </row>
    <row r="30" spans="1:14" ht="14.4" customHeight="1" x14ac:dyDescent="0.3">
      <c r="A30" s="661" t="s">
        <v>512</v>
      </c>
      <c r="B30" s="662" t="s">
        <v>1387</v>
      </c>
      <c r="C30" s="663" t="s">
        <v>517</v>
      </c>
      <c r="D30" s="664" t="s">
        <v>1388</v>
      </c>
      <c r="E30" s="663" t="s">
        <v>522</v>
      </c>
      <c r="F30" s="664" t="s">
        <v>1389</v>
      </c>
      <c r="G30" s="663" t="s">
        <v>561</v>
      </c>
      <c r="H30" s="663" t="s">
        <v>606</v>
      </c>
      <c r="I30" s="663" t="s">
        <v>607</v>
      </c>
      <c r="J30" s="663" t="s">
        <v>608</v>
      </c>
      <c r="K30" s="663" t="s">
        <v>609</v>
      </c>
      <c r="L30" s="665">
        <v>86.139970971209337</v>
      </c>
      <c r="M30" s="665">
        <v>5</v>
      </c>
      <c r="N30" s="666">
        <v>430.69985485604667</v>
      </c>
    </row>
    <row r="31" spans="1:14" ht="14.4" customHeight="1" x14ac:dyDescent="0.3">
      <c r="A31" s="661" t="s">
        <v>512</v>
      </c>
      <c r="B31" s="662" t="s">
        <v>1387</v>
      </c>
      <c r="C31" s="663" t="s">
        <v>517</v>
      </c>
      <c r="D31" s="664" t="s">
        <v>1388</v>
      </c>
      <c r="E31" s="663" t="s">
        <v>522</v>
      </c>
      <c r="F31" s="664" t="s">
        <v>1389</v>
      </c>
      <c r="G31" s="663" t="s">
        <v>561</v>
      </c>
      <c r="H31" s="663" t="s">
        <v>610</v>
      </c>
      <c r="I31" s="663" t="s">
        <v>611</v>
      </c>
      <c r="J31" s="663" t="s">
        <v>612</v>
      </c>
      <c r="K31" s="663" t="s">
        <v>613</v>
      </c>
      <c r="L31" s="665">
        <v>66.719119151283692</v>
      </c>
      <c r="M31" s="665">
        <v>10</v>
      </c>
      <c r="N31" s="666">
        <v>667.19119151283689</v>
      </c>
    </row>
    <row r="32" spans="1:14" ht="14.4" customHeight="1" x14ac:dyDescent="0.3">
      <c r="A32" s="661" t="s">
        <v>512</v>
      </c>
      <c r="B32" s="662" t="s">
        <v>1387</v>
      </c>
      <c r="C32" s="663" t="s">
        <v>517</v>
      </c>
      <c r="D32" s="664" t="s">
        <v>1388</v>
      </c>
      <c r="E32" s="663" t="s">
        <v>522</v>
      </c>
      <c r="F32" s="664" t="s">
        <v>1389</v>
      </c>
      <c r="G32" s="663" t="s">
        <v>561</v>
      </c>
      <c r="H32" s="663" t="s">
        <v>614</v>
      </c>
      <c r="I32" s="663" t="s">
        <v>615</v>
      </c>
      <c r="J32" s="663" t="s">
        <v>616</v>
      </c>
      <c r="K32" s="663" t="s">
        <v>617</v>
      </c>
      <c r="L32" s="665">
        <v>79.190000000000012</v>
      </c>
      <c r="M32" s="665">
        <v>10</v>
      </c>
      <c r="N32" s="666">
        <v>791.90000000000009</v>
      </c>
    </row>
    <row r="33" spans="1:14" ht="14.4" customHeight="1" x14ac:dyDescent="0.3">
      <c r="A33" s="661" t="s">
        <v>512</v>
      </c>
      <c r="B33" s="662" t="s">
        <v>1387</v>
      </c>
      <c r="C33" s="663" t="s">
        <v>517</v>
      </c>
      <c r="D33" s="664" t="s">
        <v>1388</v>
      </c>
      <c r="E33" s="663" t="s">
        <v>522</v>
      </c>
      <c r="F33" s="664" t="s">
        <v>1389</v>
      </c>
      <c r="G33" s="663" t="s">
        <v>561</v>
      </c>
      <c r="H33" s="663" t="s">
        <v>618</v>
      </c>
      <c r="I33" s="663" t="s">
        <v>619</v>
      </c>
      <c r="J33" s="663" t="s">
        <v>620</v>
      </c>
      <c r="K33" s="663" t="s">
        <v>621</v>
      </c>
      <c r="L33" s="665">
        <v>28.189913183553884</v>
      </c>
      <c r="M33" s="665">
        <v>230</v>
      </c>
      <c r="N33" s="666">
        <v>6483.6800322173931</v>
      </c>
    </row>
    <row r="34" spans="1:14" ht="14.4" customHeight="1" x14ac:dyDescent="0.3">
      <c r="A34" s="661" t="s">
        <v>512</v>
      </c>
      <c r="B34" s="662" t="s">
        <v>1387</v>
      </c>
      <c r="C34" s="663" t="s">
        <v>517</v>
      </c>
      <c r="D34" s="664" t="s">
        <v>1388</v>
      </c>
      <c r="E34" s="663" t="s">
        <v>522</v>
      </c>
      <c r="F34" s="664" t="s">
        <v>1389</v>
      </c>
      <c r="G34" s="663" t="s">
        <v>561</v>
      </c>
      <c r="H34" s="663" t="s">
        <v>622</v>
      </c>
      <c r="I34" s="663" t="s">
        <v>623</v>
      </c>
      <c r="J34" s="663" t="s">
        <v>624</v>
      </c>
      <c r="K34" s="663" t="s">
        <v>625</v>
      </c>
      <c r="L34" s="665">
        <v>77.610000000000014</v>
      </c>
      <c r="M34" s="665">
        <v>1</v>
      </c>
      <c r="N34" s="666">
        <v>77.610000000000014</v>
      </c>
    </row>
    <row r="35" spans="1:14" ht="14.4" customHeight="1" x14ac:dyDescent="0.3">
      <c r="A35" s="661" t="s">
        <v>512</v>
      </c>
      <c r="B35" s="662" t="s">
        <v>1387</v>
      </c>
      <c r="C35" s="663" t="s">
        <v>517</v>
      </c>
      <c r="D35" s="664" t="s">
        <v>1388</v>
      </c>
      <c r="E35" s="663" t="s">
        <v>522</v>
      </c>
      <c r="F35" s="664" t="s">
        <v>1389</v>
      </c>
      <c r="G35" s="663" t="s">
        <v>561</v>
      </c>
      <c r="H35" s="663" t="s">
        <v>626</v>
      </c>
      <c r="I35" s="663" t="s">
        <v>627</v>
      </c>
      <c r="J35" s="663" t="s">
        <v>628</v>
      </c>
      <c r="K35" s="663" t="s">
        <v>629</v>
      </c>
      <c r="L35" s="665">
        <v>55.890000000000008</v>
      </c>
      <c r="M35" s="665">
        <v>6</v>
      </c>
      <c r="N35" s="666">
        <v>335.34000000000003</v>
      </c>
    </row>
    <row r="36" spans="1:14" ht="14.4" customHeight="1" x14ac:dyDescent="0.3">
      <c r="A36" s="661" t="s">
        <v>512</v>
      </c>
      <c r="B36" s="662" t="s">
        <v>1387</v>
      </c>
      <c r="C36" s="663" t="s">
        <v>517</v>
      </c>
      <c r="D36" s="664" t="s">
        <v>1388</v>
      </c>
      <c r="E36" s="663" t="s">
        <v>522</v>
      </c>
      <c r="F36" s="664" t="s">
        <v>1389</v>
      </c>
      <c r="G36" s="663" t="s">
        <v>561</v>
      </c>
      <c r="H36" s="663" t="s">
        <v>630</v>
      </c>
      <c r="I36" s="663" t="s">
        <v>631</v>
      </c>
      <c r="J36" s="663" t="s">
        <v>632</v>
      </c>
      <c r="K36" s="663" t="s">
        <v>633</v>
      </c>
      <c r="L36" s="665">
        <v>50.550000000000018</v>
      </c>
      <c r="M36" s="665">
        <v>1</v>
      </c>
      <c r="N36" s="666">
        <v>50.550000000000018</v>
      </c>
    </row>
    <row r="37" spans="1:14" ht="14.4" customHeight="1" x14ac:dyDescent="0.3">
      <c r="A37" s="661" t="s">
        <v>512</v>
      </c>
      <c r="B37" s="662" t="s">
        <v>1387</v>
      </c>
      <c r="C37" s="663" t="s">
        <v>517</v>
      </c>
      <c r="D37" s="664" t="s">
        <v>1388</v>
      </c>
      <c r="E37" s="663" t="s">
        <v>522</v>
      </c>
      <c r="F37" s="664" t="s">
        <v>1389</v>
      </c>
      <c r="G37" s="663" t="s">
        <v>561</v>
      </c>
      <c r="H37" s="663" t="s">
        <v>634</v>
      </c>
      <c r="I37" s="663" t="s">
        <v>635</v>
      </c>
      <c r="J37" s="663" t="s">
        <v>636</v>
      </c>
      <c r="K37" s="663" t="s">
        <v>637</v>
      </c>
      <c r="L37" s="665">
        <v>35.569999999999993</v>
      </c>
      <c r="M37" s="665">
        <v>7</v>
      </c>
      <c r="N37" s="666">
        <v>248.98999999999995</v>
      </c>
    </row>
    <row r="38" spans="1:14" ht="14.4" customHeight="1" x14ac:dyDescent="0.3">
      <c r="A38" s="661" t="s">
        <v>512</v>
      </c>
      <c r="B38" s="662" t="s">
        <v>1387</v>
      </c>
      <c r="C38" s="663" t="s">
        <v>517</v>
      </c>
      <c r="D38" s="664" t="s">
        <v>1388</v>
      </c>
      <c r="E38" s="663" t="s">
        <v>522</v>
      </c>
      <c r="F38" s="664" t="s">
        <v>1389</v>
      </c>
      <c r="G38" s="663" t="s">
        <v>561</v>
      </c>
      <c r="H38" s="663" t="s">
        <v>638</v>
      </c>
      <c r="I38" s="663" t="s">
        <v>639</v>
      </c>
      <c r="J38" s="663" t="s">
        <v>640</v>
      </c>
      <c r="K38" s="663" t="s">
        <v>641</v>
      </c>
      <c r="L38" s="665">
        <v>57.370000000000005</v>
      </c>
      <c r="M38" s="665">
        <v>1</v>
      </c>
      <c r="N38" s="666">
        <v>57.370000000000005</v>
      </c>
    </row>
    <row r="39" spans="1:14" ht="14.4" customHeight="1" x14ac:dyDescent="0.3">
      <c r="A39" s="661" t="s">
        <v>512</v>
      </c>
      <c r="B39" s="662" t="s">
        <v>1387</v>
      </c>
      <c r="C39" s="663" t="s">
        <v>517</v>
      </c>
      <c r="D39" s="664" t="s">
        <v>1388</v>
      </c>
      <c r="E39" s="663" t="s">
        <v>522</v>
      </c>
      <c r="F39" s="664" t="s">
        <v>1389</v>
      </c>
      <c r="G39" s="663" t="s">
        <v>561</v>
      </c>
      <c r="H39" s="663" t="s">
        <v>642</v>
      </c>
      <c r="I39" s="663" t="s">
        <v>643</v>
      </c>
      <c r="J39" s="663" t="s">
        <v>644</v>
      </c>
      <c r="K39" s="663" t="s">
        <v>645</v>
      </c>
      <c r="L39" s="665">
        <v>29.899999999999991</v>
      </c>
      <c r="M39" s="665">
        <v>2</v>
      </c>
      <c r="N39" s="666">
        <v>59.799999999999983</v>
      </c>
    </row>
    <row r="40" spans="1:14" ht="14.4" customHeight="1" x14ac:dyDescent="0.3">
      <c r="A40" s="661" t="s">
        <v>512</v>
      </c>
      <c r="B40" s="662" t="s">
        <v>1387</v>
      </c>
      <c r="C40" s="663" t="s">
        <v>517</v>
      </c>
      <c r="D40" s="664" t="s">
        <v>1388</v>
      </c>
      <c r="E40" s="663" t="s">
        <v>522</v>
      </c>
      <c r="F40" s="664" t="s">
        <v>1389</v>
      </c>
      <c r="G40" s="663" t="s">
        <v>561</v>
      </c>
      <c r="H40" s="663" t="s">
        <v>646</v>
      </c>
      <c r="I40" s="663" t="s">
        <v>647</v>
      </c>
      <c r="J40" s="663" t="s">
        <v>648</v>
      </c>
      <c r="K40" s="663" t="s">
        <v>649</v>
      </c>
      <c r="L40" s="665">
        <v>66.720000000000013</v>
      </c>
      <c r="M40" s="665">
        <v>2</v>
      </c>
      <c r="N40" s="666">
        <v>133.44000000000003</v>
      </c>
    </row>
    <row r="41" spans="1:14" ht="14.4" customHeight="1" x14ac:dyDescent="0.3">
      <c r="A41" s="661" t="s">
        <v>512</v>
      </c>
      <c r="B41" s="662" t="s">
        <v>1387</v>
      </c>
      <c r="C41" s="663" t="s">
        <v>517</v>
      </c>
      <c r="D41" s="664" t="s">
        <v>1388</v>
      </c>
      <c r="E41" s="663" t="s">
        <v>522</v>
      </c>
      <c r="F41" s="664" t="s">
        <v>1389</v>
      </c>
      <c r="G41" s="663" t="s">
        <v>561</v>
      </c>
      <c r="H41" s="663" t="s">
        <v>650</v>
      </c>
      <c r="I41" s="663" t="s">
        <v>651</v>
      </c>
      <c r="J41" s="663" t="s">
        <v>652</v>
      </c>
      <c r="K41" s="663" t="s">
        <v>653</v>
      </c>
      <c r="L41" s="665">
        <v>324.83</v>
      </c>
      <c r="M41" s="665">
        <v>32</v>
      </c>
      <c r="N41" s="666">
        <v>10394.56</v>
      </c>
    </row>
    <row r="42" spans="1:14" ht="14.4" customHeight="1" x14ac:dyDescent="0.3">
      <c r="A42" s="661" t="s">
        <v>512</v>
      </c>
      <c r="B42" s="662" t="s">
        <v>1387</v>
      </c>
      <c r="C42" s="663" t="s">
        <v>517</v>
      </c>
      <c r="D42" s="664" t="s">
        <v>1388</v>
      </c>
      <c r="E42" s="663" t="s">
        <v>522</v>
      </c>
      <c r="F42" s="664" t="s">
        <v>1389</v>
      </c>
      <c r="G42" s="663" t="s">
        <v>561</v>
      </c>
      <c r="H42" s="663" t="s">
        <v>654</v>
      </c>
      <c r="I42" s="663" t="s">
        <v>655</v>
      </c>
      <c r="J42" s="663" t="s">
        <v>656</v>
      </c>
      <c r="K42" s="663" t="s">
        <v>657</v>
      </c>
      <c r="L42" s="665">
        <v>86.140000000000015</v>
      </c>
      <c r="M42" s="665">
        <v>2</v>
      </c>
      <c r="N42" s="666">
        <v>172.28000000000003</v>
      </c>
    </row>
    <row r="43" spans="1:14" ht="14.4" customHeight="1" x14ac:dyDescent="0.3">
      <c r="A43" s="661" t="s">
        <v>512</v>
      </c>
      <c r="B43" s="662" t="s">
        <v>1387</v>
      </c>
      <c r="C43" s="663" t="s">
        <v>517</v>
      </c>
      <c r="D43" s="664" t="s">
        <v>1388</v>
      </c>
      <c r="E43" s="663" t="s">
        <v>522</v>
      </c>
      <c r="F43" s="664" t="s">
        <v>1389</v>
      </c>
      <c r="G43" s="663" t="s">
        <v>561</v>
      </c>
      <c r="H43" s="663" t="s">
        <v>658</v>
      </c>
      <c r="I43" s="663" t="s">
        <v>659</v>
      </c>
      <c r="J43" s="663" t="s">
        <v>660</v>
      </c>
      <c r="K43" s="663" t="s">
        <v>661</v>
      </c>
      <c r="L43" s="665">
        <v>185.61222406196205</v>
      </c>
      <c r="M43" s="665">
        <v>33</v>
      </c>
      <c r="N43" s="666">
        <v>6125.2033940447482</v>
      </c>
    </row>
    <row r="44" spans="1:14" ht="14.4" customHeight="1" x14ac:dyDescent="0.3">
      <c r="A44" s="661" t="s">
        <v>512</v>
      </c>
      <c r="B44" s="662" t="s">
        <v>1387</v>
      </c>
      <c r="C44" s="663" t="s">
        <v>517</v>
      </c>
      <c r="D44" s="664" t="s">
        <v>1388</v>
      </c>
      <c r="E44" s="663" t="s">
        <v>522</v>
      </c>
      <c r="F44" s="664" t="s">
        <v>1389</v>
      </c>
      <c r="G44" s="663" t="s">
        <v>561</v>
      </c>
      <c r="H44" s="663" t="s">
        <v>662</v>
      </c>
      <c r="I44" s="663" t="s">
        <v>662</v>
      </c>
      <c r="J44" s="663" t="s">
        <v>663</v>
      </c>
      <c r="K44" s="663" t="s">
        <v>664</v>
      </c>
      <c r="L44" s="665">
        <v>36.529996599498567</v>
      </c>
      <c r="M44" s="665">
        <v>230</v>
      </c>
      <c r="N44" s="666">
        <v>8401.8992178846711</v>
      </c>
    </row>
    <row r="45" spans="1:14" ht="14.4" customHeight="1" x14ac:dyDescent="0.3">
      <c r="A45" s="661" t="s">
        <v>512</v>
      </c>
      <c r="B45" s="662" t="s">
        <v>1387</v>
      </c>
      <c r="C45" s="663" t="s">
        <v>517</v>
      </c>
      <c r="D45" s="664" t="s">
        <v>1388</v>
      </c>
      <c r="E45" s="663" t="s">
        <v>522</v>
      </c>
      <c r="F45" s="664" t="s">
        <v>1389</v>
      </c>
      <c r="G45" s="663" t="s">
        <v>561</v>
      </c>
      <c r="H45" s="663" t="s">
        <v>665</v>
      </c>
      <c r="I45" s="663" t="s">
        <v>666</v>
      </c>
      <c r="J45" s="663" t="s">
        <v>667</v>
      </c>
      <c r="K45" s="663" t="s">
        <v>668</v>
      </c>
      <c r="L45" s="665">
        <v>73.930000000000007</v>
      </c>
      <c r="M45" s="665">
        <v>1</v>
      </c>
      <c r="N45" s="666">
        <v>73.930000000000007</v>
      </c>
    </row>
    <row r="46" spans="1:14" ht="14.4" customHeight="1" x14ac:dyDescent="0.3">
      <c r="A46" s="661" t="s">
        <v>512</v>
      </c>
      <c r="B46" s="662" t="s">
        <v>1387</v>
      </c>
      <c r="C46" s="663" t="s">
        <v>517</v>
      </c>
      <c r="D46" s="664" t="s">
        <v>1388</v>
      </c>
      <c r="E46" s="663" t="s">
        <v>522</v>
      </c>
      <c r="F46" s="664" t="s">
        <v>1389</v>
      </c>
      <c r="G46" s="663" t="s">
        <v>561</v>
      </c>
      <c r="H46" s="663" t="s">
        <v>669</v>
      </c>
      <c r="I46" s="663" t="s">
        <v>670</v>
      </c>
      <c r="J46" s="663" t="s">
        <v>671</v>
      </c>
      <c r="K46" s="663" t="s">
        <v>672</v>
      </c>
      <c r="L46" s="665">
        <v>44.899999999999991</v>
      </c>
      <c r="M46" s="665">
        <v>1</v>
      </c>
      <c r="N46" s="666">
        <v>44.899999999999991</v>
      </c>
    </row>
    <row r="47" spans="1:14" ht="14.4" customHeight="1" x14ac:dyDescent="0.3">
      <c r="A47" s="661" t="s">
        <v>512</v>
      </c>
      <c r="B47" s="662" t="s">
        <v>1387</v>
      </c>
      <c r="C47" s="663" t="s">
        <v>517</v>
      </c>
      <c r="D47" s="664" t="s">
        <v>1388</v>
      </c>
      <c r="E47" s="663" t="s">
        <v>522</v>
      </c>
      <c r="F47" s="664" t="s">
        <v>1389</v>
      </c>
      <c r="G47" s="663" t="s">
        <v>561</v>
      </c>
      <c r="H47" s="663" t="s">
        <v>673</v>
      </c>
      <c r="I47" s="663" t="s">
        <v>674</v>
      </c>
      <c r="J47" s="663" t="s">
        <v>675</v>
      </c>
      <c r="K47" s="663" t="s">
        <v>676</v>
      </c>
      <c r="L47" s="665">
        <v>51.100000000000009</v>
      </c>
      <c r="M47" s="665">
        <v>2</v>
      </c>
      <c r="N47" s="666">
        <v>102.20000000000002</v>
      </c>
    </row>
    <row r="48" spans="1:14" ht="14.4" customHeight="1" x14ac:dyDescent="0.3">
      <c r="A48" s="661" t="s">
        <v>512</v>
      </c>
      <c r="B48" s="662" t="s">
        <v>1387</v>
      </c>
      <c r="C48" s="663" t="s">
        <v>517</v>
      </c>
      <c r="D48" s="664" t="s">
        <v>1388</v>
      </c>
      <c r="E48" s="663" t="s">
        <v>522</v>
      </c>
      <c r="F48" s="664" t="s">
        <v>1389</v>
      </c>
      <c r="G48" s="663" t="s">
        <v>561</v>
      </c>
      <c r="H48" s="663" t="s">
        <v>677</v>
      </c>
      <c r="I48" s="663" t="s">
        <v>678</v>
      </c>
      <c r="J48" s="663" t="s">
        <v>675</v>
      </c>
      <c r="K48" s="663" t="s">
        <v>679</v>
      </c>
      <c r="L48" s="665">
        <v>102.19</v>
      </c>
      <c r="M48" s="665">
        <v>1</v>
      </c>
      <c r="N48" s="666">
        <v>102.19</v>
      </c>
    </row>
    <row r="49" spans="1:14" ht="14.4" customHeight="1" x14ac:dyDescent="0.3">
      <c r="A49" s="661" t="s">
        <v>512</v>
      </c>
      <c r="B49" s="662" t="s">
        <v>1387</v>
      </c>
      <c r="C49" s="663" t="s">
        <v>517</v>
      </c>
      <c r="D49" s="664" t="s">
        <v>1388</v>
      </c>
      <c r="E49" s="663" t="s">
        <v>522</v>
      </c>
      <c r="F49" s="664" t="s">
        <v>1389</v>
      </c>
      <c r="G49" s="663" t="s">
        <v>561</v>
      </c>
      <c r="H49" s="663" t="s">
        <v>680</v>
      </c>
      <c r="I49" s="663" t="s">
        <v>681</v>
      </c>
      <c r="J49" s="663" t="s">
        <v>682</v>
      </c>
      <c r="K49" s="663" t="s">
        <v>683</v>
      </c>
      <c r="L49" s="665">
        <v>73.660000000000011</v>
      </c>
      <c r="M49" s="665">
        <v>4</v>
      </c>
      <c r="N49" s="666">
        <v>294.64000000000004</v>
      </c>
    </row>
    <row r="50" spans="1:14" ht="14.4" customHeight="1" x14ac:dyDescent="0.3">
      <c r="A50" s="661" t="s">
        <v>512</v>
      </c>
      <c r="B50" s="662" t="s">
        <v>1387</v>
      </c>
      <c r="C50" s="663" t="s">
        <v>517</v>
      </c>
      <c r="D50" s="664" t="s">
        <v>1388</v>
      </c>
      <c r="E50" s="663" t="s">
        <v>522</v>
      </c>
      <c r="F50" s="664" t="s">
        <v>1389</v>
      </c>
      <c r="G50" s="663" t="s">
        <v>561</v>
      </c>
      <c r="H50" s="663" t="s">
        <v>684</v>
      </c>
      <c r="I50" s="663" t="s">
        <v>685</v>
      </c>
      <c r="J50" s="663" t="s">
        <v>686</v>
      </c>
      <c r="K50" s="663" t="s">
        <v>687</v>
      </c>
      <c r="L50" s="665">
        <v>98.209894865115672</v>
      </c>
      <c r="M50" s="665">
        <v>1</v>
      </c>
      <c r="N50" s="666">
        <v>98.209894865115672</v>
      </c>
    </row>
    <row r="51" spans="1:14" ht="14.4" customHeight="1" x14ac:dyDescent="0.3">
      <c r="A51" s="661" t="s">
        <v>512</v>
      </c>
      <c r="B51" s="662" t="s">
        <v>1387</v>
      </c>
      <c r="C51" s="663" t="s">
        <v>517</v>
      </c>
      <c r="D51" s="664" t="s">
        <v>1388</v>
      </c>
      <c r="E51" s="663" t="s">
        <v>522</v>
      </c>
      <c r="F51" s="664" t="s">
        <v>1389</v>
      </c>
      <c r="G51" s="663" t="s">
        <v>561</v>
      </c>
      <c r="H51" s="663" t="s">
        <v>688</v>
      </c>
      <c r="I51" s="663" t="s">
        <v>689</v>
      </c>
      <c r="J51" s="663" t="s">
        <v>690</v>
      </c>
      <c r="K51" s="663" t="s">
        <v>691</v>
      </c>
      <c r="L51" s="665">
        <v>125.43000000000002</v>
      </c>
      <c r="M51" s="665">
        <v>5</v>
      </c>
      <c r="N51" s="666">
        <v>627.15000000000009</v>
      </c>
    </row>
    <row r="52" spans="1:14" ht="14.4" customHeight="1" x14ac:dyDescent="0.3">
      <c r="A52" s="661" t="s">
        <v>512</v>
      </c>
      <c r="B52" s="662" t="s">
        <v>1387</v>
      </c>
      <c r="C52" s="663" t="s">
        <v>517</v>
      </c>
      <c r="D52" s="664" t="s">
        <v>1388</v>
      </c>
      <c r="E52" s="663" t="s">
        <v>522</v>
      </c>
      <c r="F52" s="664" t="s">
        <v>1389</v>
      </c>
      <c r="G52" s="663" t="s">
        <v>561</v>
      </c>
      <c r="H52" s="663" t="s">
        <v>692</v>
      </c>
      <c r="I52" s="663" t="s">
        <v>693</v>
      </c>
      <c r="J52" s="663" t="s">
        <v>694</v>
      </c>
      <c r="K52" s="663" t="s">
        <v>695</v>
      </c>
      <c r="L52" s="665">
        <v>94.739999999999981</v>
      </c>
      <c r="M52" s="665">
        <v>10</v>
      </c>
      <c r="N52" s="666">
        <v>947.39999999999986</v>
      </c>
    </row>
    <row r="53" spans="1:14" ht="14.4" customHeight="1" x14ac:dyDescent="0.3">
      <c r="A53" s="661" t="s">
        <v>512</v>
      </c>
      <c r="B53" s="662" t="s">
        <v>1387</v>
      </c>
      <c r="C53" s="663" t="s">
        <v>517</v>
      </c>
      <c r="D53" s="664" t="s">
        <v>1388</v>
      </c>
      <c r="E53" s="663" t="s">
        <v>522</v>
      </c>
      <c r="F53" s="664" t="s">
        <v>1389</v>
      </c>
      <c r="G53" s="663" t="s">
        <v>561</v>
      </c>
      <c r="H53" s="663" t="s">
        <v>696</v>
      </c>
      <c r="I53" s="663" t="s">
        <v>697</v>
      </c>
      <c r="J53" s="663" t="s">
        <v>698</v>
      </c>
      <c r="K53" s="663" t="s">
        <v>699</v>
      </c>
      <c r="L53" s="665">
        <v>60.139999999999986</v>
      </c>
      <c r="M53" s="665">
        <v>10</v>
      </c>
      <c r="N53" s="666">
        <v>601.39999999999986</v>
      </c>
    </row>
    <row r="54" spans="1:14" ht="14.4" customHeight="1" x14ac:dyDescent="0.3">
      <c r="A54" s="661" t="s">
        <v>512</v>
      </c>
      <c r="B54" s="662" t="s">
        <v>1387</v>
      </c>
      <c r="C54" s="663" t="s">
        <v>517</v>
      </c>
      <c r="D54" s="664" t="s">
        <v>1388</v>
      </c>
      <c r="E54" s="663" t="s">
        <v>522</v>
      </c>
      <c r="F54" s="664" t="s">
        <v>1389</v>
      </c>
      <c r="G54" s="663" t="s">
        <v>561</v>
      </c>
      <c r="H54" s="663" t="s">
        <v>700</v>
      </c>
      <c r="I54" s="663" t="s">
        <v>701</v>
      </c>
      <c r="J54" s="663" t="s">
        <v>702</v>
      </c>
      <c r="K54" s="663" t="s">
        <v>703</v>
      </c>
      <c r="L54" s="665">
        <v>127.45002106245281</v>
      </c>
      <c r="M54" s="665">
        <v>5</v>
      </c>
      <c r="N54" s="666">
        <v>637.25010531226405</v>
      </c>
    </row>
    <row r="55" spans="1:14" ht="14.4" customHeight="1" x14ac:dyDescent="0.3">
      <c r="A55" s="661" t="s">
        <v>512</v>
      </c>
      <c r="B55" s="662" t="s">
        <v>1387</v>
      </c>
      <c r="C55" s="663" t="s">
        <v>517</v>
      </c>
      <c r="D55" s="664" t="s">
        <v>1388</v>
      </c>
      <c r="E55" s="663" t="s">
        <v>522</v>
      </c>
      <c r="F55" s="664" t="s">
        <v>1389</v>
      </c>
      <c r="G55" s="663" t="s">
        <v>561</v>
      </c>
      <c r="H55" s="663" t="s">
        <v>704</v>
      </c>
      <c r="I55" s="663" t="s">
        <v>705</v>
      </c>
      <c r="J55" s="663" t="s">
        <v>706</v>
      </c>
      <c r="K55" s="663" t="s">
        <v>707</v>
      </c>
      <c r="L55" s="665">
        <v>142.43000000000004</v>
      </c>
      <c r="M55" s="665">
        <v>1</v>
      </c>
      <c r="N55" s="666">
        <v>142.43000000000004</v>
      </c>
    </row>
    <row r="56" spans="1:14" ht="14.4" customHeight="1" x14ac:dyDescent="0.3">
      <c r="A56" s="661" t="s">
        <v>512</v>
      </c>
      <c r="B56" s="662" t="s">
        <v>1387</v>
      </c>
      <c r="C56" s="663" t="s">
        <v>517</v>
      </c>
      <c r="D56" s="664" t="s">
        <v>1388</v>
      </c>
      <c r="E56" s="663" t="s">
        <v>522</v>
      </c>
      <c r="F56" s="664" t="s">
        <v>1389</v>
      </c>
      <c r="G56" s="663" t="s">
        <v>561</v>
      </c>
      <c r="H56" s="663" t="s">
        <v>708</v>
      </c>
      <c r="I56" s="663" t="s">
        <v>709</v>
      </c>
      <c r="J56" s="663" t="s">
        <v>710</v>
      </c>
      <c r="K56" s="663" t="s">
        <v>711</v>
      </c>
      <c r="L56" s="665">
        <v>44.970000000000006</v>
      </c>
      <c r="M56" s="665">
        <v>5</v>
      </c>
      <c r="N56" s="666">
        <v>224.85000000000002</v>
      </c>
    </row>
    <row r="57" spans="1:14" ht="14.4" customHeight="1" x14ac:dyDescent="0.3">
      <c r="A57" s="661" t="s">
        <v>512</v>
      </c>
      <c r="B57" s="662" t="s">
        <v>1387</v>
      </c>
      <c r="C57" s="663" t="s">
        <v>517</v>
      </c>
      <c r="D57" s="664" t="s">
        <v>1388</v>
      </c>
      <c r="E57" s="663" t="s">
        <v>522</v>
      </c>
      <c r="F57" s="664" t="s">
        <v>1389</v>
      </c>
      <c r="G57" s="663" t="s">
        <v>561</v>
      </c>
      <c r="H57" s="663" t="s">
        <v>712</v>
      </c>
      <c r="I57" s="663" t="s">
        <v>713</v>
      </c>
      <c r="J57" s="663" t="s">
        <v>714</v>
      </c>
      <c r="K57" s="663" t="s">
        <v>715</v>
      </c>
      <c r="L57" s="665">
        <v>86.219724137931038</v>
      </c>
      <c r="M57" s="665">
        <v>29</v>
      </c>
      <c r="N57" s="666">
        <v>2500.3720000000003</v>
      </c>
    </row>
    <row r="58" spans="1:14" ht="14.4" customHeight="1" x14ac:dyDescent="0.3">
      <c r="A58" s="661" t="s">
        <v>512</v>
      </c>
      <c r="B58" s="662" t="s">
        <v>1387</v>
      </c>
      <c r="C58" s="663" t="s">
        <v>517</v>
      </c>
      <c r="D58" s="664" t="s">
        <v>1388</v>
      </c>
      <c r="E58" s="663" t="s">
        <v>522</v>
      </c>
      <c r="F58" s="664" t="s">
        <v>1389</v>
      </c>
      <c r="G58" s="663" t="s">
        <v>561</v>
      </c>
      <c r="H58" s="663" t="s">
        <v>716</v>
      </c>
      <c r="I58" s="663" t="s">
        <v>717</v>
      </c>
      <c r="J58" s="663" t="s">
        <v>718</v>
      </c>
      <c r="K58" s="663" t="s">
        <v>719</v>
      </c>
      <c r="L58" s="665">
        <v>48.680000000000007</v>
      </c>
      <c r="M58" s="665">
        <v>10</v>
      </c>
      <c r="N58" s="666">
        <v>486.80000000000007</v>
      </c>
    </row>
    <row r="59" spans="1:14" ht="14.4" customHeight="1" x14ac:dyDescent="0.3">
      <c r="A59" s="661" t="s">
        <v>512</v>
      </c>
      <c r="B59" s="662" t="s">
        <v>1387</v>
      </c>
      <c r="C59" s="663" t="s">
        <v>517</v>
      </c>
      <c r="D59" s="664" t="s">
        <v>1388</v>
      </c>
      <c r="E59" s="663" t="s">
        <v>522</v>
      </c>
      <c r="F59" s="664" t="s">
        <v>1389</v>
      </c>
      <c r="G59" s="663" t="s">
        <v>561</v>
      </c>
      <c r="H59" s="663" t="s">
        <v>720</v>
      </c>
      <c r="I59" s="663" t="s">
        <v>721</v>
      </c>
      <c r="J59" s="663" t="s">
        <v>722</v>
      </c>
      <c r="K59" s="663" t="s">
        <v>723</v>
      </c>
      <c r="L59" s="665">
        <v>210.01902750273803</v>
      </c>
      <c r="M59" s="665">
        <v>33</v>
      </c>
      <c r="N59" s="666">
        <v>6930.6279075903549</v>
      </c>
    </row>
    <row r="60" spans="1:14" ht="14.4" customHeight="1" x14ac:dyDescent="0.3">
      <c r="A60" s="661" t="s">
        <v>512</v>
      </c>
      <c r="B60" s="662" t="s">
        <v>1387</v>
      </c>
      <c r="C60" s="663" t="s">
        <v>517</v>
      </c>
      <c r="D60" s="664" t="s">
        <v>1388</v>
      </c>
      <c r="E60" s="663" t="s">
        <v>522</v>
      </c>
      <c r="F60" s="664" t="s">
        <v>1389</v>
      </c>
      <c r="G60" s="663" t="s">
        <v>561</v>
      </c>
      <c r="H60" s="663" t="s">
        <v>724</v>
      </c>
      <c r="I60" s="663" t="s">
        <v>725</v>
      </c>
      <c r="J60" s="663" t="s">
        <v>726</v>
      </c>
      <c r="K60" s="663" t="s">
        <v>727</v>
      </c>
      <c r="L60" s="665">
        <v>375.80000000000013</v>
      </c>
      <c r="M60" s="665">
        <v>6</v>
      </c>
      <c r="N60" s="666">
        <v>2254.8000000000006</v>
      </c>
    </row>
    <row r="61" spans="1:14" ht="14.4" customHeight="1" x14ac:dyDescent="0.3">
      <c r="A61" s="661" t="s">
        <v>512</v>
      </c>
      <c r="B61" s="662" t="s">
        <v>1387</v>
      </c>
      <c r="C61" s="663" t="s">
        <v>517</v>
      </c>
      <c r="D61" s="664" t="s">
        <v>1388</v>
      </c>
      <c r="E61" s="663" t="s">
        <v>522</v>
      </c>
      <c r="F61" s="664" t="s">
        <v>1389</v>
      </c>
      <c r="G61" s="663" t="s">
        <v>561</v>
      </c>
      <c r="H61" s="663" t="s">
        <v>728</v>
      </c>
      <c r="I61" s="663" t="s">
        <v>729</v>
      </c>
      <c r="J61" s="663" t="s">
        <v>730</v>
      </c>
      <c r="K61" s="663" t="s">
        <v>731</v>
      </c>
      <c r="L61" s="665">
        <v>112.37999999999998</v>
      </c>
      <c r="M61" s="665">
        <v>3</v>
      </c>
      <c r="N61" s="666">
        <v>337.13999999999993</v>
      </c>
    </row>
    <row r="62" spans="1:14" ht="14.4" customHeight="1" x14ac:dyDescent="0.3">
      <c r="A62" s="661" t="s">
        <v>512</v>
      </c>
      <c r="B62" s="662" t="s">
        <v>1387</v>
      </c>
      <c r="C62" s="663" t="s">
        <v>517</v>
      </c>
      <c r="D62" s="664" t="s">
        <v>1388</v>
      </c>
      <c r="E62" s="663" t="s">
        <v>522</v>
      </c>
      <c r="F62" s="664" t="s">
        <v>1389</v>
      </c>
      <c r="G62" s="663" t="s">
        <v>561</v>
      </c>
      <c r="H62" s="663" t="s">
        <v>732</v>
      </c>
      <c r="I62" s="663" t="s">
        <v>733</v>
      </c>
      <c r="J62" s="663" t="s">
        <v>734</v>
      </c>
      <c r="K62" s="663" t="s">
        <v>735</v>
      </c>
      <c r="L62" s="665">
        <v>60.299999999999983</v>
      </c>
      <c r="M62" s="665">
        <v>4</v>
      </c>
      <c r="N62" s="666">
        <v>241.19999999999993</v>
      </c>
    </row>
    <row r="63" spans="1:14" ht="14.4" customHeight="1" x14ac:dyDescent="0.3">
      <c r="A63" s="661" t="s">
        <v>512</v>
      </c>
      <c r="B63" s="662" t="s">
        <v>1387</v>
      </c>
      <c r="C63" s="663" t="s">
        <v>517</v>
      </c>
      <c r="D63" s="664" t="s">
        <v>1388</v>
      </c>
      <c r="E63" s="663" t="s">
        <v>522</v>
      </c>
      <c r="F63" s="664" t="s">
        <v>1389</v>
      </c>
      <c r="G63" s="663" t="s">
        <v>561</v>
      </c>
      <c r="H63" s="663" t="s">
        <v>736</v>
      </c>
      <c r="I63" s="663" t="s">
        <v>737</v>
      </c>
      <c r="J63" s="663" t="s">
        <v>738</v>
      </c>
      <c r="K63" s="663" t="s">
        <v>739</v>
      </c>
      <c r="L63" s="665">
        <v>26.28</v>
      </c>
      <c r="M63" s="665">
        <v>1</v>
      </c>
      <c r="N63" s="666">
        <v>26.28</v>
      </c>
    </row>
    <row r="64" spans="1:14" ht="14.4" customHeight="1" x14ac:dyDescent="0.3">
      <c r="A64" s="661" t="s">
        <v>512</v>
      </c>
      <c r="B64" s="662" t="s">
        <v>1387</v>
      </c>
      <c r="C64" s="663" t="s">
        <v>517</v>
      </c>
      <c r="D64" s="664" t="s">
        <v>1388</v>
      </c>
      <c r="E64" s="663" t="s">
        <v>522</v>
      </c>
      <c r="F64" s="664" t="s">
        <v>1389</v>
      </c>
      <c r="G64" s="663" t="s">
        <v>561</v>
      </c>
      <c r="H64" s="663" t="s">
        <v>740</v>
      </c>
      <c r="I64" s="663" t="s">
        <v>741</v>
      </c>
      <c r="J64" s="663" t="s">
        <v>742</v>
      </c>
      <c r="K64" s="663" t="s">
        <v>743</v>
      </c>
      <c r="L64" s="665">
        <v>219.92000000000002</v>
      </c>
      <c r="M64" s="665">
        <v>41</v>
      </c>
      <c r="N64" s="666">
        <v>9016.7200000000012</v>
      </c>
    </row>
    <row r="65" spans="1:14" ht="14.4" customHeight="1" x14ac:dyDescent="0.3">
      <c r="A65" s="661" t="s">
        <v>512</v>
      </c>
      <c r="B65" s="662" t="s">
        <v>1387</v>
      </c>
      <c r="C65" s="663" t="s">
        <v>517</v>
      </c>
      <c r="D65" s="664" t="s">
        <v>1388</v>
      </c>
      <c r="E65" s="663" t="s">
        <v>522</v>
      </c>
      <c r="F65" s="664" t="s">
        <v>1389</v>
      </c>
      <c r="G65" s="663" t="s">
        <v>561</v>
      </c>
      <c r="H65" s="663" t="s">
        <v>744</v>
      </c>
      <c r="I65" s="663" t="s">
        <v>744</v>
      </c>
      <c r="J65" s="663" t="s">
        <v>745</v>
      </c>
      <c r="K65" s="663" t="s">
        <v>746</v>
      </c>
      <c r="L65" s="665">
        <v>365.41000000000008</v>
      </c>
      <c r="M65" s="665">
        <v>1</v>
      </c>
      <c r="N65" s="666">
        <v>365.41000000000008</v>
      </c>
    </row>
    <row r="66" spans="1:14" ht="14.4" customHeight="1" x14ac:dyDescent="0.3">
      <c r="A66" s="661" t="s">
        <v>512</v>
      </c>
      <c r="B66" s="662" t="s">
        <v>1387</v>
      </c>
      <c r="C66" s="663" t="s">
        <v>517</v>
      </c>
      <c r="D66" s="664" t="s">
        <v>1388</v>
      </c>
      <c r="E66" s="663" t="s">
        <v>522</v>
      </c>
      <c r="F66" s="664" t="s">
        <v>1389</v>
      </c>
      <c r="G66" s="663" t="s">
        <v>561</v>
      </c>
      <c r="H66" s="663" t="s">
        <v>747</v>
      </c>
      <c r="I66" s="663" t="s">
        <v>748</v>
      </c>
      <c r="J66" s="663" t="s">
        <v>749</v>
      </c>
      <c r="K66" s="663"/>
      <c r="L66" s="665">
        <v>218.2</v>
      </c>
      <c r="M66" s="665">
        <v>5</v>
      </c>
      <c r="N66" s="666">
        <v>1091</v>
      </c>
    </row>
    <row r="67" spans="1:14" ht="14.4" customHeight="1" x14ac:dyDescent="0.3">
      <c r="A67" s="661" t="s">
        <v>512</v>
      </c>
      <c r="B67" s="662" t="s">
        <v>1387</v>
      </c>
      <c r="C67" s="663" t="s">
        <v>517</v>
      </c>
      <c r="D67" s="664" t="s">
        <v>1388</v>
      </c>
      <c r="E67" s="663" t="s">
        <v>522</v>
      </c>
      <c r="F67" s="664" t="s">
        <v>1389</v>
      </c>
      <c r="G67" s="663" t="s">
        <v>561</v>
      </c>
      <c r="H67" s="663" t="s">
        <v>750</v>
      </c>
      <c r="I67" s="663" t="s">
        <v>751</v>
      </c>
      <c r="J67" s="663" t="s">
        <v>752</v>
      </c>
      <c r="K67" s="663" t="s">
        <v>753</v>
      </c>
      <c r="L67" s="665">
        <v>72.964466133189916</v>
      </c>
      <c r="M67" s="665">
        <v>34</v>
      </c>
      <c r="N67" s="666">
        <v>2480.7918485284572</v>
      </c>
    </row>
    <row r="68" spans="1:14" ht="14.4" customHeight="1" x14ac:dyDescent="0.3">
      <c r="A68" s="661" t="s">
        <v>512</v>
      </c>
      <c r="B68" s="662" t="s">
        <v>1387</v>
      </c>
      <c r="C68" s="663" t="s">
        <v>517</v>
      </c>
      <c r="D68" s="664" t="s">
        <v>1388</v>
      </c>
      <c r="E68" s="663" t="s">
        <v>522</v>
      </c>
      <c r="F68" s="664" t="s">
        <v>1389</v>
      </c>
      <c r="G68" s="663" t="s">
        <v>561</v>
      </c>
      <c r="H68" s="663" t="s">
        <v>754</v>
      </c>
      <c r="I68" s="663" t="s">
        <v>748</v>
      </c>
      <c r="J68" s="663" t="s">
        <v>755</v>
      </c>
      <c r="K68" s="663" t="s">
        <v>756</v>
      </c>
      <c r="L68" s="665">
        <v>1377.51</v>
      </c>
      <c r="M68" s="665">
        <v>1</v>
      </c>
      <c r="N68" s="666">
        <v>1377.51</v>
      </c>
    </row>
    <row r="69" spans="1:14" ht="14.4" customHeight="1" x14ac:dyDescent="0.3">
      <c r="A69" s="661" t="s">
        <v>512</v>
      </c>
      <c r="B69" s="662" t="s">
        <v>1387</v>
      </c>
      <c r="C69" s="663" t="s">
        <v>517</v>
      </c>
      <c r="D69" s="664" t="s">
        <v>1388</v>
      </c>
      <c r="E69" s="663" t="s">
        <v>522</v>
      </c>
      <c r="F69" s="664" t="s">
        <v>1389</v>
      </c>
      <c r="G69" s="663" t="s">
        <v>561</v>
      </c>
      <c r="H69" s="663" t="s">
        <v>757</v>
      </c>
      <c r="I69" s="663" t="s">
        <v>758</v>
      </c>
      <c r="J69" s="663" t="s">
        <v>759</v>
      </c>
      <c r="K69" s="663" t="s">
        <v>760</v>
      </c>
      <c r="L69" s="665">
        <v>67.39</v>
      </c>
      <c r="M69" s="665">
        <v>1</v>
      </c>
      <c r="N69" s="666">
        <v>67.39</v>
      </c>
    </row>
    <row r="70" spans="1:14" ht="14.4" customHeight="1" x14ac:dyDescent="0.3">
      <c r="A70" s="661" t="s">
        <v>512</v>
      </c>
      <c r="B70" s="662" t="s">
        <v>1387</v>
      </c>
      <c r="C70" s="663" t="s">
        <v>517</v>
      </c>
      <c r="D70" s="664" t="s">
        <v>1388</v>
      </c>
      <c r="E70" s="663" t="s">
        <v>522</v>
      </c>
      <c r="F70" s="664" t="s">
        <v>1389</v>
      </c>
      <c r="G70" s="663" t="s">
        <v>561</v>
      </c>
      <c r="H70" s="663" t="s">
        <v>761</v>
      </c>
      <c r="I70" s="663" t="s">
        <v>762</v>
      </c>
      <c r="J70" s="663" t="s">
        <v>763</v>
      </c>
      <c r="K70" s="663" t="s">
        <v>764</v>
      </c>
      <c r="L70" s="665">
        <v>112.95999999999997</v>
      </c>
      <c r="M70" s="665">
        <v>2</v>
      </c>
      <c r="N70" s="666">
        <v>225.91999999999993</v>
      </c>
    </row>
    <row r="71" spans="1:14" ht="14.4" customHeight="1" x14ac:dyDescent="0.3">
      <c r="A71" s="661" t="s">
        <v>512</v>
      </c>
      <c r="B71" s="662" t="s">
        <v>1387</v>
      </c>
      <c r="C71" s="663" t="s">
        <v>517</v>
      </c>
      <c r="D71" s="664" t="s">
        <v>1388</v>
      </c>
      <c r="E71" s="663" t="s">
        <v>522</v>
      </c>
      <c r="F71" s="664" t="s">
        <v>1389</v>
      </c>
      <c r="G71" s="663" t="s">
        <v>561</v>
      </c>
      <c r="H71" s="663" t="s">
        <v>765</v>
      </c>
      <c r="I71" s="663" t="s">
        <v>766</v>
      </c>
      <c r="J71" s="663" t="s">
        <v>767</v>
      </c>
      <c r="K71" s="663" t="s">
        <v>768</v>
      </c>
      <c r="L71" s="665">
        <v>73.469747112004455</v>
      </c>
      <c r="M71" s="665">
        <v>131</v>
      </c>
      <c r="N71" s="666">
        <v>9624.5368716725843</v>
      </c>
    </row>
    <row r="72" spans="1:14" ht="14.4" customHeight="1" x14ac:dyDescent="0.3">
      <c r="A72" s="661" t="s">
        <v>512</v>
      </c>
      <c r="B72" s="662" t="s">
        <v>1387</v>
      </c>
      <c r="C72" s="663" t="s">
        <v>517</v>
      </c>
      <c r="D72" s="664" t="s">
        <v>1388</v>
      </c>
      <c r="E72" s="663" t="s">
        <v>522</v>
      </c>
      <c r="F72" s="664" t="s">
        <v>1389</v>
      </c>
      <c r="G72" s="663" t="s">
        <v>561</v>
      </c>
      <c r="H72" s="663" t="s">
        <v>769</v>
      </c>
      <c r="I72" s="663" t="s">
        <v>770</v>
      </c>
      <c r="J72" s="663" t="s">
        <v>771</v>
      </c>
      <c r="K72" s="663" t="s">
        <v>772</v>
      </c>
      <c r="L72" s="665">
        <v>53.900000000000013</v>
      </c>
      <c r="M72" s="665">
        <v>1</v>
      </c>
      <c r="N72" s="666">
        <v>53.900000000000013</v>
      </c>
    </row>
    <row r="73" spans="1:14" ht="14.4" customHeight="1" x14ac:dyDescent="0.3">
      <c r="A73" s="661" t="s">
        <v>512</v>
      </c>
      <c r="B73" s="662" t="s">
        <v>1387</v>
      </c>
      <c r="C73" s="663" t="s">
        <v>517</v>
      </c>
      <c r="D73" s="664" t="s">
        <v>1388</v>
      </c>
      <c r="E73" s="663" t="s">
        <v>522</v>
      </c>
      <c r="F73" s="664" t="s">
        <v>1389</v>
      </c>
      <c r="G73" s="663" t="s">
        <v>561</v>
      </c>
      <c r="H73" s="663" t="s">
        <v>773</v>
      </c>
      <c r="I73" s="663" t="s">
        <v>774</v>
      </c>
      <c r="J73" s="663" t="s">
        <v>775</v>
      </c>
      <c r="K73" s="663" t="s">
        <v>776</v>
      </c>
      <c r="L73" s="665">
        <v>58.20000000000001</v>
      </c>
      <c r="M73" s="665">
        <v>3</v>
      </c>
      <c r="N73" s="666">
        <v>174.60000000000002</v>
      </c>
    </row>
    <row r="74" spans="1:14" ht="14.4" customHeight="1" x14ac:dyDescent="0.3">
      <c r="A74" s="661" t="s">
        <v>512</v>
      </c>
      <c r="B74" s="662" t="s">
        <v>1387</v>
      </c>
      <c r="C74" s="663" t="s">
        <v>517</v>
      </c>
      <c r="D74" s="664" t="s">
        <v>1388</v>
      </c>
      <c r="E74" s="663" t="s">
        <v>522</v>
      </c>
      <c r="F74" s="664" t="s">
        <v>1389</v>
      </c>
      <c r="G74" s="663" t="s">
        <v>561</v>
      </c>
      <c r="H74" s="663" t="s">
        <v>777</v>
      </c>
      <c r="I74" s="663" t="s">
        <v>778</v>
      </c>
      <c r="J74" s="663" t="s">
        <v>779</v>
      </c>
      <c r="K74" s="663" t="s">
        <v>780</v>
      </c>
      <c r="L74" s="665">
        <v>61.72989878703104</v>
      </c>
      <c r="M74" s="665">
        <v>1</v>
      </c>
      <c r="N74" s="666">
        <v>61.72989878703104</v>
      </c>
    </row>
    <row r="75" spans="1:14" ht="14.4" customHeight="1" x14ac:dyDescent="0.3">
      <c r="A75" s="661" t="s">
        <v>512</v>
      </c>
      <c r="B75" s="662" t="s">
        <v>1387</v>
      </c>
      <c r="C75" s="663" t="s">
        <v>517</v>
      </c>
      <c r="D75" s="664" t="s">
        <v>1388</v>
      </c>
      <c r="E75" s="663" t="s">
        <v>522</v>
      </c>
      <c r="F75" s="664" t="s">
        <v>1389</v>
      </c>
      <c r="G75" s="663" t="s">
        <v>561</v>
      </c>
      <c r="H75" s="663" t="s">
        <v>781</v>
      </c>
      <c r="I75" s="663" t="s">
        <v>782</v>
      </c>
      <c r="J75" s="663" t="s">
        <v>783</v>
      </c>
      <c r="K75" s="663" t="s">
        <v>784</v>
      </c>
      <c r="L75" s="665">
        <v>115.67014000708738</v>
      </c>
      <c r="M75" s="665">
        <v>1</v>
      </c>
      <c r="N75" s="666">
        <v>115.67014000708738</v>
      </c>
    </row>
    <row r="76" spans="1:14" ht="14.4" customHeight="1" x14ac:dyDescent="0.3">
      <c r="A76" s="661" t="s">
        <v>512</v>
      </c>
      <c r="B76" s="662" t="s">
        <v>1387</v>
      </c>
      <c r="C76" s="663" t="s">
        <v>517</v>
      </c>
      <c r="D76" s="664" t="s">
        <v>1388</v>
      </c>
      <c r="E76" s="663" t="s">
        <v>522</v>
      </c>
      <c r="F76" s="664" t="s">
        <v>1389</v>
      </c>
      <c r="G76" s="663" t="s">
        <v>561</v>
      </c>
      <c r="H76" s="663" t="s">
        <v>785</v>
      </c>
      <c r="I76" s="663" t="s">
        <v>786</v>
      </c>
      <c r="J76" s="663" t="s">
        <v>787</v>
      </c>
      <c r="K76" s="663" t="s">
        <v>788</v>
      </c>
      <c r="L76" s="665">
        <v>1543.76</v>
      </c>
      <c r="M76" s="665">
        <v>5</v>
      </c>
      <c r="N76" s="666">
        <v>7718.8</v>
      </c>
    </row>
    <row r="77" spans="1:14" ht="14.4" customHeight="1" x14ac:dyDescent="0.3">
      <c r="A77" s="661" t="s">
        <v>512</v>
      </c>
      <c r="B77" s="662" t="s">
        <v>1387</v>
      </c>
      <c r="C77" s="663" t="s">
        <v>517</v>
      </c>
      <c r="D77" s="664" t="s">
        <v>1388</v>
      </c>
      <c r="E77" s="663" t="s">
        <v>522</v>
      </c>
      <c r="F77" s="664" t="s">
        <v>1389</v>
      </c>
      <c r="G77" s="663" t="s">
        <v>561</v>
      </c>
      <c r="H77" s="663" t="s">
        <v>789</v>
      </c>
      <c r="I77" s="663" t="s">
        <v>789</v>
      </c>
      <c r="J77" s="663" t="s">
        <v>563</v>
      </c>
      <c r="K77" s="663" t="s">
        <v>790</v>
      </c>
      <c r="L77" s="665">
        <v>192.5</v>
      </c>
      <c r="M77" s="665">
        <v>9</v>
      </c>
      <c r="N77" s="666">
        <v>1732.5</v>
      </c>
    </row>
    <row r="78" spans="1:14" ht="14.4" customHeight="1" x14ac:dyDescent="0.3">
      <c r="A78" s="661" t="s">
        <v>512</v>
      </c>
      <c r="B78" s="662" t="s">
        <v>1387</v>
      </c>
      <c r="C78" s="663" t="s">
        <v>517</v>
      </c>
      <c r="D78" s="664" t="s">
        <v>1388</v>
      </c>
      <c r="E78" s="663" t="s">
        <v>522</v>
      </c>
      <c r="F78" s="664" t="s">
        <v>1389</v>
      </c>
      <c r="G78" s="663" t="s">
        <v>561</v>
      </c>
      <c r="H78" s="663" t="s">
        <v>791</v>
      </c>
      <c r="I78" s="663" t="s">
        <v>791</v>
      </c>
      <c r="J78" s="663" t="s">
        <v>792</v>
      </c>
      <c r="K78" s="663" t="s">
        <v>793</v>
      </c>
      <c r="L78" s="665">
        <v>94.25</v>
      </c>
      <c r="M78" s="665">
        <v>1</v>
      </c>
      <c r="N78" s="666">
        <v>94.25</v>
      </c>
    </row>
    <row r="79" spans="1:14" ht="14.4" customHeight="1" x14ac:dyDescent="0.3">
      <c r="A79" s="661" t="s">
        <v>512</v>
      </c>
      <c r="B79" s="662" t="s">
        <v>1387</v>
      </c>
      <c r="C79" s="663" t="s">
        <v>517</v>
      </c>
      <c r="D79" s="664" t="s">
        <v>1388</v>
      </c>
      <c r="E79" s="663" t="s">
        <v>522</v>
      </c>
      <c r="F79" s="664" t="s">
        <v>1389</v>
      </c>
      <c r="G79" s="663" t="s">
        <v>561</v>
      </c>
      <c r="H79" s="663" t="s">
        <v>794</v>
      </c>
      <c r="I79" s="663" t="s">
        <v>795</v>
      </c>
      <c r="J79" s="663" t="s">
        <v>600</v>
      </c>
      <c r="K79" s="663" t="s">
        <v>796</v>
      </c>
      <c r="L79" s="665">
        <v>42.17</v>
      </c>
      <c r="M79" s="665">
        <v>35</v>
      </c>
      <c r="N79" s="666">
        <v>1475.95</v>
      </c>
    </row>
    <row r="80" spans="1:14" ht="14.4" customHeight="1" x14ac:dyDescent="0.3">
      <c r="A80" s="661" t="s">
        <v>512</v>
      </c>
      <c r="B80" s="662" t="s">
        <v>1387</v>
      </c>
      <c r="C80" s="663" t="s">
        <v>517</v>
      </c>
      <c r="D80" s="664" t="s">
        <v>1388</v>
      </c>
      <c r="E80" s="663" t="s">
        <v>522</v>
      </c>
      <c r="F80" s="664" t="s">
        <v>1389</v>
      </c>
      <c r="G80" s="663" t="s">
        <v>561</v>
      </c>
      <c r="H80" s="663" t="s">
        <v>797</v>
      </c>
      <c r="I80" s="663" t="s">
        <v>798</v>
      </c>
      <c r="J80" s="663" t="s">
        <v>799</v>
      </c>
      <c r="K80" s="663" t="s">
        <v>586</v>
      </c>
      <c r="L80" s="665">
        <v>57.119975025499052</v>
      </c>
      <c r="M80" s="665">
        <v>30</v>
      </c>
      <c r="N80" s="666">
        <v>1713.5992507649717</v>
      </c>
    </row>
    <row r="81" spans="1:14" ht="14.4" customHeight="1" x14ac:dyDescent="0.3">
      <c r="A81" s="661" t="s">
        <v>512</v>
      </c>
      <c r="B81" s="662" t="s">
        <v>1387</v>
      </c>
      <c r="C81" s="663" t="s">
        <v>517</v>
      </c>
      <c r="D81" s="664" t="s">
        <v>1388</v>
      </c>
      <c r="E81" s="663" t="s">
        <v>522</v>
      </c>
      <c r="F81" s="664" t="s">
        <v>1389</v>
      </c>
      <c r="G81" s="663" t="s">
        <v>561</v>
      </c>
      <c r="H81" s="663" t="s">
        <v>800</v>
      </c>
      <c r="I81" s="663" t="s">
        <v>801</v>
      </c>
      <c r="J81" s="663" t="s">
        <v>802</v>
      </c>
      <c r="K81" s="663" t="s">
        <v>803</v>
      </c>
      <c r="L81" s="665">
        <v>60.279990116446172</v>
      </c>
      <c r="M81" s="665">
        <v>50</v>
      </c>
      <c r="N81" s="666">
        <v>3013.9995058223085</v>
      </c>
    </row>
    <row r="82" spans="1:14" ht="14.4" customHeight="1" x14ac:dyDescent="0.3">
      <c r="A82" s="661" t="s">
        <v>512</v>
      </c>
      <c r="B82" s="662" t="s">
        <v>1387</v>
      </c>
      <c r="C82" s="663" t="s">
        <v>517</v>
      </c>
      <c r="D82" s="664" t="s">
        <v>1388</v>
      </c>
      <c r="E82" s="663" t="s">
        <v>522</v>
      </c>
      <c r="F82" s="664" t="s">
        <v>1389</v>
      </c>
      <c r="G82" s="663" t="s">
        <v>561</v>
      </c>
      <c r="H82" s="663" t="s">
        <v>804</v>
      </c>
      <c r="I82" s="663" t="s">
        <v>805</v>
      </c>
      <c r="J82" s="663" t="s">
        <v>806</v>
      </c>
      <c r="K82" s="663" t="s">
        <v>807</v>
      </c>
      <c r="L82" s="665">
        <v>1592.8</v>
      </c>
      <c r="M82" s="665">
        <v>24</v>
      </c>
      <c r="N82" s="666">
        <v>38227.199999999997</v>
      </c>
    </row>
    <row r="83" spans="1:14" ht="14.4" customHeight="1" x14ac:dyDescent="0.3">
      <c r="A83" s="661" t="s">
        <v>512</v>
      </c>
      <c r="B83" s="662" t="s">
        <v>1387</v>
      </c>
      <c r="C83" s="663" t="s">
        <v>517</v>
      </c>
      <c r="D83" s="664" t="s">
        <v>1388</v>
      </c>
      <c r="E83" s="663" t="s">
        <v>522</v>
      </c>
      <c r="F83" s="664" t="s">
        <v>1389</v>
      </c>
      <c r="G83" s="663" t="s">
        <v>561</v>
      </c>
      <c r="H83" s="663" t="s">
        <v>808</v>
      </c>
      <c r="I83" s="663" t="s">
        <v>809</v>
      </c>
      <c r="J83" s="663" t="s">
        <v>810</v>
      </c>
      <c r="K83" s="663" t="s">
        <v>811</v>
      </c>
      <c r="L83" s="665">
        <v>74.879999999999981</v>
      </c>
      <c r="M83" s="665">
        <v>25</v>
      </c>
      <c r="N83" s="666">
        <v>1871.9999999999995</v>
      </c>
    </row>
    <row r="84" spans="1:14" ht="14.4" customHeight="1" x14ac:dyDescent="0.3">
      <c r="A84" s="661" t="s">
        <v>512</v>
      </c>
      <c r="B84" s="662" t="s">
        <v>1387</v>
      </c>
      <c r="C84" s="663" t="s">
        <v>517</v>
      </c>
      <c r="D84" s="664" t="s">
        <v>1388</v>
      </c>
      <c r="E84" s="663" t="s">
        <v>522</v>
      </c>
      <c r="F84" s="664" t="s">
        <v>1389</v>
      </c>
      <c r="G84" s="663" t="s">
        <v>561</v>
      </c>
      <c r="H84" s="663" t="s">
        <v>812</v>
      </c>
      <c r="I84" s="663" t="s">
        <v>813</v>
      </c>
      <c r="J84" s="663" t="s">
        <v>660</v>
      </c>
      <c r="K84" s="663" t="s">
        <v>814</v>
      </c>
      <c r="L84" s="665">
        <v>242.00000058735279</v>
      </c>
      <c r="M84" s="665">
        <v>52</v>
      </c>
      <c r="N84" s="666">
        <v>12584.000030542345</v>
      </c>
    </row>
    <row r="85" spans="1:14" ht="14.4" customHeight="1" x14ac:dyDescent="0.3">
      <c r="A85" s="661" t="s">
        <v>512</v>
      </c>
      <c r="B85" s="662" t="s">
        <v>1387</v>
      </c>
      <c r="C85" s="663" t="s">
        <v>517</v>
      </c>
      <c r="D85" s="664" t="s">
        <v>1388</v>
      </c>
      <c r="E85" s="663" t="s">
        <v>522</v>
      </c>
      <c r="F85" s="664" t="s">
        <v>1389</v>
      </c>
      <c r="G85" s="663" t="s">
        <v>561</v>
      </c>
      <c r="H85" s="663" t="s">
        <v>815</v>
      </c>
      <c r="I85" s="663" t="s">
        <v>816</v>
      </c>
      <c r="J85" s="663" t="s">
        <v>817</v>
      </c>
      <c r="K85" s="663" t="s">
        <v>818</v>
      </c>
      <c r="L85" s="665">
        <v>1704.5600000000006</v>
      </c>
      <c r="M85" s="665">
        <v>6</v>
      </c>
      <c r="N85" s="666">
        <v>10227.360000000004</v>
      </c>
    </row>
    <row r="86" spans="1:14" ht="14.4" customHeight="1" x14ac:dyDescent="0.3">
      <c r="A86" s="661" t="s">
        <v>512</v>
      </c>
      <c r="B86" s="662" t="s">
        <v>1387</v>
      </c>
      <c r="C86" s="663" t="s">
        <v>517</v>
      </c>
      <c r="D86" s="664" t="s">
        <v>1388</v>
      </c>
      <c r="E86" s="663" t="s">
        <v>522</v>
      </c>
      <c r="F86" s="664" t="s">
        <v>1389</v>
      </c>
      <c r="G86" s="663" t="s">
        <v>561</v>
      </c>
      <c r="H86" s="663" t="s">
        <v>819</v>
      </c>
      <c r="I86" s="663" t="s">
        <v>820</v>
      </c>
      <c r="J86" s="663" t="s">
        <v>821</v>
      </c>
      <c r="K86" s="663" t="s">
        <v>822</v>
      </c>
      <c r="L86" s="665">
        <v>476.05953754586318</v>
      </c>
      <c r="M86" s="665">
        <v>10</v>
      </c>
      <c r="N86" s="666">
        <v>4760.5953754586317</v>
      </c>
    </row>
    <row r="87" spans="1:14" ht="14.4" customHeight="1" x14ac:dyDescent="0.3">
      <c r="A87" s="661" t="s">
        <v>512</v>
      </c>
      <c r="B87" s="662" t="s">
        <v>1387</v>
      </c>
      <c r="C87" s="663" t="s">
        <v>517</v>
      </c>
      <c r="D87" s="664" t="s">
        <v>1388</v>
      </c>
      <c r="E87" s="663" t="s">
        <v>522</v>
      </c>
      <c r="F87" s="664" t="s">
        <v>1389</v>
      </c>
      <c r="G87" s="663" t="s">
        <v>561</v>
      </c>
      <c r="H87" s="663" t="s">
        <v>823</v>
      </c>
      <c r="I87" s="663" t="s">
        <v>824</v>
      </c>
      <c r="J87" s="663" t="s">
        <v>825</v>
      </c>
      <c r="K87" s="663" t="s">
        <v>826</v>
      </c>
      <c r="L87" s="665">
        <v>20.759250000000002</v>
      </c>
      <c r="M87" s="665">
        <v>80</v>
      </c>
      <c r="N87" s="666">
        <v>1660.74</v>
      </c>
    </row>
    <row r="88" spans="1:14" ht="14.4" customHeight="1" x14ac:dyDescent="0.3">
      <c r="A88" s="661" t="s">
        <v>512</v>
      </c>
      <c r="B88" s="662" t="s">
        <v>1387</v>
      </c>
      <c r="C88" s="663" t="s">
        <v>517</v>
      </c>
      <c r="D88" s="664" t="s">
        <v>1388</v>
      </c>
      <c r="E88" s="663" t="s">
        <v>522</v>
      </c>
      <c r="F88" s="664" t="s">
        <v>1389</v>
      </c>
      <c r="G88" s="663" t="s">
        <v>561</v>
      </c>
      <c r="H88" s="663" t="s">
        <v>827</v>
      </c>
      <c r="I88" s="663" t="s">
        <v>828</v>
      </c>
      <c r="J88" s="663" t="s">
        <v>829</v>
      </c>
      <c r="K88" s="663" t="s">
        <v>830</v>
      </c>
      <c r="L88" s="665">
        <v>74.859861306302008</v>
      </c>
      <c r="M88" s="665">
        <v>1</v>
      </c>
      <c r="N88" s="666">
        <v>74.859861306302008</v>
      </c>
    </row>
    <row r="89" spans="1:14" ht="14.4" customHeight="1" x14ac:dyDescent="0.3">
      <c r="A89" s="661" t="s">
        <v>512</v>
      </c>
      <c r="B89" s="662" t="s">
        <v>1387</v>
      </c>
      <c r="C89" s="663" t="s">
        <v>517</v>
      </c>
      <c r="D89" s="664" t="s">
        <v>1388</v>
      </c>
      <c r="E89" s="663" t="s">
        <v>522</v>
      </c>
      <c r="F89" s="664" t="s">
        <v>1389</v>
      </c>
      <c r="G89" s="663" t="s">
        <v>561</v>
      </c>
      <c r="H89" s="663" t="s">
        <v>831</v>
      </c>
      <c r="I89" s="663" t="s">
        <v>832</v>
      </c>
      <c r="J89" s="663" t="s">
        <v>833</v>
      </c>
      <c r="K89" s="663" t="s">
        <v>834</v>
      </c>
      <c r="L89" s="665">
        <v>68.79000000000002</v>
      </c>
      <c r="M89" s="665">
        <v>4</v>
      </c>
      <c r="N89" s="666">
        <v>275.16000000000008</v>
      </c>
    </row>
    <row r="90" spans="1:14" ht="14.4" customHeight="1" x14ac:dyDescent="0.3">
      <c r="A90" s="661" t="s">
        <v>512</v>
      </c>
      <c r="B90" s="662" t="s">
        <v>1387</v>
      </c>
      <c r="C90" s="663" t="s">
        <v>517</v>
      </c>
      <c r="D90" s="664" t="s">
        <v>1388</v>
      </c>
      <c r="E90" s="663" t="s">
        <v>522</v>
      </c>
      <c r="F90" s="664" t="s">
        <v>1389</v>
      </c>
      <c r="G90" s="663" t="s">
        <v>561</v>
      </c>
      <c r="H90" s="663" t="s">
        <v>835</v>
      </c>
      <c r="I90" s="663" t="s">
        <v>836</v>
      </c>
      <c r="J90" s="663" t="s">
        <v>837</v>
      </c>
      <c r="K90" s="663" t="s">
        <v>838</v>
      </c>
      <c r="L90" s="665">
        <v>46.710000000000015</v>
      </c>
      <c r="M90" s="665">
        <v>18</v>
      </c>
      <c r="N90" s="666">
        <v>840.78000000000031</v>
      </c>
    </row>
    <row r="91" spans="1:14" ht="14.4" customHeight="1" x14ac:dyDescent="0.3">
      <c r="A91" s="661" t="s">
        <v>512</v>
      </c>
      <c r="B91" s="662" t="s">
        <v>1387</v>
      </c>
      <c r="C91" s="663" t="s">
        <v>517</v>
      </c>
      <c r="D91" s="664" t="s">
        <v>1388</v>
      </c>
      <c r="E91" s="663" t="s">
        <v>522</v>
      </c>
      <c r="F91" s="664" t="s">
        <v>1389</v>
      </c>
      <c r="G91" s="663" t="s">
        <v>561</v>
      </c>
      <c r="H91" s="663" t="s">
        <v>839</v>
      </c>
      <c r="I91" s="663" t="s">
        <v>840</v>
      </c>
      <c r="J91" s="663" t="s">
        <v>841</v>
      </c>
      <c r="K91" s="663" t="s">
        <v>842</v>
      </c>
      <c r="L91" s="665">
        <v>154.02999999999997</v>
      </c>
      <c r="M91" s="665">
        <v>1</v>
      </c>
      <c r="N91" s="666">
        <v>154.02999999999997</v>
      </c>
    </row>
    <row r="92" spans="1:14" ht="14.4" customHeight="1" x14ac:dyDescent="0.3">
      <c r="A92" s="661" t="s">
        <v>512</v>
      </c>
      <c r="B92" s="662" t="s">
        <v>1387</v>
      </c>
      <c r="C92" s="663" t="s">
        <v>517</v>
      </c>
      <c r="D92" s="664" t="s">
        <v>1388</v>
      </c>
      <c r="E92" s="663" t="s">
        <v>522</v>
      </c>
      <c r="F92" s="664" t="s">
        <v>1389</v>
      </c>
      <c r="G92" s="663" t="s">
        <v>561</v>
      </c>
      <c r="H92" s="663" t="s">
        <v>843</v>
      </c>
      <c r="I92" s="663" t="s">
        <v>844</v>
      </c>
      <c r="J92" s="663" t="s">
        <v>845</v>
      </c>
      <c r="K92" s="663" t="s">
        <v>846</v>
      </c>
      <c r="L92" s="665">
        <v>2866.3799999999997</v>
      </c>
      <c r="M92" s="665">
        <v>12</v>
      </c>
      <c r="N92" s="666">
        <v>34396.559999999998</v>
      </c>
    </row>
    <row r="93" spans="1:14" ht="14.4" customHeight="1" x14ac:dyDescent="0.3">
      <c r="A93" s="661" t="s">
        <v>512</v>
      </c>
      <c r="B93" s="662" t="s">
        <v>1387</v>
      </c>
      <c r="C93" s="663" t="s">
        <v>517</v>
      </c>
      <c r="D93" s="664" t="s">
        <v>1388</v>
      </c>
      <c r="E93" s="663" t="s">
        <v>522</v>
      </c>
      <c r="F93" s="664" t="s">
        <v>1389</v>
      </c>
      <c r="G93" s="663" t="s">
        <v>561</v>
      </c>
      <c r="H93" s="663" t="s">
        <v>847</v>
      </c>
      <c r="I93" s="663" t="s">
        <v>847</v>
      </c>
      <c r="J93" s="663" t="s">
        <v>848</v>
      </c>
      <c r="K93" s="663" t="s">
        <v>567</v>
      </c>
      <c r="L93" s="665">
        <v>288.52999999999997</v>
      </c>
      <c r="M93" s="665">
        <v>3</v>
      </c>
      <c r="N93" s="666">
        <v>865.58999999999992</v>
      </c>
    </row>
    <row r="94" spans="1:14" ht="14.4" customHeight="1" x14ac:dyDescent="0.3">
      <c r="A94" s="661" t="s">
        <v>512</v>
      </c>
      <c r="B94" s="662" t="s">
        <v>1387</v>
      </c>
      <c r="C94" s="663" t="s">
        <v>517</v>
      </c>
      <c r="D94" s="664" t="s">
        <v>1388</v>
      </c>
      <c r="E94" s="663" t="s">
        <v>522</v>
      </c>
      <c r="F94" s="664" t="s">
        <v>1389</v>
      </c>
      <c r="G94" s="663" t="s">
        <v>561</v>
      </c>
      <c r="H94" s="663" t="s">
        <v>849</v>
      </c>
      <c r="I94" s="663" t="s">
        <v>850</v>
      </c>
      <c r="J94" s="663" t="s">
        <v>851</v>
      </c>
      <c r="K94" s="663" t="s">
        <v>613</v>
      </c>
      <c r="L94" s="665">
        <v>44.229990530259784</v>
      </c>
      <c r="M94" s="665">
        <v>25</v>
      </c>
      <c r="N94" s="666">
        <v>1105.7497632564946</v>
      </c>
    </row>
    <row r="95" spans="1:14" ht="14.4" customHeight="1" x14ac:dyDescent="0.3">
      <c r="A95" s="661" t="s">
        <v>512</v>
      </c>
      <c r="B95" s="662" t="s">
        <v>1387</v>
      </c>
      <c r="C95" s="663" t="s">
        <v>517</v>
      </c>
      <c r="D95" s="664" t="s">
        <v>1388</v>
      </c>
      <c r="E95" s="663" t="s">
        <v>522</v>
      </c>
      <c r="F95" s="664" t="s">
        <v>1389</v>
      </c>
      <c r="G95" s="663" t="s">
        <v>561</v>
      </c>
      <c r="H95" s="663" t="s">
        <v>852</v>
      </c>
      <c r="I95" s="663" t="s">
        <v>853</v>
      </c>
      <c r="J95" s="663" t="s">
        <v>854</v>
      </c>
      <c r="K95" s="663" t="s">
        <v>855</v>
      </c>
      <c r="L95" s="665">
        <v>946.05219150359403</v>
      </c>
      <c r="M95" s="665">
        <v>34</v>
      </c>
      <c r="N95" s="666">
        <v>32165.774511122196</v>
      </c>
    </row>
    <row r="96" spans="1:14" ht="14.4" customHeight="1" x14ac:dyDescent="0.3">
      <c r="A96" s="661" t="s">
        <v>512</v>
      </c>
      <c r="B96" s="662" t="s">
        <v>1387</v>
      </c>
      <c r="C96" s="663" t="s">
        <v>517</v>
      </c>
      <c r="D96" s="664" t="s">
        <v>1388</v>
      </c>
      <c r="E96" s="663" t="s">
        <v>522</v>
      </c>
      <c r="F96" s="664" t="s">
        <v>1389</v>
      </c>
      <c r="G96" s="663" t="s">
        <v>561</v>
      </c>
      <c r="H96" s="663" t="s">
        <v>856</v>
      </c>
      <c r="I96" s="663" t="s">
        <v>857</v>
      </c>
      <c r="J96" s="663" t="s">
        <v>858</v>
      </c>
      <c r="K96" s="663" t="s">
        <v>859</v>
      </c>
      <c r="L96" s="665">
        <v>78.53</v>
      </c>
      <c r="M96" s="665">
        <v>2</v>
      </c>
      <c r="N96" s="666">
        <v>157.06</v>
      </c>
    </row>
    <row r="97" spans="1:14" ht="14.4" customHeight="1" x14ac:dyDescent="0.3">
      <c r="A97" s="661" t="s">
        <v>512</v>
      </c>
      <c r="B97" s="662" t="s">
        <v>1387</v>
      </c>
      <c r="C97" s="663" t="s">
        <v>517</v>
      </c>
      <c r="D97" s="664" t="s">
        <v>1388</v>
      </c>
      <c r="E97" s="663" t="s">
        <v>522</v>
      </c>
      <c r="F97" s="664" t="s">
        <v>1389</v>
      </c>
      <c r="G97" s="663" t="s">
        <v>561</v>
      </c>
      <c r="H97" s="663" t="s">
        <v>860</v>
      </c>
      <c r="I97" s="663" t="s">
        <v>861</v>
      </c>
      <c r="J97" s="663" t="s">
        <v>862</v>
      </c>
      <c r="K97" s="663" t="s">
        <v>863</v>
      </c>
      <c r="L97" s="665">
        <v>1037.7486450250767</v>
      </c>
      <c r="M97" s="665">
        <v>46</v>
      </c>
      <c r="N97" s="666">
        <v>47736.43767115353</v>
      </c>
    </row>
    <row r="98" spans="1:14" ht="14.4" customHeight="1" x14ac:dyDescent="0.3">
      <c r="A98" s="661" t="s">
        <v>512</v>
      </c>
      <c r="B98" s="662" t="s">
        <v>1387</v>
      </c>
      <c r="C98" s="663" t="s">
        <v>517</v>
      </c>
      <c r="D98" s="664" t="s">
        <v>1388</v>
      </c>
      <c r="E98" s="663" t="s">
        <v>522</v>
      </c>
      <c r="F98" s="664" t="s">
        <v>1389</v>
      </c>
      <c r="G98" s="663" t="s">
        <v>561</v>
      </c>
      <c r="H98" s="663" t="s">
        <v>864</v>
      </c>
      <c r="I98" s="663" t="s">
        <v>865</v>
      </c>
      <c r="J98" s="663" t="s">
        <v>866</v>
      </c>
      <c r="K98" s="663" t="s">
        <v>803</v>
      </c>
      <c r="L98" s="665">
        <v>57.93832161913663</v>
      </c>
      <c r="M98" s="665">
        <v>4</v>
      </c>
      <c r="N98" s="666">
        <v>231.75328647654652</v>
      </c>
    </row>
    <row r="99" spans="1:14" ht="14.4" customHeight="1" x14ac:dyDescent="0.3">
      <c r="A99" s="661" t="s">
        <v>512</v>
      </c>
      <c r="B99" s="662" t="s">
        <v>1387</v>
      </c>
      <c r="C99" s="663" t="s">
        <v>517</v>
      </c>
      <c r="D99" s="664" t="s">
        <v>1388</v>
      </c>
      <c r="E99" s="663" t="s">
        <v>522</v>
      </c>
      <c r="F99" s="664" t="s">
        <v>1389</v>
      </c>
      <c r="G99" s="663" t="s">
        <v>561</v>
      </c>
      <c r="H99" s="663" t="s">
        <v>867</v>
      </c>
      <c r="I99" s="663" t="s">
        <v>868</v>
      </c>
      <c r="J99" s="663" t="s">
        <v>869</v>
      </c>
      <c r="K99" s="663" t="s">
        <v>870</v>
      </c>
      <c r="L99" s="665">
        <v>186.35</v>
      </c>
      <c r="M99" s="665">
        <v>33</v>
      </c>
      <c r="N99" s="666">
        <v>6149.55</v>
      </c>
    </row>
    <row r="100" spans="1:14" ht="14.4" customHeight="1" x14ac:dyDescent="0.3">
      <c r="A100" s="661" t="s">
        <v>512</v>
      </c>
      <c r="B100" s="662" t="s">
        <v>1387</v>
      </c>
      <c r="C100" s="663" t="s">
        <v>517</v>
      </c>
      <c r="D100" s="664" t="s">
        <v>1388</v>
      </c>
      <c r="E100" s="663" t="s">
        <v>522</v>
      </c>
      <c r="F100" s="664" t="s">
        <v>1389</v>
      </c>
      <c r="G100" s="663" t="s">
        <v>561</v>
      </c>
      <c r="H100" s="663" t="s">
        <v>871</v>
      </c>
      <c r="I100" s="663" t="s">
        <v>872</v>
      </c>
      <c r="J100" s="663" t="s">
        <v>656</v>
      </c>
      <c r="K100" s="663" t="s">
        <v>873</v>
      </c>
      <c r="L100" s="665">
        <v>125.41</v>
      </c>
      <c r="M100" s="665">
        <v>2</v>
      </c>
      <c r="N100" s="666">
        <v>250.82</v>
      </c>
    </row>
    <row r="101" spans="1:14" ht="14.4" customHeight="1" x14ac:dyDescent="0.3">
      <c r="A101" s="661" t="s">
        <v>512</v>
      </c>
      <c r="B101" s="662" t="s">
        <v>1387</v>
      </c>
      <c r="C101" s="663" t="s">
        <v>517</v>
      </c>
      <c r="D101" s="664" t="s">
        <v>1388</v>
      </c>
      <c r="E101" s="663" t="s">
        <v>522</v>
      </c>
      <c r="F101" s="664" t="s">
        <v>1389</v>
      </c>
      <c r="G101" s="663" t="s">
        <v>561</v>
      </c>
      <c r="H101" s="663" t="s">
        <v>874</v>
      </c>
      <c r="I101" s="663" t="s">
        <v>875</v>
      </c>
      <c r="J101" s="663" t="s">
        <v>876</v>
      </c>
      <c r="K101" s="663" t="s">
        <v>877</v>
      </c>
      <c r="L101" s="665">
        <v>312.83999999999997</v>
      </c>
      <c r="M101" s="665">
        <v>2</v>
      </c>
      <c r="N101" s="666">
        <v>625.67999999999995</v>
      </c>
    </row>
    <row r="102" spans="1:14" ht="14.4" customHeight="1" x14ac:dyDescent="0.3">
      <c r="A102" s="661" t="s">
        <v>512</v>
      </c>
      <c r="B102" s="662" t="s">
        <v>1387</v>
      </c>
      <c r="C102" s="663" t="s">
        <v>517</v>
      </c>
      <c r="D102" s="664" t="s">
        <v>1388</v>
      </c>
      <c r="E102" s="663" t="s">
        <v>522</v>
      </c>
      <c r="F102" s="664" t="s">
        <v>1389</v>
      </c>
      <c r="G102" s="663" t="s">
        <v>561</v>
      </c>
      <c r="H102" s="663" t="s">
        <v>878</v>
      </c>
      <c r="I102" s="663" t="s">
        <v>748</v>
      </c>
      <c r="J102" s="663" t="s">
        <v>879</v>
      </c>
      <c r="K102" s="663"/>
      <c r="L102" s="665">
        <v>644.62138298049558</v>
      </c>
      <c r="M102" s="665">
        <v>2</v>
      </c>
      <c r="N102" s="666">
        <v>1289.2427659609912</v>
      </c>
    </row>
    <row r="103" spans="1:14" ht="14.4" customHeight="1" x14ac:dyDescent="0.3">
      <c r="A103" s="661" t="s">
        <v>512</v>
      </c>
      <c r="B103" s="662" t="s">
        <v>1387</v>
      </c>
      <c r="C103" s="663" t="s">
        <v>517</v>
      </c>
      <c r="D103" s="664" t="s">
        <v>1388</v>
      </c>
      <c r="E103" s="663" t="s">
        <v>522</v>
      </c>
      <c r="F103" s="664" t="s">
        <v>1389</v>
      </c>
      <c r="G103" s="663" t="s">
        <v>561</v>
      </c>
      <c r="H103" s="663" t="s">
        <v>880</v>
      </c>
      <c r="I103" s="663" t="s">
        <v>881</v>
      </c>
      <c r="J103" s="663" t="s">
        <v>616</v>
      </c>
      <c r="K103" s="663" t="s">
        <v>882</v>
      </c>
      <c r="L103" s="665">
        <v>91.609333333333339</v>
      </c>
      <c r="M103" s="665">
        <v>60</v>
      </c>
      <c r="N103" s="666">
        <v>5496.56</v>
      </c>
    </row>
    <row r="104" spans="1:14" ht="14.4" customHeight="1" x14ac:dyDescent="0.3">
      <c r="A104" s="661" t="s">
        <v>512</v>
      </c>
      <c r="B104" s="662" t="s">
        <v>1387</v>
      </c>
      <c r="C104" s="663" t="s">
        <v>517</v>
      </c>
      <c r="D104" s="664" t="s">
        <v>1388</v>
      </c>
      <c r="E104" s="663" t="s">
        <v>522</v>
      </c>
      <c r="F104" s="664" t="s">
        <v>1389</v>
      </c>
      <c r="G104" s="663" t="s">
        <v>561</v>
      </c>
      <c r="H104" s="663" t="s">
        <v>883</v>
      </c>
      <c r="I104" s="663" t="s">
        <v>884</v>
      </c>
      <c r="J104" s="663" t="s">
        <v>885</v>
      </c>
      <c r="K104" s="663" t="s">
        <v>886</v>
      </c>
      <c r="L104" s="665">
        <v>149.48472244373755</v>
      </c>
      <c r="M104" s="665">
        <v>85</v>
      </c>
      <c r="N104" s="666">
        <v>12706.201407717692</v>
      </c>
    </row>
    <row r="105" spans="1:14" ht="14.4" customHeight="1" x14ac:dyDescent="0.3">
      <c r="A105" s="661" t="s">
        <v>512</v>
      </c>
      <c r="B105" s="662" t="s">
        <v>1387</v>
      </c>
      <c r="C105" s="663" t="s">
        <v>517</v>
      </c>
      <c r="D105" s="664" t="s">
        <v>1388</v>
      </c>
      <c r="E105" s="663" t="s">
        <v>522</v>
      </c>
      <c r="F105" s="664" t="s">
        <v>1389</v>
      </c>
      <c r="G105" s="663" t="s">
        <v>561</v>
      </c>
      <c r="H105" s="663" t="s">
        <v>887</v>
      </c>
      <c r="I105" s="663" t="s">
        <v>888</v>
      </c>
      <c r="J105" s="663" t="s">
        <v>889</v>
      </c>
      <c r="K105" s="663" t="s">
        <v>890</v>
      </c>
      <c r="L105" s="665">
        <v>46.199999999999996</v>
      </c>
      <c r="M105" s="665">
        <v>6</v>
      </c>
      <c r="N105" s="666">
        <v>277.2</v>
      </c>
    </row>
    <row r="106" spans="1:14" ht="14.4" customHeight="1" x14ac:dyDescent="0.3">
      <c r="A106" s="661" t="s">
        <v>512</v>
      </c>
      <c r="B106" s="662" t="s">
        <v>1387</v>
      </c>
      <c r="C106" s="663" t="s">
        <v>517</v>
      </c>
      <c r="D106" s="664" t="s">
        <v>1388</v>
      </c>
      <c r="E106" s="663" t="s">
        <v>522</v>
      </c>
      <c r="F106" s="664" t="s">
        <v>1389</v>
      </c>
      <c r="G106" s="663" t="s">
        <v>561</v>
      </c>
      <c r="H106" s="663" t="s">
        <v>891</v>
      </c>
      <c r="I106" s="663" t="s">
        <v>892</v>
      </c>
      <c r="J106" s="663" t="s">
        <v>893</v>
      </c>
      <c r="K106" s="663" t="s">
        <v>894</v>
      </c>
      <c r="L106" s="665">
        <v>105.80999999999999</v>
      </c>
      <c r="M106" s="665">
        <v>5</v>
      </c>
      <c r="N106" s="666">
        <v>529.04999999999995</v>
      </c>
    </row>
    <row r="107" spans="1:14" ht="14.4" customHeight="1" x14ac:dyDescent="0.3">
      <c r="A107" s="661" t="s">
        <v>512</v>
      </c>
      <c r="B107" s="662" t="s">
        <v>1387</v>
      </c>
      <c r="C107" s="663" t="s">
        <v>517</v>
      </c>
      <c r="D107" s="664" t="s">
        <v>1388</v>
      </c>
      <c r="E107" s="663" t="s">
        <v>522</v>
      </c>
      <c r="F107" s="664" t="s">
        <v>1389</v>
      </c>
      <c r="G107" s="663" t="s">
        <v>561</v>
      </c>
      <c r="H107" s="663" t="s">
        <v>895</v>
      </c>
      <c r="I107" s="663" t="s">
        <v>896</v>
      </c>
      <c r="J107" s="663" t="s">
        <v>897</v>
      </c>
      <c r="K107" s="663" t="s">
        <v>898</v>
      </c>
      <c r="L107" s="665">
        <v>46.370000000000026</v>
      </c>
      <c r="M107" s="665">
        <v>1</v>
      </c>
      <c r="N107" s="666">
        <v>46.370000000000026</v>
      </c>
    </row>
    <row r="108" spans="1:14" ht="14.4" customHeight="1" x14ac:dyDescent="0.3">
      <c r="A108" s="661" t="s">
        <v>512</v>
      </c>
      <c r="B108" s="662" t="s">
        <v>1387</v>
      </c>
      <c r="C108" s="663" t="s">
        <v>517</v>
      </c>
      <c r="D108" s="664" t="s">
        <v>1388</v>
      </c>
      <c r="E108" s="663" t="s">
        <v>522</v>
      </c>
      <c r="F108" s="664" t="s">
        <v>1389</v>
      </c>
      <c r="G108" s="663" t="s">
        <v>561</v>
      </c>
      <c r="H108" s="663" t="s">
        <v>899</v>
      </c>
      <c r="I108" s="663" t="s">
        <v>900</v>
      </c>
      <c r="J108" s="663" t="s">
        <v>901</v>
      </c>
      <c r="K108" s="663" t="s">
        <v>902</v>
      </c>
      <c r="L108" s="665">
        <v>111.51936034692537</v>
      </c>
      <c r="M108" s="665">
        <v>100</v>
      </c>
      <c r="N108" s="666">
        <v>11151.936034692537</v>
      </c>
    </row>
    <row r="109" spans="1:14" ht="14.4" customHeight="1" x14ac:dyDescent="0.3">
      <c r="A109" s="661" t="s">
        <v>512</v>
      </c>
      <c r="B109" s="662" t="s">
        <v>1387</v>
      </c>
      <c r="C109" s="663" t="s">
        <v>517</v>
      </c>
      <c r="D109" s="664" t="s">
        <v>1388</v>
      </c>
      <c r="E109" s="663" t="s">
        <v>522</v>
      </c>
      <c r="F109" s="664" t="s">
        <v>1389</v>
      </c>
      <c r="G109" s="663" t="s">
        <v>561</v>
      </c>
      <c r="H109" s="663" t="s">
        <v>903</v>
      </c>
      <c r="I109" s="663" t="s">
        <v>904</v>
      </c>
      <c r="J109" s="663" t="s">
        <v>905</v>
      </c>
      <c r="K109" s="663" t="s">
        <v>906</v>
      </c>
      <c r="L109" s="665">
        <v>326.48</v>
      </c>
      <c r="M109" s="665">
        <v>2</v>
      </c>
      <c r="N109" s="666">
        <v>652.96</v>
      </c>
    </row>
    <row r="110" spans="1:14" ht="14.4" customHeight="1" x14ac:dyDescent="0.3">
      <c r="A110" s="661" t="s">
        <v>512</v>
      </c>
      <c r="B110" s="662" t="s">
        <v>1387</v>
      </c>
      <c r="C110" s="663" t="s">
        <v>517</v>
      </c>
      <c r="D110" s="664" t="s">
        <v>1388</v>
      </c>
      <c r="E110" s="663" t="s">
        <v>522</v>
      </c>
      <c r="F110" s="664" t="s">
        <v>1389</v>
      </c>
      <c r="G110" s="663" t="s">
        <v>561</v>
      </c>
      <c r="H110" s="663" t="s">
        <v>907</v>
      </c>
      <c r="I110" s="663" t="s">
        <v>908</v>
      </c>
      <c r="J110" s="663" t="s">
        <v>909</v>
      </c>
      <c r="K110" s="663" t="s">
        <v>910</v>
      </c>
      <c r="L110" s="665">
        <v>1020.7309680672587</v>
      </c>
      <c r="M110" s="665">
        <v>1</v>
      </c>
      <c r="N110" s="666">
        <v>1020.7309680672587</v>
      </c>
    </row>
    <row r="111" spans="1:14" ht="14.4" customHeight="1" x14ac:dyDescent="0.3">
      <c r="A111" s="661" t="s">
        <v>512</v>
      </c>
      <c r="B111" s="662" t="s">
        <v>1387</v>
      </c>
      <c r="C111" s="663" t="s">
        <v>517</v>
      </c>
      <c r="D111" s="664" t="s">
        <v>1388</v>
      </c>
      <c r="E111" s="663" t="s">
        <v>522</v>
      </c>
      <c r="F111" s="664" t="s">
        <v>1389</v>
      </c>
      <c r="G111" s="663" t="s">
        <v>561</v>
      </c>
      <c r="H111" s="663" t="s">
        <v>911</v>
      </c>
      <c r="I111" s="663" t="s">
        <v>911</v>
      </c>
      <c r="J111" s="663" t="s">
        <v>912</v>
      </c>
      <c r="K111" s="663" t="s">
        <v>913</v>
      </c>
      <c r="L111" s="665">
        <v>92</v>
      </c>
      <c r="M111" s="665">
        <v>2</v>
      </c>
      <c r="N111" s="666">
        <v>184</v>
      </c>
    </row>
    <row r="112" spans="1:14" ht="14.4" customHeight="1" x14ac:dyDescent="0.3">
      <c r="A112" s="661" t="s">
        <v>512</v>
      </c>
      <c r="B112" s="662" t="s">
        <v>1387</v>
      </c>
      <c r="C112" s="663" t="s">
        <v>517</v>
      </c>
      <c r="D112" s="664" t="s">
        <v>1388</v>
      </c>
      <c r="E112" s="663" t="s">
        <v>522</v>
      </c>
      <c r="F112" s="664" t="s">
        <v>1389</v>
      </c>
      <c r="G112" s="663" t="s">
        <v>561</v>
      </c>
      <c r="H112" s="663" t="s">
        <v>914</v>
      </c>
      <c r="I112" s="663" t="s">
        <v>915</v>
      </c>
      <c r="J112" s="663" t="s">
        <v>916</v>
      </c>
      <c r="K112" s="663" t="s">
        <v>917</v>
      </c>
      <c r="L112" s="665">
        <v>4503.1599999999989</v>
      </c>
      <c r="M112" s="665">
        <v>1</v>
      </c>
      <c r="N112" s="666">
        <v>4503.1599999999989</v>
      </c>
    </row>
    <row r="113" spans="1:14" ht="14.4" customHeight="1" x14ac:dyDescent="0.3">
      <c r="A113" s="661" t="s">
        <v>512</v>
      </c>
      <c r="B113" s="662" t="s">
        <v>1387</v>
      </c>
      <c r="C113" s="663" t="s">
        <v>517</v>
      </c>
      <c r="D113" s="664" t="s">
        <v>1388</v>
      </c>
      <c r="E113" s="663" t="s">
        <v>522</v>
      </c>
      <c r="F113" s="664" t="s">
        <v>1389</v>
      </c>
      <c r="G113" s="663" t="s">
        <v>561</v>
      </c>
      <c r="H113" s="663" t="s">
        <v>918</v>
      </c>
      <c r="I113" s="663" t="s">
        <v>919</v>
      </c>
      <c r="J113" s="663" t="s">
        <v>920</v>
      </c>
      <c r="K113" s="663" t="s">
        <v>921</v>
      </c>
      <c r="L113" s="665">
        <v>382.10801155469244</v>
      </c>
      <c r="M113" s="665">
        <v>29</v>
      </c>
      <c r="N113" s="666">
        <v>11081.13233508608</v>
      </c>
    </row>
    <row r="114" spans="1:14" ht="14.4" customHeight="1" x14ac:dyDescent="0.3">
      <c r="A114" s="661" t="s">
        <v>512</v>
      </c>
      <c r="B114" s="662" t="s">
        <v>1387</v>
      </c>
      <c r="C114" s="663" t="s">
        <v>517</v>
      </c>
      <c r="D114" s="664" t="s">
        <v>1388</v>
      </c>
      <c r="E114" s="663" t="s">
        <v>522</v>
      </c>
      <c r="F114" s="664" t="s">
        <v>1389</v>
      </c>
      <c r="G114" s="663" t="s">
        <v>561</v>
      </c>
      <c r="H114" s="663" t="s">
        <v>922</v>
      </c>
      <c r="I114" s="663" t="s">
        <v>748</v>
      </c>
      <c r="J114" s="663" t="s">
        <v>923</v>
      </c>
      <c r="K114" s="663"/>
      <c r="L114" s="665">
        <v>220.31599354063201</v>
      </c>
      <c r="M114" s="665">
        <v>3</v>
      </c>
      <c r="N114" s="666">
        <v>660.94798062189602</v>
      </c>
    </row>
    <row r="115" spans="1:14" ht="14.4" customHeight="1" x14ac:dyDescent="0.3">
      <c r="A115" s="661" t="s">
        <v>512</v>
      </c>
      <c r="B115" s="662" t="s">
        <v>1387</v>
      </c>
      <c r="C115" s="663" t="s">
        <v>517</v>
      </c>
      <c r="D115" s="664" t="s">
        <v>1388</v>
      </c>
      <c r="E115" s="663" t="s">
        <v>522</v>
      </c>
      <c r="F115" s="664" t="s">
        <v>1389</v>
      </c>
      <c r="G115" s="663" t="s">
        <v>561</v>
      </c>
      <c r="H115" s="663" t="s">
        <v>924</v>
      </c>
      <c r="I115" s="663" t="s">
        <v>925</v>
      </c>
      <c r="J115" s="663" t="s">
        <v>926</v>
      </c>
      <c r="K115" s="663" t="s">
        <v>927</v>
      </c>
      <c r="L115" s="665">
        <v>90.379999999999981</v>
      </c>
      <c r="M115" s="665">
        <v>3</v>
      </c>
      <c r="N115" s="666">
        <v>271.13999999999993</v>
      </c>
    </row>
    <row r="116" spans="1:14" ht="14.4" customHeight="1" x14ac:dyDescent="0.3">
      <c r="A116" s="661" t="s">
        <v>512</v>
      </c>
      <c r="B116" s="662" t="s">
        <v>1387</v>
      </c>
      <c r="C116" s="663" t="s">
        <v>517</v>
      </c>
      <c r="D116" s="664" t="s">
        <v>1388</v>
      </c>
      <c r="E116" s="663" t="s">
        <v>522</v>
      </c>
      <c r="F116" s="664" t="s">
        <v>1389</v>
      </c>
      <c r="G116" s="663" t="s">
        <v>561</v>
      </c>
      <c r="H116" s="663" t="s">
        <v>928</v>
      </c>
      <c r="I116" s="663" t="s">
        <v>748</v>
      </c>
      <c r="J116" s="663" t="s">
        <v>929</v>
      </c>
      <c r="K116" s="663"/>
      <c r="L116" s="665">
        <v>128</v>
      </c>
      <c r="M116" s="665">
        <v>1</v>
      </c>
      <c r="N116" s="666">
        <v>128</v>
      </c>
    </row>
    <row r="117" spans="1:14" ht="14.4" customHeight="1" x14ac:dyDescent="0.3">
      <c r="A117" s="661" t="s">
        <v>512</v>
      </c>
      <c r="B117" s="662" t="s">
        <v>1387</v>
      </c>
      <c r="C117" s="663" t="s">
        <v>517</v>
      </c>
      <c r="D117" s="664" t="s">
        <v>1388</v>
      </c>
      <c r="E117" s="663" t="s">
        <v>522</v>
      </c>
      <c r="F117" s="664" t="s">
        <v>1389</v>
      </c>
      <c r="G117" s="663" t="s">
        <v>561</v>
      </c>
      <c r="H117" s="663" t="s">
        <v>930</v>
      </c>
      <c r="I117" s="663" t="s">
        <v>931</v>
      </c>
      <c r="J117" s="663" t="s">
        <v>932</v>
      </c>
      <c r="K117" s="663" t="s">
        <v>933</v>
      </c>
      <c r="L117" s="665">
        <v>136.62000000000009</v>
      </c>
      <c r="M117" s="665">
        <v>1</v>
      </c>
      <c r="N117" s="666">
        <v>136.62000000000009</v>
      </c>
    </row>
    <row r="118" spans="1:14" ht="14.4" customHeight="1" x14ac:dyDescent="0.3">
      <c r="A118" s="661" t="s">
        <v>512</v>
      </c>
      <c r="B118" s="662" t="s">
        <v>1387</v>
      </c>
      <c r="C118" s="663" t="s">
        <v>517</v>
      </c>
      <c r="D118" s="664" t="s">
        <v>1388</v>
      </c>
      <c r="E118" s="663" t="s">
        <v>522</v>
      </c>
      <c r="F118" s="664" t="s">
        <v>1389</v>
      </c>
      <c r="G118" s="663" t="s">
        <v>561</v>
      </c>
      <c r="H118" s="663" t="s">
        <v>934</v>
      </c>
      <c r="I118" s="663" t="s">
        <v>935</v>
      </c>
      <c r="J118" s="663" t="s">
        <v>936</v>
      </c>
      <c r="K118" s="663" t="s">
        <v>937</v>
      </c>
      <c r="L118" s="665">
        <v>103.56999999999998</v>
      </c>
      <c r="M118" s="665">
        <v>80</v>
      </c>
      <c r="N118" s="666">
        <v>8285.5999999999985</v>
      </c>
    </row>
    <row r="119" spans="1:14" ht="14.4" customHeight="1" x14ac:dyDescent="0.3">
      <c r="A119" s="661" t="s">
        <v>512</v>
      </c>
      <c r="B119" s="662" t="s">
        <v>1387</v>
      </c>
      <c r="C119" s="663" t="s">
        <v>517</v>
      </c>
      <c r="D119" s="664" t="s">
        <v>1388</v>
      </c>
      <c r="E119" s="663" t="s">
        <v>522</v>
      </c>
      <c r="F119" s="664" t="s">
        <v>1389</v>
      </c>
      <c r="G119" s="663" t="s">
        <v>561</v>
      </c>
      <c r="H119" s="663" t="s">
        <v>938</v>
      </c>
      <c r="I119" s="663" t="s">
        <v>939</v>
      </c>
      <c r="J119" s="663" t="s">
        <v>940</v>
      </c>
      <c r="K119" s="663" t="s">
        <v>941</v>
      </c>
      <c r="L119" s="665">
        <v>275.31</v>
      </c>
      <c r="M119" s="665">
        <v>12</v>
      </c>
      <c r="N119" s="666">
        <v>3303.72</v>
      </c>
    </row>
    <row r="120" spans="1:14" ht="14.4" customHeight="1" x14ac:dyDescent="0.3">
      <c r="A120" s="661" t="s">
        <v>512</v>
      </c>
      <c r="B120" s="662" t="s">
        <v>1387</v>
      </c>
      <c r="C120" s="663" t="s">
        <v>517</v>
      </c>
      <c r="D120" s="664" t="s">
        <v>1388</v>
      </c>
      <c r="E120" s="663" t="s">
        <v>522</v>
      </c>
      <c r="F120" s="664" t="s">
        <v>1389</v>
      </c>
      <c r="G120" s="663" t="s">
        <v>561</v>
      </c>
      <c r="H120" s="663" t="s">
        <v>942</v>
      </c>
      <c r="I120" s="663" t="s">
        <v>943</v>
      </c>
      <c r="J120" s="663" t="s">
        <v>944</v>
      </c>
      <c r="K120" s="663" t="s">
        <v>945</v>
      </c>
      <c r="L120" s="665">
        <v>35.590000000000011</v>
      </c>
      <c r="M120" s="665">
        <v>5</v>
      </c>
      <c r="N120" s="666">
        <v>177.95000000000005</v>
      </c>
    </row>
    <row r="121" spans="1:14" ht="14.4" customHeight="1" x14ac:dyDescent="0.3">
      <c r="A121" s="661" t="s">
        <v>512</v>
      </c>
      <c r="B121" s="662" t="s">
        <v>1387</v>
      </c>
      <c r="C121" s="663" t="s">
        <v>517</v>
      </c>
      <c r="D121" s="664" t="s">
        <v>1388</v>
      </c>
      <c r="E121" s="663" t="s">
        <v>522</v>
      </c>
      <c r="F121" s="664" t="s">
        <v>1389</v>
      </c>
      <c r="G121" s="663" t="s">
        <v>561</v>
      </c>
      <c r="H121" s="663" t="s">
        <v>946</v>
      </c>
      <c r="I121" s="663" t="s">
        <v>748</v>
      </c>
      <c r="J121" s="663" t="s">
        <v>947</v>
      </c>
      <c r="K121" s="663"/>
      <c r="L121" s="665">
        <v>150.34685158841543</v>
      </c>
      <c r="M121" s="665">
        <v>3</v>
      </c>
      <c r="N121" s="666">
        <v>451.04055476524627</v>
      </c>
    </row>
    <row r="122" spans="1:14" ht="14.4" customHeight="1" x14ac:dyDescent="0.3">
      <c r="A122" s="661" t="s">
        <v>512</v>
      </c>
      <c r="B122" s="662" t="s">
        <v>1387</v>
      </c>
      <c r="C122" s="663" t="s">
        <v>517</v>
      </c>
      <c r="D122" s="664" t="s">
        <v>1388</v>
      </c>
      <c r="E122" s="663" t="s">
        <v>522</v>
      </c>
      <c r="F122" s="664" t="s">
        <v>1389</v>
      </c>
      <c r="G122" s="663" t="s">
        <v>561</v>
      </c>
      <c r="H122" s="663" t="s">
        <v>948</v>
      </c>
      <c r="I122" s="663" t="s">
        <v>949</v>
      </c>
      <c r="J122" s="663" t="s">
        <v>950</v>
      </c>
      <c r="K122" s="663" t="s">
        <v>951</v>
      </c>
      <c r="L122" s="665">
        <v>6050</v>
      </c>
      <c r="M122" s="665">
        <v>1</v>
      </c>
      <c r="N122" s="666">
        <v>6050</v>
      </c>
    </row>
    <row r="123" spans="1:14" ht="14.4" customHeight="1" x14ac:dyDescent="0.3">
      <c r="A123" s="661" t="s">
        <v>512</v>
      </c>
      <c r="B123" s="662" t="s">
        <v>1387</v>
      </c>
      <c r="C123" s="663" t="s">
        <v>517</v>
      </c>
      <c r="D123" s="664" t="s">
        <v>1388</v>
      </c>
      <c r="E123" s="663" t="s">
        <v>522</v>
      </c>
      <c r="F123" s="664" t="s">
        <v>1389</v>
      </c>
      <c r="G123" s="663" t="s">
        <v>561</v>
      </c>
      <c r="H123" s="663" t="s">
        <v>952</v>
      </c>
      <c r="I123" s="663" t="s">
        <v>952</v>
      </c>
      <c r="J123" s="663" t="s">
        <v>953</v>
      </c>
      <c r="K123" s="663" t="s">
        <v>567</v>
      </c>
      <c r="L123" s="665">
        <v>365.96999999999997</v>
      </c>
      <c r="M123" s="665">
        <v>1</v>
      </c>
      <c r="N123" s="666">
        <v>365.96999999999997</v>
      </c>
    </row>
    <row r="124" spans="1:14" ht="14.4" customHeight="1" x14ac:dyDescent="0.3">
      <c r="A124" s="661" t="s">
        <v>512</v>
      </c>
      <c r="B124" s="662" t="s">
        <v>1387</v>
      </c>
      <c r="C124" s="663" t="s">
        <v>517</v>
      </c>
      <c r="D124" s="664" t="s">
        <v>1388</v>
      </c>
      <c r="E124" s="663" t="s">
        <v>522</v>
      </c>
      <c r="F124" s="664" t="s">
        <v>1389</v>
      </c>
      <c r="G124" s="663" t="s">
        <v>561</v>
      </c>
      <c r="H124" s="663" t="s">
        <v>954</v>
      </c>
      <c r="I124" s="663" t="s">
        <v>955</v>
      </c>
      <c r="J124" s="663" t="s">
        <v>956</v>
      </c>
      <c r="K124" s="663" t="s">
        <v>917</v>
      </c>
      <c r="L124" s="665">
        <v>2799.9999999999995</v>
      </c>
      <c r="M124" s="665">
        <v>2</v>
      </c>
      <c r="N124" s="666">
        <v>5599.9999999999991</v>
      </c>
    </row>
    <row r="125" spans="1:14" ht="14.4" customHeight="1" x14ac:dyDescent="0.3">
      <c r="A125" s="661" t="s">
        <v>512</v>
      </c>
      <c r="B125" s="662" t="s">
        <v>1387</v>
      </c>
      <c r="C125" s="663" t="s">
        <v>517</v>
      </c>
      <c r="D125" s="664" t="s">
        <v>1388</v>
      </c>
      <c r="E125" s="663" t="s">
        <v>522</v>
      </c>
      <c r="F125" s="664" t="s">
        <v>1389</v>
      </c>
      <c r="G125" s="663" t="s">
        <v>561</v>
      </c>
      <c r="H125" s="663" t="s">
        <v>957</v>
      </c>
      <c r="I125" s="663" t="s">
        <v>958</v>
      </c>
      <c r="J125" s="663" t="s">
        <v>959</v>
      </c>
      <c r="K125" s="663" t="s">
        <v>960</v>
      </c>
      <c r="L125" s="665">
        <v>259.82571210053277</v>
      </c>
      <c r="M125" s="665">
        <v>3</v>
      </c>
      <c r="N125" s="666">
        <v>779.47713630159831</v>
      </c>
    </row>
    <row r="126" spans="1:14" ht="14.4" customHeight="1" x14ac:dyDescent="0.3">
      <c r="A126" s="661" t="s">
        <v>512</v>
      </c>
      <c r="B126" s="662" t="s">
        <v>1387</v>
      </c>
      <c r="C126" s="663" t="s">
        <v>517</v>
      </c>
      <c r="D126" s="664" t="s">
        <v>1388</v>
      </c>
      <c r="E126" s="663" t="s">
        <v>522</v>
      </c>
      <c r="F126" s="664" t="s">
        <v>1389</v>
      </c>
      <c r="G126" s="663" t="s">
        <v>561</v>
      </c>
      <c r="H126" s="663" t="s">
        <v>961</v>
      </c>
      <c r="I126" s="663" t="s">
        <v>962</v>
      </c>
      <c r="J126" s="663" t="s">
        <v>963</v>
      </c>
      <c r="K126" s="663" t="s">
        <v>964</v>
      </c>
      <c r="L126" s="665">
        <v>410.17</v>
      </c>
      <c r="M126" s="665">
        <v>1</v>
      </c>
      <c r="N126" s="666">
        <v>410.17</v>
      </c>
    </row>
    <row r="127" spans="1:14" ht="14.4" customHeight="1" x14ac:dyDescent="0.3">
      <c r="A127" s="661" t="s">
        <v>512</v>
      </c>
      <c r="B127" s="662" t="s">
        <v>1387</v>
      </c>
      <c r="C127" s="663" t="s">
        <v>517</v>
      </c>
      <c r="D127" s="664" t="s">
        <v>1388</v>
      </c>
      <c r="E127" s="663" t="s">
        <v>522</v>
      </c>
      <c r="F127" s="664" t="s">
        <v>1389</v>
      </c>
      <c r="G127" s="663" t="s">
        <v>561</v>
      </c>
      <c r="H127" s="663" t="s">
        <v>965</v>
      </c>
      <c r="I127" s="663" t="s">
        <v>966</v>
      </c>
      <c r="J127" s="663" t="s">
        <v>967</v>
      </c>
      <c r="K127" s="663" t="s">
        <v>968</v>
      </c>
      <c r="L127" s="665">
        <v>124.77007888847648</v>
      </c>
      <c r="M127" s="665">
        <v>15</v>
      </c>
      <c r="N127" s="666">
        <v>1871.5511833271471</v>
      </c>
    </row>
    <row r="128" spans="1:14" ht="14.4" customHeight="1" x14ac:dyDescent="0.3">
      <c r="A128" s="661" t="s">
        <v>512</v>
      </c>
      <c r="B128" s="662" t="s">
        <v>1387</v>
      </c>
      <c r="C128" s="663" t="s">
        <v>517</v>
      </c>
      <c r="D128" s="664" t="s">
        <v>1388</v>
      </c>
      <c r="E128" s="663" t="s">
        <v>522</v>
      </c>
      <c r="F128" s="664" t="s">
        <v>1389</v>
      </c>
      <c r="G128" s="663" t="s">
        <v>561</v>
      </c>
      <c r="H128" s="663" t="s">
        <v>969</v>
      </c>
      <c r="I128" s="663" t="s">
        <v>970</v>
      </c>
      <c r="J128" s="663" t="s">
        <v>971</v>
      </c>
      <c r="K128" s="663" t="s">
        <v>937</v>
      </c>
      <c r="L128" s="665">
        <v>80.37</v>
      </c>
      <c r="M128" s="665">
        <v>24</v>
      </c>
      <c r="N128" s="666">
        <v>1928.88</v>
      </c>
    </row>
    <row r="129" spans="1:14" ht="14.4" customHeight="1" x14ac:dyDescent="0.3">
      <c r="A129" s="661" t="s">
        <v>512</v>
      </c>
      <c r="B129" s="662" t="s">
        <v>1387</v>
      </c>
      <c r="C129" s="663" t="s">
        <v>517</v>
      </c>
      <c r="D129" s="664" t="s">
        <v>1388</v>
      </c>
      <c r="E129" s="663" t="s">
        <v>522</v>
      </c>
      <c r="F129" s="664" t="s">
        <v>1389</v>
      </c>
      <c r="G129" s="663" t="s">
        <v>561</v>
      </c>
      <c r="H129" s="663" t="s">
        <v>972</v>
      </c>
      <c r="I129" s="663" t="s">
        <v>748</v>
      </c>
      <c r="J129" s="663" t="s">
        <v>973</v>
      </c>
      <c r="K129" s="663" t="s">
        <v>974</v>
      </c>
      <c r="L129" s="665">
        <v>1784.8500000000001</v>
      </c>
      <c r="M129" s="665">
        <v>7</v>
      </c>
      <c r="N129" s="666">
        <v>12493.95</v>
      </c>
    </row>
    <row r="130" spans="1:14" ht="14.4" customHeight="1" x14ac:dyDescent="0.3">
      <c r="A130" s="661" t="s">
        <v>512</v>
      </c>
      <c r="B130" s="662" t="s">
        <v>1387</v>
      </c>
      <c r="C130" s="663" t="s">
        <v>517</v>
      </c>
      <c r="D130" s="664" t="s">
        <v>1388</v>
      </c>
      <c r="E130" s="663" t="s">
        <v>522</v>
      </c>
      <c r="F130" s="664" t="s">
        <v>1389</v>
      </c>
      <c r="G130" s="663" t="s">
        <v>561</v>
      </c>
      <c r="H130" s="663" t="s">
        <v>975</v>
      </c>
      <c r="I130" s="663" t="s">
        <v>748</v>
      </c>
      <c r="J130" s="663" t="s">
        <v>976</v>
      </c>
      <c r="K130" s="663"/>
      <c r="L130" s="665">
        <v>339.84000000000003</v>
      </c>
      <c r="M130" s="665">
        <v>1</v>
      </c>
      <c r="N130" s="666">
        <v>339.84000000000003</v>
      </c>
    </row>
    <row r="131" spans="1:14" ht="14.4" customHeight="1" x14ac:dyDescent="0.3">
      <c r="A131" s="661" t="s">
        <v>512</v>
      </c>
      <c r="B131" s="662" t="s">
        <v>1387</v>
      </c>
      <c r="C131" s="663" t="s">
        <v>517</v>
      </c>
      <c r="D131" s="664" t="s">
        <v>1388</v>
      </c>
      <c r="E131" s="663" t="s">
        <v>522</v>
      </c>
      <c r="F131" s="664" t="s">
        <v>1389</v>
      </c>
      <c r="G131" s="663" t="s">
        <v>561</v>
      </c>
      <c r="H131" s="663" t="s">
        <v>977</v>
      </c>
      <c r="I131" s="663" t="s">
        <v>977</v>
      </c>
      <c r="J131" s="663" t="s">
        <v>978</v>
      </c>
      <c r="K131" s="663" t="s">
        <v>979</v>
      </c>
      <c r="L131" s="665">
        <v>841.5</v>
      </c>
      <c r="M131" s="665">
        <v>21</v>
      </c>
      <c r="N131" s="666">
        <v>17671.5</v>
      </c>
    </row>
    <row r="132" spans="1:14" ht="14.4" customHeight="1" x14ac:dyDescent="0.3">
      <c r="A132" s="661" t="s">
        <v>512</v>
      </c>
      <c r="B132" s="662" t="s">
        <v>1387</v>
      </c>
      <c r="C132" s="663" t="s">
        <v>517</v>
      </c>
      <c r="D132" s="664" t="s">
        <v>1388</v>
      </c>
      <c r="E132" s="663" t="s">
        <v>522</v>
      </c>
      <c r="F132" s="664" t="s">
        <v>1389</v>
      </c>
      <c r="G132" s="663" t="s">
        <v>561</v>
      </c>
      <c r="H132" s="663" t="s">
        <v>980</v>
      </c>
      <c r="I132" s="663" t="s">
        <v>981</v>
      </c>
      <c r="J132" s="663" t="s">
        <v>982</v>
      </c>
      <c r="K132" s="663" t="s">
        <v>983</v>
      </c>
      <c r="L132" s="665">
        <v>84.380000000000052</v>
      </c>
      <c r="M132" s="665">
        <v>2</v>
      </c>
      <c r="N132" s="666">
        <v>168.7600000000001</v>
      </c>
    </row>
    <row r="133" spans="1:14" ht="14.4" customHeight="1" x14ac:dyDescent="0.3">
      <c r="A133" s="661" t="s">
        <v>512</v>
      </c>
      <c r="B133" s="662" t="s">
        <v>1387</v>
      </c>
      <c r="C133" s="663" t="s">
        <v>517</v>
      </c>
      <c r="D133" s="664" t="s">
        <v>1388</v>
      </c>
      <c r="E133" s="663" t="s">
        <v>522</v>
      </c>
      <c r="F133" s="664" t="s">
        <v>1389</v>
      </c>
      <c r="G133" s="663" t="s">
        <v>561</v>
      </c>
      <c r="H133" s="663" t="s">
        <v>984</v>
      </c>
      <c r="I133" s="663" t="s">
        <v>748</v>
      </c>
      <c r="J133" s="663" t="s">
        <v>985</v>
      </c>
      <c r="K133" s="663" t="s">
        <v>986</v>
      </c>
      <c r="L133" s="665">
        <v>224.26889048576007</v>
      </c>
      <c r="M133" s="665">
        <v>3</v>
      </c>
      <c r="N133" s="666">
        <v>672.80667145728023</v>
      </c>
    </row>
    <row r="134" spans="1:14" ht="14.4" customHeight="1" x14ac:dyDescent="0.3">
      <c r="A134" s="661" t="s">
        <v>512</v>
      </c>
      <c r="B134" s="662" t="s">
        <v>1387</v>
      </c>
      <c r="C134" s="663" t="s">
        <v>517</v>
      </c>
      <c r="D134" s="664" t="s">
        <v>1388</v>
      </c>
      <c r="E134" s="663" t="s">
        <v>522</v>
      </c>
      <c r="F134" s="664" t="s">
        <v>1389</v>
      </c>
      <c r="G134" s="663" t="s">
        <v>561</v>
      </c>
      <c r="H134" s="663" t="s">
        <v>987</v>
      </c>
      <c r="I134" s="663" t="s">
        <v>748</v>
      </c>
      <c r="J134" s="663" t="s">
        <v>988</v>
      </c>
      <c r="K134" s="663"/>
      <c r="L134" s="665">
        <v>91.3</v>
      </c>
      <c r="M134" s="665">
        <v>5</v>
      </c>
      <c r="N134" s="666">
        <v>456.5</v>
      </c>
    </row>
    <row r="135" spans="1:14" ht="14.4" customHeight="1" x14ac:dyDescent="0.3">
      <c r="A135" s="661" t="s">
        <v>512</v>
      </c>
      <c r="B135" s="662" t="s">
        <v>1387</v>
      </c>
      <c r="C135" s="663" t="s">
        <v>517</v>
      </c>
      <c r="D135" s="664" t="s">
        <v>1388</v>
      </c>
      <c r="E135" s="663" t="s">
        <v>522</v>
      </c>
      <c r="F135" s="664" t="s">
        <v>1389</v>
      </c>
      <c r="G135" s="663" t="s">
        <v>561</v>
      </c>
      <c r="H135" s="663" t="s">
        <v>989</v>
      </c>
      <c r="I135" s="663" t="s">
        <v>990</v>
      </c>
      <c r="J135" s="663" t="s">
        <v>991</v>
      </c>
      <c r="K135" s="663" t="s">
        <v>992</v>
      </c>
      <c r="L135" s="665">
        <v>224.81000000000023</v>
      </c>
      <c r="M135" s="665">
        <v>1</v>
      </c>
      <c r="N135" s="666">
        <v>224.81000000000023</v>
      </c>
    </row>
    <row r="136" spans="1:14" ht="14.4" customHeight="1" x14ac:dyDescent="0.3">
      <c r="A136" s="661" t="s">
        <v>512</v>
      </c>
      <c r="B136" s="662" t="s">
        <v>1387</v>
      </c>
      <c r="C136" s="663" t="s">
        <v>517</v>
      </c>
      <c r="D136" s="664" t="s">
        <v>1388</v>
      </c>
      <c r="E136" s="663" t="s">
        <v>522</v>
      </c>
      <c r="F136" s="664" t="s">
        <v>1389</v>
      </c>
      <c r="G136" s="663" t="s">
        <v>561</v>
      </c>
      <c r="H136" s="663" t="s">
        <v>993</v>
      </c>
      <c r="I136" s="663" t="s">
        <v>748</v>
      </c>
      <c r="J136" s="663" t="s">
        <v>994</v>
      </c>
      <c r="K136" s="663"/>
      <c r="L136" s="665">
        <v>55.168694707568804</v>
      </c>
      <c r="M136" s="665">
        <v>38</v>
      </c>
      <c r="N136" s="666">
        <v>2096.4103988876145</v>
      </c>
    </row>
    <row r="137" spans="1:14" ht="14.4" customHeight="1" x14ac:dyDescent="0.3">
      <c r="A137" s="661" t="s">
        <v>512</v>
      </c>
      <c r="B137" s="662" t="s">
        <v>1387</v>
      </c>
      <c r="C137" s="663" t="s">
        <v>517</v>
      </c>
      <c r="D137" s="664" t="s">
        <v>1388</v>
      </c>
      <c r="E137" s="663" t="s">
        <v>522</v>
      </c>
      <c r="F137" s="664" t="s">
        <v>1389</v>
      </c>
      <c r="G137" s="663" t="s">
        <v>561</v>
      </c>
      <c r="H137" s="663" t="s">
        <v>995</v>
      </c>
      <c r="I137" s="663" t="s">
        <v>995</v>
      </c>
      <c r="J137" s="663" t="s">
        <v>996</v>
      </c>
      <c r="K137" s="663" t="s">
        <v>997</v>
      </c>
      <c r="L137" s="665">
        <v>95.09650000000002</v>
      </c>
      <c r="M137" s="665">
        <v>2</v>
      </c>
      <c r="N137" s="666">
        <v>190.19300000000004</v>
      </c>
    </row>
    <row r="138" spans="1:14" ht="14.4" customHeight="1" x14ac:dyDescent="0.3">
      <c r="A138" s="661" t="s">
        <v>512</v>
      </c>
      <c r="B138" s="662" t="s">
        <v>1387</v>
      </c>
      <c r="C138" s="663" t="s">
        <v>517</v>
      </c>
      <c r="D138" s="664" t="s">
        <v>1388</v>
      </c>
      <c r="E138" s="663" t="s">
        <v>522</v>
      </c>
      <c r="F138" s="664" t="s">
        <v>1389</v>
      </c>
      <c r="G138" s="663" t="s">
        <v>561</v>
      </c>
      <c r="H138" s="663" t="s">
        <v>998</v>
      </c>
      <c r="I138" s="663" t="s">
        <v>998</v>
      </c>
      <c r="J138" s="663" t="s">
        <v>999</v>
      </c>
      <c r="K138" s="663" t="s">
        <v>1000</v>
      </c>
      <c r="L138" s="665">
        <v>145.86000000000001</v>
      </c>
      <c r="M138" s="665">
        <v>1</v>
      </c>
      <c r="N138" s="666">
        <v>145.86000000000001</v>
      </c>
    </row>
    <row r="139" spans="1:14" ht="14.4" customHeight="1" x14ac:dyDescent="0.3">
      <c r="A139" s="661" t="s">
        <v>512</v>
      </c>
      <c r="B139" s="662" t="s">
        <v>1387</v>
      </c>
      <c r="C139" s="663" t="s">
        <v>517</v>
      </c>
      <c r="D139" s="664" t="s">
        <v>1388</v>
      </c>
      <c r="E139" s="663" t="s">
        <v>522</v>
      </c>
      <c r="F139" s="664" t="s">
        <v>1389</v>
      </c>
      <c r="G139" s="663" t="s">
        <v>561</v>
      </c>
      <c r="H139" s="663" t="s">
        <v>1001</v>
      </c>
      <c r="I139" s="663" t="s">
        <v>1001</v>
      </c>
      <c r="J139" s="663" t="s">
        <v>1002</v>
      </c>
      <c r="K139" s="663" t="s">
        <v>1003</v>
      </c>
      <c r="L139" s="665">
        <v>151.14975217333131</v>
      </c>
      <c r="M139" s="665">
        <v>1</v>
      </c>
      <c r="N139" s="666">
        <v>151.14975217333131</v>
      </c>
    </row>
    <row r="140" spans="1:14" ht="14.4" customHeight="1" x14ac:dyDescent="0.3">
      <c r="A140" s="661" t="s">
        <v>512</v>
      </c>
      <c r="B140" s="662" t="s">
        <v>1387</v>
      </c>
      <c r="C140" s="663" t="s">
        <v>517</v>
      </c>
      <c r="D140" s="664" t="s">
        <v>1388</v>
      </c>
      <c r="E140" s="663" t="s">
        <v>522</v>
      </c>
      <c r="F140" s="664" t="s">
        <v>1389</v>
      </c>
      <c r="G140" s="663" t="s">
        <v>561</v>
      </c>
      <c r="H140" s="663" t="s">
        <v>1004</v>
      </c>
      <c r="I140" s="663" t="s">
        <v>1004</v>
      </c>
      <c r="J140" s="663" t="s">
        <v>1005</v>
      </c>
      <c r="K140" s="663" t="s">
        <v>1006</v>
      </c>
      <c r="L140" s="665">
        <v>431.69010235443153</v>
      </c>
      <c r="M140" s="665">
        <v>4</v>
      </c>
      <c r="N140" s="666">
        <v>1726.7604094177261</v>
      </c>
    </row>
    <row r="141" spans="1:14" ht="14.4" customHeight="1" x14ac:dyDescent="0.3">
      <c r="A141" s="661" t="s">
        <v>512</v>
      </c>
      <c r="B141" s="662" t="s">
        <v>1387</v>
      </c>
      <c r="C141" s="663" t="s">
        <v>517</v>
      </c>
      <c r="D141" s="664" t="s">
        <v>1388</v>
      </c>
      <c r="E141" s="663" t="s">
        <v>522</v>
      </c>
      <c r="F141" s="664" t="s">
        <v>1389</v>
      </c>
      <c r="G141" s="663" t="s">
        <v>561</v>
      </c>
      <c r="H141" s="663" t="s">
        <v>1007</v>
      </c>
      <c r="I141" s="663" t="s">
        <v>1007</v>
      </c>
      <c r="J141" s="663" t="s">
        <v>1008</v>
      </c>
      <c r="K141" s="663" t="s">
        <v>1009</v>
      </c>
      <c r="L141" s="665">
        <v>431.69010235443136</v>
      </c>
      <c r="M141" s="665">
        <v>4</v>
      </c>
      <c r="N141" s="666">
        <v>1726.7604094177254</v>
      </c>
    </row>
    <row r="142" spans="1:14" ht="14.4" customHeight="1" x14ac:dyDescent="0.3">
      <c r="A142" s="661" t="s">
        <v>512</v>
      </c>
      <c r="B142" s="662" t="s">
        <v>1387</v>
      </c>
      <c r="C142" s="663" t="s">
        <v>517</v>
      </c>
      <c r="D142" s="664" t="s">
        <v>1388</v>
      </c>
      <c r="E142" s="663" t="s">
        <v>522</v>
      </c>
      <c r="F142" s="664" t="s">
        <v>1389</v>
      </c>
      <c r="G142" s="663" t="s">
        <v>561</v>
      </c>
      <c r="H142" s="663" t="s">
        <v>1010</v>
      </c>
      <c r="I142" s="663" t="s">
        <v>1010</v>
      </c>
      <c r="J142" s="663" t="s">
        <v>1011</v>
      </c>
      <c r="K142" s="663" t="s">
        <v>1012</v>
      </c>
      <c r="L142" s="665">
        <v>175.03020000000001</v>
      </c>
      <c r="M142" s="665">
        <v>3</v>
      </c>
      <c r="N142" s="666">
        <v>525.09059999999999</v>
      </c>
    </row>
    <row r="143" spans="1:14" ht="14.4" customHeight="1" x14ac:dyDescent="0.3">
      <c r="A143" s="661" t="s">
        <v>512</v>
      </c>
      <c r="B143" s="662" t="s">
        <v>1387</v>
      </c>
      <c r="C143" s="663" t="s">
        <v>517</v>
      </c>
      <c r="D143" s="664" t="s">
        <v>1388</v>
      </c>
      <c r="E143" s="663" t="s">
        <v>522</v>
      </c>
      <c r="F143" s="664" t="s">
        <v>1389</v>
      </c>
      <c r="G143" s="663" t="s">
        <v>561</v>
      </c>
      <c r="H143" s="663" t="s">
        <v>1013</v>
      </c>
      <c r="I143" s="663" t="s">
        <v>1013</v>
      </c>
      <c r="J143" s="663" t="s">
        <v>1014</v>
      </c>
      <c r="K143" s="663" t="s">
        <v>1015</v>
      </c>
      <c r="L143" s="665">
        <v>2687.2599999999998</v>
      </c>
      <c r="M143" s="665">
        <v>4</v>
      </c>
      <c r="N143" s="666">
        <v>10749.039999999999</v>
      </c>
    </row>
    <row r="144" spans="1:14" ht="14.4" customHeight="1" x14ac:dyDescent="0.3">
      <c r="A144" s="661" t="s">
        <v>512</v>
      </c>
      <c r="B144" s="662" t="s">
        <v>1387</v>
      </c>
      <c r="C144" s="663" t="s">
        <v>517</v>
      </c>
      <c r="D144" s="664" t="s">
        <v>1388</v>
      </c>
      <c r="E144" s="663" t="s">
        <v>522</v>
      </c>
      <c r="F144" s="664" t="s">
        <v>1389</v>
      </c>
      <c r="G144" s="663" t="s">
        <v>561</v>
      </c>
      <c r="H144" s="663" t="s">
        <v>1016</v>
      </c>
      <c r="I144" s="663" t="s">
        <v>1017</v>
      </c>
      <c r="J144" s="663" t="s">
        <v>1018</v>
      </c>
      <c r="K144" s="663"/>
      <c r="L144" s="665">
        <v>163.56996638621888</v>
      </c>
      <c r="M144" s="665">
        <v>2</v>
      </c>
      <c r="N144" s="666">
        <v>327.13993277243776</v>
      </c>
    </row>
    <row r="145" spans="1:14" ht="14.4" customHeight="1" x14ac:dyDescent="0.3">
      <c r="A145" s="661" t="s">
        <v>512</v>
      </c>
      <c r="B145" s="662" t="s">
        <v>1387</v>
      </c>
      <c r="C145" s="663" t="s">
        <v>517</v>
      </c>
      <c r="D145" s="664" t="s">
        <v>1388</v>
      </c>
      <c r="E145" s="663" t="s">
        <v>522</v>
      </c>
      <c r="F145" s="664" t="s">
        <v>1389</v>
      </c>
      <c r="G145" s="663" t="s">
        <v>561</v>
      </c>
      <c r="H145" s="663" t="s">
        <v>1019</v>
      </c>
      <c r="I145" s="663" t="s">
        <v>1019</v>
      </c>
      <c r="J145" s="663" t="s">
        <v>1020</v>
      </c>
      <c r="K145" s="663" t="s">
        <v>1021</v>
      </c>
      <c r="L145" s="665">
        <v>1063.2400000000002</v>
      </c>
      <c r="M145" s="665">
        <v>3</v>
      </c>
      <c r="N145" s="666">
        <v>3189.7200000000007</v>
      </c>
    </row>
    <row r="146" spans="1:14" ht="14.4" customHeight="1" x14ac:dyDescent="0.3">
      <c r="A146" s="661" t="s">
        <v>512</v>
      </c>
      <c r="B146" s="662" t="s">
        <v>1387</v>
      </c>
      <c r="C146" s="663" t="s">
        <v>517</v>
      </c>
      <c r="D146" s="664" t="s">
        <v>1388</v>
      </c>
      <c r="E146" s="663" t="s">
        <v>522</v>
      </c>
      <c r="F146" s="664" t="s">
        <v>1389</v>
      </c>
      <c r="G146" s="663" t="s">
        <v>561</v>
      </c>
      <c r="H146" s="663" t="s">
        <v>1022</v>
      </c>
      <c r="I146" s="663" t="s">
        <v>1022</v>
      </c>
      <c r="J146" s="663" t="s">
        <v>1023</v>
      </c>
      <c r="K146" s="663" t="s">
        <v>1024</v>
      </c>
      <c r="L146" s="665">
        <v>197.29</v>
      </c>
      <c r="M146" s="665">
        <v>1</v>
      </c>
      <c r="N146" s="666">
        <v>197.29</v>
      </c>
    </row>
    <row r="147" spans="1:14" ht="14.4" customHeight="1" x14ac:dyDescent="0.3">
      <c r="A147" s="661" t="s">
        <v>512</v>
      </c>
      <c r="B147" s="662" t="s">
        <v>1387</v>
      </c>
      <c r="C147" s="663" t="s">
        <v>517</v>
      </c>
      <c r="D147" s="664" t="s">
        <v>1388</v>
      </c>
      <c r="E147" s="663" t="s">
        <v>522</v>
      </c>
      <c r="F147" s="664" t="s">
        <v>1389</v>
      </c>
      <c r="G147" s="663" t="s">
        <v>561</v>
      </c>
      <c r="H147" s="663" t="s">
        <v>1025</v>
      </c>
      <c r="I147" s="663" t="s">
        <v>1025</v>
      </c>
      <c r="J147" s="663" t="s">
        <v>1026</v>
      </c>
      <c r="K147" s="663" t="s">
        <v>1027</v>
      </c>
      <c r="L147" s="665">
        <v>793.32000000000028</v>
      </c>
      <c r="M147" s="665">
        <v>12</v>
      </c>
      <c r="N147" s="666">
        <v>9519.8400000000038</v>
      </c>
    </row>
    <row r="148" spans="1:14" ht="14.4" customHeight="1" x14ac:dyDescent="0.3">
      <c r="A148" s="661" t="s">
        <v>512</v>
      </c>
      <c r="B148" s="662" t="s">
        <v>1387</v>
      </c>
      <c r="C148" s="663" t="s">
        <v>517</v>
      </c>
      <c r="D148" s="664" t="s">
        <v>1388</v>
      </c>
      <c r="E148" s="663" t="s">
        <v>522</v>
      </c>
      <c r="F148" s="664" t="s">
        <v>1389</v>
      </c>
      <c r="G148" s="663" t="s">
        <v>561</v>
      </c>
      <c r="H148" s="663" t="s">
        <v>1028</v>
      </c>
      <c r="I148" s="663" t="s">
        <v>748</v>
      </c>
      <c r="J148" s="663" t="s">
        <v>1029</v>
      </c>
      <c r="K148" s="663"/>
      <c r="L148" s="665">
        <v>56.91</v>
      </c>
      <c r="M148" s="665">
        <v>6</v>
      </c>
      <c r="N148" s="666">
        <v>341.46</v>
      </c>
    </row>
    <row r="149" spans="1:14" ht="14.4" customHeight="1" x14ac:dyDescent="0.3">
      <c r="A149" s="661" t="s">
        <v>512</v>
      </c>
      <c r="B149" s="662" t="s">
        <v>1387</v>
      </c>
      <c r="C149" s="663" t="s">
        <v>517</v>
      </c>
      <c r="D149" s="664" t="s">
        <v>1388</v>
      </c>
      <c r="E149" s="663" t="s">
        <v>522</v>
      </c>
      <c r="F149" s="664" t="s">
        <v>1389</v>
      </c>
      <c r="G149" s="663" t="s">
        <v>561</v>
      </c>
      <c r="H149" s="663" t="s">
        <v>1030</v>
      </c>
      <c r="I149" s="663" t="s">
        <v>748</v>
      </c>
      <c r="J149" s="663" t="s">
        <v>1031</v>
      </c>
      <c r="K149" s="663"/>
      <c r="L149" s="665">
        <v>349.20799999999997</v>
      </c>
      <c r="M149" s="665">
        <v>2</v>
      </c>
      <c r="N149" s="666">
        <v>698.41599999999994</v>
      </c>
    </row>
    <row r="150" spans="1:14" ht="14.4" customHeight="1" x14ac:dyDescent="0.3">
      <c r="A150" s="661" t="s">
        <v>512</v>
      </c>
      <c r="B150" s="662" t="s">
        <v>1387</v>
      </c>
      <c r="C150" s="663" t="s">
        <v>517</v>
      </c>
      <c r="D150" s="664" t="s">
        <v>1388</v>
      </c>
      <c r="E150" s="663" t="s">
        <v>522</v>
      </c>
      <c r="F150" s="664" t="s">
        <v>1389</v>
      </c>
      <c r="G150" s="663" t="s">
        <v>561</v>
      </c>
      <c r="H150" s="663" t="s">
        <v>1032</v>
      </c>
      <c r="I150" s="663" t="s">
        <v>1032</v>
      </c>
      <c r="J150" s="663" t="s">
        <v>1033</v>
      </c>
      <c r="K150" s="663" t="s">
        <v>1034</v>
      </c>
      <c r="L150" s="665">
        <v>264.99</v>
      </c>
      <c r="M150" s="665">
        <v>74</v>
      </c>
      <c r="N150" s="666">
        <v>19609.260000000002</v>
      </c>
    </row>
    <row r="151" spans="1:14" ht="14.4" customHeight="1" x14ac:dyDescent="0.3">
      <c r="A151" s="661" t="s">
        <v>512</v>
      </c>
      <c r="B151" s="662" t="s">
        <v>1387</v>
      </c>
      <c r="C151" s="663" t="s">
        <v>517</v>
      </c>
      <c r="D151" s="664" t="s">
        <v>1388</v>
      </c>
      <c r="E151" s="663" t="s">
        <v>522</v>
      </c>
      <c r="F151" s="664" t="s">
        <v>1389</v>
      </c>
      <c r="G151" s="663" t="s">
        <v>561</v>
      </c>
      <c r="H151" s="663" t="s">
        <v>1035</v>
      </c>
      <c r="I151" s="663" t="s">
        <v>1035</v>
      </c>
      <c r="J151" s="663" t="s">
        <v>1036</v>
      </c>
      <c r="K151" s="663" t="s">
        <v>1037</v>
      </c>
      <c r="L151" s="665">
        <v>220.29988208321453</v>
      </c>
      <c r="M151" s="665">
        <v>10</v>
      </c>
      <c r="N151" s="666">
        <v>2202.9988208321452</v>
      </c>
    </row>
    <row r="152" spans="1:14" ht="14.4" customHeight="1" x14ac:dyDescent="0.3">
      <c r="A152" s="661" t="s">
        <v>512</v>
      </c>
      <c r="B152" s="662" t="s">
        <v>1387</v>
      </c>
      <c r="C152" s="663" t="s">
        <v>517</v>
      </c>
      <c r="D152" s="664" t="s">
        <v>1388</v>
      </c>
      <c r="E152" s="663" t="s">
        <v>522</v>
      </c>
      <c r="F152" s="664" t="s">
        <v>1389</v>
      </c>
      <c r="G152" s="663" t="s">
        <v>561</v>
      </c>
      <c r="H152" s="663" t="s">
        <v>1038</v>
      </c>
      <c r="I152" s="663" t="s">
        <v>1038</v>
      </c>
      <c r="J152" s="663" t="s">
        <v>1039</v>
      </c>
      <c r="K152" s="663" t="s">
        <v>1040</v>
      </c>
      <c r="L152" s="665">
        <v>47.61</v>
      </c>
      <c r="M152" s="665">
        <v>10</v>
      </c>
      <c r="N152" s="666">
        <v>476.1</v>
      </c>
    </row>
    <row r="153" spans="1:14" ht="14.4" customHeight="1" x14ac:dyDescent="0.3">
      <c r="A153" s="661" t="s">
        <v>512</v>
      </c>
      <c r="B153" s="662" t="s">
        <v>1387</v>
      </c>
      <c r="C153" s="663" t="s">
        <v>517</v>
      </c>
      <c r="D153" s="664" t="s">
        <v>1388</v>
      </c>
      <c r="E153" s="663" t="s">
        <v>522</v>
      </c>
      <c r="F153" s="664" t="s">
        <v>1389</v>
      </c>
      <c r="G153" s="663" t="s">
        <v>561</v>
      </c>
      <c r="H153" s="663" t="s">
        <v>1041</v>
      </c>
      <c r="I153" s="663" t="s">
        <v>1041</v>
      </c>
      <c r="J153" s="663" t="s">
        <v>1042</v>
      </c>
      <c r="K153" s="663" t="s">
        <v>1043</v>
      </c>
      <c r="L153" s="665">
        <v>1360.49</v>
      </c>
      <c r="M153" s="665">
        <v>9</v>
      </c>
      <c r="N153" s="666">
        <v>12244.41</v>
      </c>
    </row>
    <row r="154" spans="1:14" ht="14.4" customHeight="1" x14ac:dyDescent="0.3">
      <c r="A154" s="661" t="s">
        <v>512</v>
      </c>
      <c r="B154" s="662" t="s">
        <v>1387</v>
      </c>
      <c r="C154" s="663" t="s">
        <v>517</v>
      </c>
      <c r="D154" s="664" t="s">
        <v>1388</v>
      </c>
      <c r="E154" s="663" t="s">
        <v>522</v>
      </c>
      <c r="F154" s="664" t="s">
        <v>1389</v>
      </c>
      <c r="G154" s="663" t="s">
        <v>561</v>
      </c>
      <c r="H154" s="663" t="s">
        <v>1044</v>
      </c>
      <c r="I154" s="663" t="s">
        <v>1044</v>
      </c>
      <c r="J154" s="663" t="s">
        <v>1045</v>
      </c>
      <c r="K154" s="663" t="s">
        <v>1046</v>
      </c>
      <c r="L154" s="665">
        <v>622.47001436020912</v>
      </c>
      <c r="M154" s="665">
        <v>120</v>
      </c>
      <c r="N154" s="666">
        <v>74696.401723225092</v>
      </c>
    </row>
    <row r="155" spans="1:14" ht="14.4" customHeight="1" x14ac:dyDescent="0.3">
      <c r="A155" s="661" t="s">
        <v>512</v>
      </c>
      <c r="B155" s="662" t="s">
        <v>1387</v>
      </c>
      <c r="C155" s="663" t="s">
        <v>517</v>
      </c>
      <c r="D155" s="664" t="s">
        <v>1388</v>
      </c>
      <c r="E155" s="663" t="s">
        <v>522</v>
      </c>
      <c r="F155" s="664" t="s">
        <v>1389</v>
      </c>
      <c r="G155" s="663" t="s">
        <v>561</v>
      </c>
      <c r="H155" s="663" t="s">
        <v>1047</v>
      </c>
      <c r="I155" s="663" t="s">
        <v>1047</v>
      </c>
      <c r="J155" s="663" t="s">
        <v>1048</v>
      </c>
      <c r="K155" s="663" t="s">
        <v>1049</v>
      </c>
      <c r="L155" s="665">
        <v>292.4199999999999</v>
      </c>
      <c r="M155" s="665">
        <v>1</v>
      </c>
      <c r="N155" s="666">
        <v>292.4199999999999</v>
      </c>
    </row>
    <row r="156" spans="1:14" ht="14.4" customHeight="1" x14ac:dyDescent="0.3">
      <c r="A156" s="661" t="s">
        <v>512</v>
      </c>
      <c r="B156" s="662" t="s">
        <v>1387</v>
      </c>
      <c r="C156" s="663" t="s">
        <v>517</v>
      </c>
      <c r="D156" s="664" t="s">
        <v>1388</v>
      </c>
      <c r="E156" s="663" t="s">
        <v>522</v>
      </c>
      <c r="F156" s="664" t="s">
        <v>1389</v>
      </c>
      <c r="G156" s="663" t="s">
        <v>561</v>
      </c>
      <c r="H156" s="663" t="s">
        <v>1050</v>
      </c>
      <c r="I156" s="663" t="s">
        <v>1050</v>
      </c>
      <c r="J156" s="663" t="s">
        <v>1051</v>
      </c>
      <c r="K156" s="663" t="s">
        <v>1052</v>
      </c>
      <c r="L156" s="665">
        <v>19.25</v>
      </c>
      <c r="M156" s="665">
        <v>30</v>
      </c>
      <c r="N156" s="666">
        <v>577.5</v>
      </c>
    </row>
    <row r="157" spans="1:14" ht="14.4" customHeight="1" x14ac:dyDescent="0.3">
      <c r="A157" s="661" t="s">
        <v>512</v>
      </c>
      <c r="B157" s="662" t="s">
        <v>1387</v>
      </c>
      <c r="C157" s="663" t="s">
        <v>517</v>
      </c>
      <c r="D157" s="664" t="s">
        <v>1388</v>
      </c>
      <c r="E157" s="663" t="s">
        <v>522</v>
      </c>
      <c r="F157" s="664" t="s">
        <v>1389</v>
      </c>
      <c r="G157" s="663" t="s">
        <v>1053</v>
      </c>
      <c r="H157" s="663" t="s">
        <v>1054</v>
      </c>
      <c r="I157" s="663" t="s">
        <v>1055</v>
      </c>
      <c r="J157" s="663" t="s">
        <v>1056</v>
      </c>
      <c r="K157" s="663" t="s">
        <v>1057</v>
      </c>
      <c r="L157" s="665">
        <v>56.880031465071163</v>
      </c>
      <c r="M157" s="665">
        <v>75</v>
      </c>
      <c r="N157" s="666">
        <v>4266.0023598803373</v>
      </c>
    </row>
    <row r="158" spans="1:14" ht="14.4" customHeight="1" x14ac:dyDescent="0.3">
      <c r="A158" s="661" t="s">
        <v>512</v>
      </c>
      <c r="B158" s="662" t="s">
        <v>1387</v>
      </c>
      <c r="C158" s="663" t="s">
        <v>517</v>
      </c>
      <c r="D158" s="664" t="s">
        <v>1388</v>
      </c>
      <c r="E158" s="663" t="s">
        <v>522</v>
      </c>
      <c r="F158" s="664" t="s">
        <v>1389</v>
      </c>
      <c r="G158" s="663" t="s">
        <v>1053</v>
      </c>
      <c r="H158" s="663" t="s">
        <v>1058</v>
      </c>
      <c r="I158" s="663" t="s">
        <v>1059</v>
      </c>
      <c r="J158" s="663" t="s">
        <v>1060</v>
      </c>
      <c r="K158" s="663" t="s">
        <v>1061</v>
      </c>
      <c r="L158" s="665">
        <v>34.748993377027929</v>
      </c>
      <c r="M158" s="665">
        <v>4</v>
      </c>
      <c r="N158" s="666">
        <v>138.99597350811172</v>
      </c>
    </row>
    <row r="159" spans="1:14" ht="14.4" customHeight="1" x14ac:dyDescent="0.3">
      <c r="A159" s="661" t="s">
        <v>512</v>
      </c>
      <c r="B159" s="662" t="s">
        <v>1387</v>
      </c>
      <c r="C159" s="663" t="s">
        <v>517</v>
      </c>
      <c r="D159" s="664" t="s">
        <v>1388</v>
      </c>
      <c r="E159" s="663" t="s">
        <v>522</v>
      </c>
      <c r="F159" s="664" t="s">
        <v>1389</v>
      </c>
      <c r="G159" s="663" t="s">
        <v>1053</v>
      </c>
      <c r="H159" s="663" t="s">
        <v>1062</v>
      </c>
      <c r="I159" s="663" t="s">
        <v>1063</v>
      </c>
      <c r="J159" s="663" t="s">
        <v>1064</v>
      </c>
      <c r="K159" s="663" t="s">
        <v>1065</v>
      </c>
      <c r="L159" s="665">
        <v>45.189999999999991</v>
      </c>
      <c r="M159" s="665">
        <v>1</v>
      </c>
      <c r="N159" s="666">
        <v>45.189999999999991</v>
      </c>
    </row>
    <row r="160" spans="1:14" ht="14.4" customHeight="1" x14ac:dyDescent="0.3">
      <c r="A160" s="661" t="s">
        <v>512</v>
      </c>
      <c r="B160" s="662" t="s">
        <v>1387</v>
      </c>
      <c r="C160" s="663" t="s">
        <v>517</v>
      </c>
      <c r="D160" s="664" t="s">
        <v>1388</v>
      </c>
      <c r="E160" s="663" t="s">
        <v>522</v>
      </c>
      <c r="F160" s="664" t="s">
        <v>1389</v>
      </c>
      <c r="G160" s="663" t="s">
        <v>1053</v>
      </c>
      <c r="H160" s="663" t="s">
        <v>1066</v>
      </c>
      <c r="I160" s="663" t="s">
        <v>1067</v>
      </c>
      <c r="J160" s="663" t="s">
        <v>1068</v>
      </c>
      <c r="K160" s="663" t="s">
        <v>1069</v>
      </c>
      <c r="L160" s="665">
        <v>36.620000000000005</v>
      </c>
      <c r="M160" s="665">
        <v>2</v>
      </c>
      <c r="N160" s="666">
        <v>73.240000000000009</v>
      </c>
    </row>
    <row r="161" spans="1:14" ht="14.4" customHeight="1" x14ac:dyDescent="0.3">
      <c r="A161" s="661" t="s">
        <v>512</v>
      </c>
      <c r="B161" s="662" t="s">
        <v>1387</v>
      </c>
      <c r="C161" s="663" t="s">
        <v>517</v>
      </c>
      <c r="D161" s="664" t="s">
        <v>1388</v>
      </c>
      <c r="E161" s="663" t="s">
        <v>522</v>
      </c>
      <c r="F161" s="664" t="s">
        <v>1389</v>
      </c>
      <c r="G161" s="663" t="s">
        <v>1053</v>
      </c>
      <c r="H161" s="663" t="s">
        <v>1070</v>
      </c>
      <c r="I161" s="663" t="s">
        <v>1071</v>
      </c>
      <c r="J161" s="663" t="s">
        <v>1056</v>
      </c>
      <c r="K161" s="663" t="s">
        <v>1072</v>
      </c>
      <c r="L161" s="665">
        <v>44.590419624676365</v>
      </c>
      <c r="M161" s="665">
        <v>1</v>
      </c>
      <c r="N161" s="666">
        <v>44.590419624676365</v>
      </c>
    </row>
    <row r="162" spans="1:14" ht="14.4" customHeight="1" x14ac:dyDescent="0.3">
      <c r="A162" s="661" t="s">
        <v>512</v>
      </c>
      <c r="B162" s="662" t="s">
        <v>1387</v>
      </c>
      <c r="C162" s="663" t="s">
        <v>517</v>
      </c>
      <c r="D162" s="664" t="s">
        <v>1388</v>
      </c>
      <c r="E162" s="663" t="s">
        <v>522</v>
      </c>
      <c r="F162" s="664" t="s">
        <v>1389</v>
      </c>
      <c r="G162" s="663" t="s">
        <v>1053</v>
      </c>
      <c r="H162" s="663" t="s">
        <v>1073</v>
      </c>
      <c r="I162" s="663" t="s">
        <v>1074</v>
      </c>
      <c r="J162" s="663" t="s">
        <v>1075</v>
      </c>
      <c r="K162" s="663" t="s">
        <v>1076</v>
      </c>
      <c r="L162" s="665">
        <v>81.215333333333334</v>
      </c>
      <c r="M162" s="665">
        <v>15</v>
      </c>
      <c r="N162" s="666">
        <v>1218.23</v>
      </c>
    </row>
    <row r="163" spans="1:14" ht="14.4" customHeight="1" x14ac:dyDescent="0.3">
      <c r="A163" s="661" t="s">
        <v>512</v>
      </c>
      <c r="B163" s="662" t="s">
        <v>1387</v>
      </c>
      <c r="C163" s="663" t="s">
        <v>517</v>
      </c>
      <c r="D163" s="664" t="s">
        <v>1388</v>
      </c>
      <c r="E163" s="663" t="s">
        <v>522</v>
      </c>
      <c r="F163" s="664" t="s">
        <v>1389</v>
      </c>
      <c r="G163" s="663" t="s">
        <v>1053</v>
      </c>
      <c r="H163" s="663" t="s">
        <v>1077</v>
      </c>
      <c r="I163" s="663" t="s">
        <v>1078</v>
      </c>
      <c r="J163" s="663" t="s">
        <v>1079</v>
      </c>
      <c r="K163" s="663" t="s">
        <v>1069</v>
      </c>
      <c r="L163" s="665">
        <v>86.679999999999993</v>
      </c>
      <c r="M163" s="665">
        <v>1</v>
      </c>
      <c r="N163" s="666">
        <v>86.679999999999993</v>
      </c>
    </row>
    <row r="164" spans="1:14" ht="14.4" customHeight="1" x14ac:dyDescent="0.3">
      <c r="A164" s="661" t="s">
        <v>512</v>
      </c>
      <c r="B164" s="662" t="s">
        <v>1387</v>
      </c>
      <c r="C164" s="663" t="s">
        <v>517</v>
      </c>
      <c r="D164" s="664" t="s">
        <v>1388</v>
      </c>
      <c r="E164" s="663" t="s">
        <v>522</v>
      </c>
      <c r="F164" s="664" t="s">
        <v>1389</v>
      </c>
      <c r="G164" s="663" t="s">
        <v>1053</v>
      </c>
      <c r="H164" s="663" t="s">
        <v>1080</v>
      </c>
      <c r="I164" s="663" t="s">
        <v>1081</v>
      </c>
      <c r="J164" s="663" t="s">
        <v>1082</v>
      </c>
      <c r="K164" s="663" t="s">
        <v>1024</v>
      </c>
      <c r="L164" s="665">
        <v>116.84129139773816</v>
      </c>
      <c r="M164" s="665">
        <v>1</v>
      </c>
      <c r="N164" s="666">
        <v>116.84129139773816</v>
      </c>
    </row>
    <row r="165" spans="1:14" ht="14.4" customHeight="1" x14ac:dyDescent="0.3">
      <c r="A165" s="661" t="s">
        <v>512</v>
      </c>
      <c r="B165" s="662" t="s">
        <v>1387</v>
      </c>
      <c r="C165" s="663" t="s">
        <v>517</v>
      </c>
      <c r="D165" s="664" t="s">
        <v>1388</v>
      </c>
      <c r="E165" s="663" t="s">
        <v>522</v>
      </c>
      <c r="F165" s="664" t="s">
        <v>1389</v>
      </c>
      <c r="G165" s="663" t="s">
        <v>1053</v>
      </c>
      <c r="H165" s="663" t="s">
        <v>1083</v>
      </c>
      <c r="I165" s="663" t="s">
        <v>1084</v>
      </c>
      <c r="J165" s="663" t="s">
        <v>1064</v>
      </c>
      <c r="K165" s="663" t="s">
        <v>1085</v>
      </c>
      <c r="L165" s="665">
        <v>129.33000000000004</v>
      </c>
      <c r="M165" s="665">
        <v>65</v>
      </c>
      <c r="N165" s="666">
        <v>8406.4500000000025</v>
      </c>
    </row>
    <row r="166" spans="1:14" ht="14.4" customHeight="1" x14ac:dyDescent="0.3">
      <c r="A166" s="661" t="s">
        <v>512</v>
      </c>
      <c r="B166" s="662" t="s">
        <v>1387</v>
      </c>
      <c r="C166" s="663" t="s">
        <v>517</v>
      </c>
      <c r="D166" s="664" t="s">
        <v>1388</v>
      </c>
      <c r="E166" s="663" t="s">
        <v>522</v>
      </c>
      <c r="F166" s="664" t="s">
        <v>1389</v>
      </c>
      <c r="G166" s="663" t="s">
        <v>1053</v>
      </c>
      <c r="H166" s="663" t="s">
        <v>1086</v>
      </c>
      <c r="I166" s="663" t="s">
        <v>1087</v>
      </c>
      <c r="J166" s="663" t="s">
        <v>1088</v>
      </c>
      <c r="K166" s="663" t="s">
        <v>1089</v>
      </c>
      <c r="L166" s="665">
        <v>24.93000000000001</v>
      </c>
      <c r="M166" s="665">
        <v>1</v>
      </c>
      <c r="N166" s="666">
        <v>24.93000000000001</v>
      </c>
    </row>
    <row r="167" spans="1:14" ht="14.4" customHeight="1" x14ac:dyDescent="0.3">
      <c r="A167" s="661" t="s">
        <v>512</v>
      </c>
      <c r="B167" s="662" t="s">
        <v>1387</v>
      </c>
      <c r="C167" s="663" t="s">
        <v>517</v>
      </c>
      <c r="D167" s="664" t="s">
        <v>1388</v>
      </c>
      <c r="E167" s="663" t="s">
        <v>522</v>
      </c>
      <c r="F167" s="664" t="s">
        <v>1389</v>
      </c>
      <c r="G167" s="663" t="s">
        <v>1053</v>
      </c>
      <c r="H167" s="663" t="s">
        <v>1090</v>
      </c>
      <c r="I167" s="663" t="s">
        <v>1091</v>
      </c>
      <c r="J167" s="663" t="s">
        <v>1092</v>
      </c>
      <c r="K167" s="663" t="s">
        <v>1093</v>
      </c>
      <c r="L167" s="665">
        <v>409.58912147248532</v>
      </c>
      <c r="M167" s="665">
        <v>16</v>
      </c>
      <c r="N167" s="666">
        <v>6553.4259435597651</v>
      </c>
    </row>
    <row r="168" spans="1:14" ht="14.4" customHeight="1" x14ac:dyDescent="0.3">
      <c r="A168" s="661" t="s">
        <v>512</v>
      </c>
      <c r="B168" s="662" t="s">
        <v>1387</v>
      </c>
      <c r="C168" s="663" t="s">
        <v>517</v>
      </c>
      <c r="D168" s="664" t="s">
        <v>1388</v>
      </c>
      <c r="E168" s="663" t="s">
        <v>522</v>
      </c>
      <c r="F168" s="664" t="s">
        <v>1389</v>
      </c>
      <c r="G168" s="663" t="s">
        <v>1053</v>
      </c>
      <c r="H168" s="663" t="s">
        <v>1094</v>
      </c>
      <c r="I168" s="663" t="s">
        <v>1095</v>
      </c>
      <c r="J168" s="663" t="s">
        <v>1060</v>
      </c>
      <c r="K168" s="663" t="s">
        <v>1096</v>
      </c>
      <c r="L168" s="665">
        <v>143.47000000000003</v>
      </c>
      <c r="M168" s="665">
        <v>1</v>
      </c>
      <c r="N168" s="666">
        <v>143.47000000000003</v>
      </c>
    </row>
    <row r="169" spans="1:14" ht="14.4" customHeight="1" x14ac:dyDescent="0.3">
      <c r="A169" s="661" t="s">
        <v>512</v>
      </c>
      <c r="B169" s="662" t="s">
        <v>1387</v>
      </c>
      <c r="C169" s="663" t="s">
        <v>517</v>
      </c>
      <c r="D169" s="664" t="s">
        <v>1388</v>
      </c>
      <c r="E169" s="663" t="s">
        <v>522</v>
      </c>
      <c r="F169" s="664" t="s">
        <v>1389</v>
      </c>
      <c r="G169" s="663" t="s">
        <v>1053</v>
      </c>
      <c r="H169" s="663" t="s">
        <v>1097</v>
      </c>
      <c r="I169" s="663" t="s">
        <v>1098</v>
      </c>
      <c r="J169" s="663" t="s">
        <v>1099</v>
      </c>
      <c r="K169" s="663" t="s">
        <v>1100</v>
      </c>
      <c r="L169" s="665">
        <v>98.65</v>
      </c>
      <c r="M169" s="665">
        <v>1</v>
      </c>
      <c r="N169" s="666">
        <v>98.65</v>
      </c>
    </row>
    <row r="170" spans="1:14" ht="14.4" customHeight="1" x14ac:dyDescent="0.3">
      <c r="A170" s="661" t="s">
        <v>512</v>
      </c>
      <c r="B170" s="662" t="s">
        <v>1387</v>
      </c>
      <c r="C170" s="663" t="s">
        <v>517</v>
      </c>
      <c r="D170" s="664" t="s">
        <v>1388</v>
      </c>
      <c r="E170" s="663" t="s">
        <v>522</v>
      </c>
      <c r="F170" s="664" t="s">
        <v>1389</v>
      </c>
      <c r="G170" s="663" t="s">
        <v>1053</v>
      </c>
      <c r="H170" s="663" t="s">
        <v>1101</v>
      </c>
      <c r="I170" s="663" t="s">
        <v>1102</v>
      </c>
      <c r="J170" s="663" t="s">
        <v>1103</v>
      </c>
      <c r="K170" s="663" t="s">
        <v>1104</v>
      </c>
      <c r="L170" s="665">
        <v>27.25</v>
      </c>
      <c r="M170" s="665">
        <v>1</v>
      </c>
      <c r="N170" s="666">
        <v>27.25</v>
      </c>
    </row>
    <row r="171" spans="1:14" ht="14.4" customHeight="1" x14ac:dyDescent="0.3">
      <c r="A171" s="661" t="s">
        <v>512</v>
      </c>
      <c r="B171" s="662" t="s">
        <v>1387</v>
      </c>
      <c r="C171" s="663" t="s">
        <v>517</v>
      </c>
      <c r="D171" s="664" t="s">
        <v>1388</v>
      </c>
      <c r="E171" s="663" t="s">
        <v>522</v>
      </c>
      <c r="F171" s="664" t="s">
        <v>1389</v>
      </c>
      <c r="G171" s="663" t="s">
        <v>1053</v>
      </c>
      <c r="H171" s="663" t="s">
        <v>1105</v>
      </c>
      <c r="I171" s="663" t="s">
        <v>1106</v>
      </c>
      <c r="J171" s="663" t="s">
        <v>1107</v>
      </c>
      <c r="K171" s="663" t="s">
        <v>1108</v>
      </c>
      <c r="L171" s="665">
        <v>1375</v>
      </c>
      <c r="M171" s="665">
        <v>31</v>
      </c>
      <c r="N171" s="666">
        <v>42625</v>
      </c>
    </row>
    <row r="172" spans="1:14" ht="14.4" customHeight="1" x14ac:dyDescent="0.3">
      <c r="A172" s="661" t="s">
        <v>512</v>
      </c>
      <c r="B172" s="662" t="s">
        <v>1387</v>
      </c>
      <c r="C172" s="663" t="s">
        <v>517</v>
      </c>
      <c r="D172" s="664" t="s">
        <v>1388</v>
      </c>
      <c r="E172" s="663" t="s">
        <v>522</v>
      </c>
      <c r="F172" s="664" t="s">
        <v>1389</v>
      </c>
      <c r="G172" s="663" t="s">
        <v>1053</v>
      </c>
      <c r="H172" s="663" t="s">
        <v>1109</v>
      </c>
      <c r="I172" s="663" t="s">
        <v>1110</v>
      </c>
      <c r="J172" s="663" t="s">
        <v>1111</v>
      </c>
      <c r="K172" s="663" t="s">
        <v>1112</v>
      </c>
      <c r="L172" s="665">
        <v>325.15999999999997</v>
      </c>
      <c r="M172" s="665">
        <v>15</v>
      </c>
      <c r="N172" s="666">
        <v>4877.3999999999996</v>
      </c>
    </row>
    <row r="173" spans="1:14" ht="14.4" customHeight="1" x14ac:dyDescent="0.3">
      <c r="A173" s="661" t="s">
        <v>512</v>
      </c>
      <c r="B173" s="662" t="s">
        <v>1387</v>
      </c>
      <c r="C173" s="663" t="s">
        <v>517</v>
      </c>
      <c r="D173" s="664" t="s">
        <v>1388</v>
      </c>
      <c r="E173" s="663" t="s">
        <v>522</v>
      </c>
      <c r="F173" s="664" t="s">
        <v>1389</v>
      </c>
      <c r="G173" s="663" t="s">
        <v>1053</v>
      </c>
      <c r="H173" s="663" t="s">
        <v>1113</v>
      </c>
      <c r="I173" s="663" t="s">
        <v>1114</v>
      </c>
      <c r="J173" s="663" t="s">
        <v>1115</v>
      </c>
      <c r="K173" s="663" t="s">
        <v>1116</v>
      </c>
      <c r="L173" s="665">
        <v>685.40039161686229</v>
      </c>
      <c r="M173" s="665">
        <v>20</v>
      </c>
      <c r="N173" s="666">
        <v>13708.007832337245</v>
      </c>
    </row>
    <row r="174" spans="1:14" ht="14.4" customHeight="1" x14ac:dyDescent="0.3">
      <c r="A174" s="661" t="s">
        <v>512</v>
      </c>
      <c r="B174" s="662" t="s">
        <v>1387</v>
      </c>
      <c r="C174" s="663" t="s">
        <v>517</v>
      </c>
      <c r="D174" s="664" t="s">
        <v>1388</v>
      </c>
      <c r="E174" s="663" t="s">
        <v>522</v>
      </c>
      <c r="F174" s="664" t="s">
        <v>1389</v>
      </c>
      <c r="G174" s="663" t="s">
        <v>1053</v>
      </c>
      <c r="H174" s="663" t="s">
        <v>1117</v>
      </c>
      <c r="I174" s="663" t="s">
        <v>1118</v>
      </c>
      <c r="J174" s="663" t="s">
        <v>1119</v>
      </c>
      <c r="K174" s="663" t="s">
        <v>1120</v>
      </c>
      <c r="L174" s="665">
        <v>960.25000000000011</v>
      </c>
      <c r="M174" s="665">
        <v>6</v>
      </c>
      <c r="N174" s="666">
        <v>5761.5000000000009</v>
      </c>
    </row>
    <row r="175" spans="1:14" ht="14.4" customHeight="1" x14ac:dyDescent="0.3">
      <c r="A175" s="661" t="s">
        <v>512</v>
      </c>
      <c r="B175" s="662" t="s">
        <v>1387</v>
      </c>
      <c r="C175" s="663" t="s">
        <v>517</v>
      </c>
      <c r="D175" s="664" t="s">
        <v>1388</v>
      </c>
      <c r="E175" s="663" t="s">
        <v>522</v>
      </c>
      <c r="F175" s="664" t="s">
        <v>1389</v>
      </c>
      <c r="G175" s="663" t="s">
        <v>1053</v>
      </c>
      <c r="H175" s="663" t="s">
        <v>1121</v>
      </c>
      <c r="I175" s="663" t="s">
        <v>1121</v>
      </c>
      <c r="J175" s="663" t="s">
        <v>1122</v>
      </c>
      <c r="K175" s="663" t="s">
        <v>1123</v>
      </c>
      <c r="L175" s="665">
        <v>330.99014766428138</v>
      </c>
      <c r="M175" s="665">
        <v>5</v>
      </c>
      <c r="N175" s="666">
        <v>1654.9507383214068</v>
      </c>
    </row>
    <row r="176" spans="1:14" ht="14.4" customHeight="1" x14ac:dyDescent="0.3">
      <c r="A176" s="661" t="s">
        <v>512</v>
      </c>
      <c r="B176" s="662" t="s">
        <v>1387</v>
      </c>
      <c r="C176" s="663" t="s">
        <v>517</v>
      </c>
      <c r="D176" s="664" t="s">
        <v>1388</v>
      </c>
      <c r="E176" s="663" t="s">
        <v>522</v>
      </c>
      <c r="F176" s="664" t="s">
        <v>1389</v>
      </c>
      <c r="G176" s="663" t="s">
        <v>1053</v>
      </c>
      <c r="H176" s="663" t="s">
        <v>1124</v>
      </c>
      <c r="I176" s="663" t="s">
        <v>1124</v>
      </c>
      <c r="J176" s="663" t="s">
        <v>1125</v>
      </c>
      <c r="K176" s="663" t="s">
        <v>1126</v>
      </c>
      <c r="L176" s="665">
        <v>680.1</v>
      </c>
      <c r="M176" s="665">
        <v>1</v>
      </c>
      <c r="N176" s="666">
        <v>680.1</v>
      </c>
    </row>
    <row r="177" spans="1:14" ht="14.4" customHeight="1" x14ac:dyDescent="0.3">
      <c r="A177" s="661" t="s">
        <v>512</v>
      </c>
      <c r="B177" s="662" t="s">
        <v>1387</v>
      </c>
      <c r="C177" s="663" t="s">
        <v>517</v>
      </c>
      <c r="D177" s="664" t="s">
        <v>1388</v>
      </c>
      <c r="E177" s="663" t="s">
        <v>522</v>
      </c>
      <c r="F177" s="664" t="s">
        <v>1389</v>
      </c>
      <c r="G177" s="663" t="s">
        <v>1053</v>
      </c>
      <c r="H177" s="663" t="s">
        <v>1127</v>
      </c>
      <c r="I177" s="663" t="s">
        <v>1128</v>
      </c>
      <c r="J177" s="663" t="s">
        <v>1129</v>
      </c>
      <c r="K177" s="663" t="s">
        <v>547</v>
      </c>
      <c r="L177" s="665">
        <v>22.090000000000003</v>
      </c>
      <c r="M177" s="665">
        <v>1</v>
      </c>
      <c r="N177" s="666">
        <v>22.090000000000003</v>
      </c>
    </row>
    <row r="178" spans="1:14" ht="14.4" customHeight="1" x14ac:dyDescent="0.3">
      <c r="A178" s="661" t="s">
        <v>512</v>
      </c>
      <c r="B178" s="662" t="s">
        <v>1387</v>
      </c>
      <c r="C178" s="663" t="s">
        <v>517</v>
      </c>
      <c r="D178" s="664" t="s">
        <v>1388</v>
      </c>
      <c r="E178" s="663" t="s">
        <v>522</v>
      </c>
      <c r="F178" s="664" t="s">
        <v>1389</v>
      </c>
      <c r="G178" s="663" t="s">
        <v>1053</v>
      </c>
      <c r="H178" s="663" t="s">
        <v>1130</v>
      </c>
      <c r="I178" s="663" t="s">
        <v>1130</v>
      </c>
      <c r="J178" s="663" t="s">
        <v>1131</v>
      </c>
      <c r="K178" s="663" t="s">
        <v>1132</v>
      </c>
      <c r="L178" s="665">
        <v>32166.761116401693</v>
      </c>
      <c r="M178" s="665">
        <v>9</v>
      </c>
      <c r="N178" s="666">
        <v>289500.85004761524</v>
      </c>
    </row>
    <row r="179" spans="1:14" ht="14.4" customHeight="1" x14ac:dyDescent="0.3">
      <c r="A179" s="661" t="s">
        <v>512</v>
      </c>
      <c r="B179" s="662" t="s">
        <v>1387</v>
      </c>
      <c r="C179" s="663" t="s">
        <v>517</v>
      </c>
      <c r="D179" s="664" t="s">
        <v>1388</v>
      </c>
      <c r="E179" s="663" t="s">
        <v>522</v>
      </c>
      <c r="F179" s="664" t="s">
        <v>1389</v>
      </c>
      <c r="G179" s="663" t="s">
        <v>1053</v>
      </c>
      <c r="H179" s="663" t="s">
        <v>1133</v>
      </c>
      <c r="I179" s="663" t="s">
        <v>1133</v>
      </c>
      <c r="J179" s="663" t="s">
        <v>1134</v>
      </c>
      <c r="K179" s="663" t="s">
        <v>1135</v>
      </c>
      <c r="L179" s="665">
        <v>110</v>
      </c>
      <c r="M179" s="665">
        <v>3</v>
      </c>
      <c r="N179" s="666">
        <v>330</v>
      </c>
    </row>
    <row r="180" spans="1:14" ht="14.4" customHeight="1" x14ac:dyDescent="0.3">
      <c r="A180" s="661" t="s">
        <v>512</v>
      </c>
      <c r="B180" s="662" t="s">
        <v>1387</v>
      </c>
      <c r="C180" s="663" t="s">
        <v>517</v>
      </c>
      <c r="D180" s="664" t="s">
        <v>1388</v>
      </c>
      <c r="E180" s="663" t="s">
        <v>522</v>
      </c>
      <c r="F180" s="664" t="s">
        <v>1389</v>
      </c>
      <c r="G180" s="663" t="s">
        <v>1053</v>
      </c>
      <c r="H180" s="663" t="s">
        <v>1136</v>
      </c>
      <c r="I180" s="663" t="s">
        <v>1136</v>
      </c>
      <c r="J180" s="663" t="s">
        <v>1137</v>
      </c>
      <c r="K180" s="663" t="s">
        <v>1138</v>
      </c>
      <c r="L180" s="665">
        <v>273.89991000958548</v>
      </c>
      <c r="M180" s="665">
        <v>3</v>
      </c>
      <c r="N180" s="666">
        <v>821.69973002875645</v>
      </c>
    </row>
    <row r="181" spans="1:14" ht="14.4" customHeight="1" x14ac:dyDescent="0.3">
      <c r="A181" s="661" t="s">
        <v>512</v>
      </c>
      <c r="B181" s="662" t="s">
        <v>1387</v>
      </c>
      <c r="C181" s="663" t="s">
        <v>517</v>
      </c>
      <c r="D181" s="664" t="s">
        <v>1388</v>
      </c>
      <c r="E181" s="663" t="s">
        <v>522</v>
      </c>
      <c r="F181" s="664" t="s">
        <v>1389</v>
      </c>
      <c r="G181" s="663" t="s">
        <v>1053</v>
      </c>
      <c r="H181" s="663" t="s">
        <v>1139</v>
      </c>
      <c r="I181" s="663" t="s">
        <v>1139</v>
      </c>
      <c r="J181" s="663" t="s">
        <v>1140</v>
      </c>
      <c r="K181" s="663" t="s">
        <v>1141</v>
      </c>
      <c r="L181" s="665">
        <v>3300</v>
      </c>
      <c r="M181" s="665">
        <v>8</v>
      </c>
      <c r="N181" s="666">
        <v>26400</v>
      </c>
    </row>
    <row r="182" spans="1:14" ht="14.4" customHeight="1" x14ac:dyDescent="0.3">
      <c r="A182" s="661" t="s">
        <v>512</v>
      </c>
      <c r="B182" s="662" t="s">
        <v>1387</v>
      </c>
      <c r="C182" s="663" t="s">
        <v>517</v>
      </c>
      <c r="D182" s="664" t="s">
        <v>1388</v>
      </c>
      <c r="E182" s="663" t="s">
        <v>522</v>
      </c>
      <c r="F182" s="664" t="s">
        <v>1389</v>
      </c>
      <c r="G182" s="663" t="s">
        <v>1053</v>
      </c>
      <c r="H182" s="663" t="s">
        <v>1142</v>
      </c>
      <c r="I182" s="663" t="s">
        <v>1142</v>
      </c>
      <c r="J182" s="663" t="s">
        <v>1143</v>
      </c>
      <c r="K182" s="663" t="s">
        <v>1144</v>
      </c>
      <c r="L182" s="665">
        <v>67.761554169996984</v>
      </c>
      <c r="M182" s="665">
        <v>490</v>
      </c>
      <c r="N182" s="666">
        <v>33203.16154329852</v>
      </c>
    </row>
    <row r="183" spans="1:14" ht="14.4" customHeight="1" x14ac:dyDescent="0.3">
      <c r="A183" s="661" t="s">
        <v>512</v>
      </c>
      <c r="B183" s="662" t="s">
        <v>1387</v>
      </c>
      <c r="C183" s="663" t="s">
        <v>517</v>
      </c>
      <c r="D183" s="664" t="s">
        <v>1388</v>
      </c>
      <c r="E183" s="663" t="s">
        <v>522</v>
      </c>
      <c r="F183" s="664" t="s">
        <v>1389</v>
      </c>
      <c r="G183" s="663" t="s">
        <v>1053</v>
      </c>
      <c r="H183" s="663" t="s">
        <v>1145</v>
      </c>
      <c r="I183" s="663" t="s">
        <v>1145</v>
      </c>
      <c r="J183" s="663" t="s">
        <v>1146</v>
      </c>
      <c r="K183" s="663" t="s">
        <v>1147</v>
      </c>
      <c r="L183" s="665">
        <v>63.109999999999957</v>
      </c>
      <c r="M183" s="665">
        <v>1</v>
      </c>
      <c r="N183" s="666">
        <v>63.109999999999957</v>
      </c>
    </row>
    <row r="184" spans="1:14" ht="14.4" customHeight="1" x14ac:dyDescent="0.3">
      <c r="A184" s="661" t="s">
        <v>512</v>
      </c>
      <c r="B184" s="662" t="s">
        <v>1387</v>
      </c>
      <c r="C184" s="663" t="s">
        <v>517</v>
      </c>
      <c r="D184" s="664" t="s">
        <v>1388</v>
      </c>
      <c r="E184" s="663" t="s">
        <v>522</v>
      </c>
      <c r="F184" s="664" t="s">
        <v>1389</v>
      </c>
      <c r="G184" s="663" t="s">
        <v>1053</v>
      </c>
      <c r="H184" s="663" t="s">
        <v>1148</v>
      </c>
      <c r="I184" s="663" t="s">
        <v>1148</v>
      </c>
      <c r="J184" s="663" t="s">
        <v>1149</v>
      </c>
      <c r="K184" s="663" t="s">
        <v>1150</v>
      </c>
      <c r="L184" s="665">
        <v>561.00000000000011</v>
      </c>
      <c r="M184" s="665">
        <v>5.2</v>
      </c>
      <c r="N184" s="666">
        <v>2917.2000000000007</v>
      </c>
    </row>
    <row r="185" spans="1:14" ht="14.4" customHeight="1" x14ac:dyDescent="0.3">
      <c r="A185" s="661" t="s">
        <v>512</v>
      </c>
      <c r="B185" s="662" t="s">
        <v>1387</v>
      </c>
      <c r="C185" s="663" t="s">
        <v>517</v>
      </c>
      <c r="D185" s="664" t="s">
        <v>1388</v>
      </c>
      <c r="E185" s="663" t="s">
        <v>522</v>
      </c>
      <c r="F185" s="664" t="s">
        <v>1389</v>
      </c>
      <c r="G185" s="663" t="s">
        <v>1053</v>
      </c>
      <c r="H185" s="663" t="s">
        <v>1151</v>
      </c>
      <c r="I185" s="663" t="s">
        <v>1151</v>
      </c>
      <c r="J185" s="663" t="s">
        <v>1152</v>
      </c>
      <c r="K185" s="663" t="s">
        <v>1153</v>
      </c>
      <c r="L185" s="665">
        <v>49.37</v>
      </c>
      <c r="M185" s="665">
        <v>2</v>
      </c>
      <c r="N185" s="666">
        <v>98.74</v>
      </c>
    </row>
    <row r="186" spans="1:14" ht="14.4" customHeight="1" x14ac:dyDescent="0.3">
      <c r="A186" s="661" t="s">
        <v>512</v>
      </c>
      <c r="B186" s="662" t="s">
        <v>1387</v>
      </c>
      <c r="C186" s="663" t="s">
        <v>517</v>
      </c>
      <c r="D186" s="664" t="s">
        <v>1388</v>
      </c>
      <c r="E186" s="663" t="s">
        <v>522</v>
      </c>
      <c r="F186" s="664" t="s">
        <v>1389</v>
      </c>
      <c r="G186" s="663" t="s">
        <v>1053</v>
      </c>
      <c r="H186" s="663" t="s">
        <v>1154</v>
      </c>
      <c r="I186" s="663" t="s">
        <v>1154</v>
      </c>
      <c r="J186" s="663" t="s">
        <v>1122</v>
      </c>
      <c r="K186" s="663" t="s">
        <v>1155</v>
      </c>
      <c r="L186" s="665">
        <v>67.320124071830293</v>
      </c>
      <c r="M186" s="665">
        <v>1</v>
      </c>
      <c r="N186" s="666">
        <v>67.320124071830293</v>
      </c>
    </row>
    <row r="187" spans="1:14" ht="14.4" customHeight="1" x14ac:dyDescent="0.3">
      <c r="A187" s="661" t="s">
        <v>512</v>
      </c>
      <c r="B187" s="662" t="s">
        <v>1387</v>
      </c>
      <c r="C187" s="663" t="s">
        <v>517</v>
      </c>
      <c r="D187" s="664" t="s">
        <v>1388</v>
      </c>
      <c r="E187" s="663" t="s">
        <v>522</v>
      </c>
      <c r="F187" s="664" t="s">
        <v>1389</v>
      </c>
      <c r="G187" s="663" t="s">
        <v>1053</v>
      </c>
      <c r="H187" s="663" t="s">
        <v>1156</v>
      </c>
      <c r="I187" s="663" t="s">
        <v>1156</v>
      </c>
      <c r="J187" s="663" t="s">
        <v>1122</v>
      </c>
      <c r="K187" s="663" t="s">
        <v>1157</v>
      </c>
      <c r="L187" s="665">
        <v>95.37</v>
      </c>
      <c r="M187" s="665">
        <v>5</v>
      </c>
      <c r="N187" s="666">
        <v>476.85</v>
      </c>
    </row>
    <row r="188" spans="1:14" ht="14.4" customHeight="1" x14ac:dyDescent="0.3">
      <c r="A188" s="661" t="s">
        <v>512</v>
      </c>
      <c r="B188" s="662" t="s">
        <v>1387</v>
      </c>
      <c r="C188" s="663" t="s">
        <v>517</v>
      </c>
      <c r="D188" s="664" t="s">
        <v>1388</v>
      </c>
      <c r="E188" s="663" t="s">
        <v>522</v>
      </c>
      <c r="F188" s="664" t="s">
        <v>1389</v>
      </c>
      <c r="G188" s="663" t="s">
        <v>1053</v>
      </c>
      <c r="H188" s="663" t="s">
        <v>1158</v>
      </c>
      <c r="I188" s="663" t="s">
        <v>1158</v>
      </c>
      <c r="J188" s="663" t="s">
        <v>1159</v>
      </c>
      <c r="K188" s="663" t="s">
        <v>1160</v>
      </c>
      <c r="L188" s="665">
        <v>785.4</v>
      </c>
      <c r="M188" s="665">
        <v>18</v>
      </c>
      <c r="N188" s="666">
        <v>14137.199999999999</v>
      </c>
    </row>
    <row r="189" spans="1:14" ht="14.4" customHeight="1" x14ac:dyDescent="0.3">
      <c r="A189" s="661" t="s">
        <v>512</v>
      </c>
      <c r="B189" s="662" t="s">
        <v>1387</v>
      </c>
      <c r="C189" s="663" t="s">
        <v>517</v>
      </c>
      <c r="D189" s="664" t="s">
        <v>1388</v>
      </c>
      <c r="E189" s="663" t="s">
        <v>522</v>
      </c>
      <c r="F189" s="664" t="s">
        <v>1389</v>
      </c>
      <c r="G189" s="663" t="s">
        <v>1053</v>
      </c>
      <c r="H189" s="663" t="s">
        <v>1161</v>
      </c>
      <c r="I189" s="663" t="s">
        <v>1161</v>
      </c>
      <c r="J189" s="663" t="s">
        <v>1162</v>
      </c>
      <c r="K189" s="663" t="s">
        <v>1163</v>
      </c>
      <c r="L189" s="665">
        <v>98</v>
      </c>
      <c r="M189" s="665">
        <v>1</v>
      </c>
      <c r="N189" s="666">
        <v>98</v>
      </c>
    </row>
    <row r="190" spans="1:14" ht="14.4" customHeight="1" x14ac:dyDescent="0.3">
      <c r="A190" s="661" t="s">
        <v>512</v>
      </c>
      <c r="B190" s="662" t="s">
        <v>1387</v>
      </c>
      <c r="C190" s="663" t="s">
        <v>517</v>
      </c>
      <c r="D190" s="664" t="s">
        <v>1388</v>
      </c>
      <c r="E190" s="663" t="s">
        <v>1164</v>
      </c>
      <c r="F190" s="664" t="s">
        <v>1390</v>
      </c>
      <c r="G190" s="663"/>
      <c r="H190" s="663" t="s">
        <v>1165</v>
      </c>
      <c r="I190" s="663" t="s">
        <v>1165</v>
      </c>
      <c r="J190" s="663" t="s">
        <v>1166</v>
      </c>
      <c r="K190" s="663" t="s">
        <v>1167</v>
      </c>
      <c r="L190" s="665">
        <v>40.629999999999988</v>
      </c>
      <c r="M190" s="665">
        <v>27</v>
      </c>
      <c r="N190" s="666">
        <v>1097.0099999999998</v>
      </c>
    </row>
    <row r="191" spans="1:14" ht="14.4" customHeight="1" x14ac:dyDescent="0.3">
      <c r="A191" s="661" t="s">
        <v>512</v>
      </c>
      <c r="B191" s="662" t="s">
        <v>1387</v>
      </c>
      <c r="C191" s="663" t="s">
        <v>517</v>
      </c>
      <c r="D191" s="664" t="s">
        <v>1388</v>
      </c>
      <c r="E191" s="663" t="s">
        <v>1164</v>
      </c>
      <c r="F191" s="664" t="s">
        <v>1390</v>
      </c>
      <c r="G191" s="663"/>
      <c r="H191" s="663" t="s">
        <v>1168</v>
      </c>
      <c r="I191" s="663" t="s">
        <v>1168</v>
      </c>
      <c r="J191" s="663" t="s">
        <v>1169</v>
      </c>
      <c r="K191" s="663" t="s">
        <v>1167</v>
      </c>
      <c r="L191" s="665">
        <v>40.63000000000001</v>
      </c>
      <c r="M191" s="665">
        <v>27</v>
      </c>
      <c r="N191" s="666">
        <v>1097.0100000000002</v>
      </c>
    </row>
    <row r="192" spans="1:14" ht="14.4" customHeight="1" x14ac:dyDescent="0.3">
      <c r="A192" s="661" t="s">
        <v>512</v>
      </c>
      <c r="B192" s="662" t="s">
        <v>1387</v>
      </c>
      <c r="C192" s="663" t="s">
        <v>517</v>
      </c>
      <c r="D192" s="664" t="s">
        <v>1388</v>
      </c>
      <c r="E192" s="663" t="s">
        <v>1164</v>
      </c>
      <c r="F192" s="664" t="s">
        <v>1390</v>
      </c>
      <c r="G192" s="663" t="s">
        <v>561</v>
      </c>
      <c r="H192" s="663" t="s">
        <v>1170</v>
      </c>
      <c r="I192" s="663" t="s">
        <v>748</v>
      </c>
      <c r="J192" s="663" t="s">
        <v>1171</v>
      </c>
      <c r="K192" s="663"/>
      <c r="L192" s="665">
        <v>1161.0999999999997</v>
      </c>
      <c r="M192" s="665">
        <v>1</v>
      </c>
      <c r="N192" s="666">
        <v>1161.0999999999997</v>
      </c>
    </row>
    <row r="193" spans="1:14" ht="14.4" customHeight="1" x14ac:dyDescent="0.3">
      <c r="A193" s="661" t="s">
        <v>512</v>
      </c>
      <c r="B193" s="662" t="s">
        <v>1387</v>
      </c>
      <c r="C193" s="663" t="s">
        <v>517</v>
      </c>
      <c r="D193" s="664" t="s">
        <v>1388</v>
      </c>
      <c r="E193" s="663" t="s">
        <v>1164</v>
      </c>
      <c r="F193" s="664" t="s">
        <v>1390</v>
      </c>
      <c r="G193" s="663" t="s">
        <v>561</v>
      </c>
      <c r="H193" s="663" t="s">
        <v>1172</v>
      </c>
      <c r="I193" s="663" t="s">
        <v>748</v>
      </c>
      <c r="J193" s="663" t="s">
        <v>1173</v>
      </c>
      <c r="K193" s="663" t="s">
        <v>1174</v>
      </c>
      <c r="L193" s="665">
        <v>185.64</v>
      </c>
      <c r="M193" s="665">
        <v>26</v>
      </c>
      <c r="N193" s="666">
        <v>4826.6399999999994</v>
      </c>
    </row>
    <row r="194" spans="1:14" ht="14.4" customHeight="1" x14ac:dyDescent="0.3">
      <c r="A194" s="661" t="s">
        <v>512</v>
      </c>
      <c r="B194" s="662" t="s">
        <v>1387</v>
      </c>
      <c r="C194" s="663" t="s">
        <v>517</v>
      </c>
      <c r="D194" s="664" t="s">
        <v>1388</v>
      </c>
      <c r="E194" s="663" t="s">
        <v>1164</v>
      </c>
      <c r="F194" s="664" t="s">
        <v>1390</v>
      </c>
      <c r="G194" s="663" t="s">
        <v>561</v>
      </c>
      <c r="H194" s="663" t="s">
        <v>1175</v>
      </c>
      <c r="I194" s="663" t="s">
        <v>748</v>
      </c>
      <c r="J194" s="663" t="s">
        <v>1176</v>
      </c>
      <c r="K194" s="663"/>
      <c r="L194" s="665">
        <v>253.76</v>
      </c>
      <c r="M194" s="665">
        <v>48</v>
      </c>
      <c r="N194" s="666">
        <v>12180.48</v>
      </c>
    </row>
    <row r="195" spans="1:14" ht="14.4" customHeight="1" x14ac:dyDescent="0.3">
      <c r="A195" s="661" t="s">
        <v>512</v>
      </c>
      <c r="B195" s="662" t="s">
        <v>1387</v>
      </c>
      <c r="C195" s="663" t="s">
        <v>517</v>
      </c>
      <c r="D195" s="664" t="s">
        <v>1388</v>
      </c>
      <c r="E195" s="663" t="s">
        <v>1164</v>
      </c>
      <c r="F195" s="664" t="s">
        <v>1390</v>
      </c>
      <c r="G195" s="663" t="s">
        <v>561</v>
      </c>
      <c r="H195" s="663" t="s">
        <v>1177</v>
      </c>
      <c r="I195" s="663" t="s">
        <v>748</v>
      </c>
      <c r="J195" s="663" t="s">
        <v>1178</v>
      </c>
      <c r="K195" s="663"/>
      <c r="L195" s="665">
        <v>221.69000000000003</v>
      </c>
      <c r="M195" s="665">
        <v>30</v>
      </c>
      <c r="N195" s="666">
        <v>6650.7000000000007</v>
      </c>
    </row>
    <row r="196" spans="1:14" ht="14.4" customHeight="1" x14ac:dyDescent="0.3">
      <c r="A196" s="661" t="s">
        <v>512</v>
      </c>
      <c r="B196" s="662" t="s">
        <v>1387</v>
      </c>
      <c r="C196" s="663" t="s">
        <v>517</v>
      </c>
      <c r="D196" s="664" t="s">
        <v>1388</v>
      </c>
      <c r="E196" s="663" t="s">
        <v>1164</v>
      </c>
      <c r="F196" s="664" t="s">
        <v>1390</v>
      </c>
      <c r="G196" s="663" t="s">
        <v>561</v>
      </c>
      <c r="H196" s="663" t="s">
        <v>1179</v>
      </c>
      <c r="I196" s="663" t="s">
        <v>748</v>
      </c>
      <c r="J196" s="663" t="s">
        <v>1180</v>
      </c>
      <c r="K196" s="663"/>
      <c r="L196" s="665">
        <v>732.81</v>
      </c>
      <c r="M196" s="665">
        <v>1</v>
      </c>
      <c r="N196" s="666">
        <v>732.81</v>
      </c>
    </row>
    <row r="197" spans="1:14" ht="14.4" customHeight="1" x14ac:dyDescent="0.3">
      <c r="A197" s="661" t="s">
        <v>512</v>
      </c>
      <c r="B197" s="662" t="s">
        <v>1387</v>
      </c>
      <c r="C197" s="663" t="s">
        <v>517</v>
      </c>
      <c r="D197" s="664" t="s">
        <v>1388</v>
      </c>
      <c r="E197" s="663" t="s">
        <v>1164</v>
      </c>
      <c r="F197" s="664" t="s">
        <v>1390</v>
      </c>
      <c r="G197" s="663" t="s">
        <v>561</v>
      </c>
      <c r="H197" s="663" t="s">
        <v>1181</v>
      </c>
      <c r="I197" s="663" t="s">
        <v>1181</v>
      </c>
      <c r="J197" s="663" t="s">
        <v>1182</v>
      </c>
      <c r="K197" s="663" t="s">
        <v>1183</v>
      </c>
      <c r="L197" s="665">
        <v>1109.04</v>
      </c>
      <c r="M197" s="665">
        <v>4</v>
      </c>
      <c r="N197" s="666">
        <v>4436.16</v>
      </c>
    </row>
    <row r="198" spans="1:14" ht="14.4" customHeight="1" x14ac:dyDescent="0.3">
      <c r="A198" s="661" t="s">
        <v>512</v>
      </c>
      <c r="B198" s="662" t="s">
        <v>1387</v>
      </c>
      <c r="C198" s="663" t="s">
        <v>517</v>
      </c>
      <c r="D198" s="664" t="s">
        <v>1388</v>
      </c>
      <c r="E198" s="663" t="s">
        <v>1164</v>
      </c>
      <c r="F198" s="664" t="s">
        <v>1390</v>
      </c>
      <c r="G198" s="663" t="s">
        <v>561</v>
      </c>
      <c r="H198" s="663" t="s">
        <v>1184</v>
      </c>
      <c r="I198" s="663" t="s">
        <v>1184</v>
      </c>
      <c r="J198" s="663" t="s">
        <v>1185</v>
      </c>
      <c r="K198" s="663" t="s">
        <v>1186</v>
      </c>
      <c r="L198" s="665">
        <v>1730.26</v>
      </c>
      <c r="M198" s="665">
        <v>2</v>
      </c>
      <c r="N198" s="666">
        <v>3460.52</v>
      </c>
    </row>
    <row r="199" spans="1:14" ht="14.4" customHeight="1" x14ac:dyDescent="0.3">
      <c r="A199" s="661" t="s">
        <v>512</v>
      </c>
      <c r="B199" s="662" t="s">
        <v>1387</v>
      </c>
      <c r="C199" s="663" t="s">
        <v>517</v>
      </c>
      <c r="D199" s="664" t="s">
        <v>1388</v>
      </c>
      <c r="E199" s="663" t="s">
        <v>1164</v>
      </c>
      <c r="F199" s="664" t="s">
        <v>1390</v>
      </c>
      <c r="G199" s="663" t="s">
        <v>1053</v>
      </c>
      <c r="H199" s="663" t="s">
        <v>1187</v>
      </c>
      <c r="I199" s="663" t="s">
        <v>1188</v>
      </c>
      <c r="J199" s="663" t="s">
        <v>1189</v>
      </c>
      <c r="K199" s="663" t="s">
        <v>1190</v>
      </c>
      <c r="L199" s="665">
        <v>40.92</v>
      </c>
      <c r="M199" s="665">
        <v>16</v>
      </c>
      <c r="N199" s="666">
        <v>654.72</v>
      </c>
    </row>
    <row r="200" spans="1:14" ht="14.4" customHeight="1" x14ac:dyDescent="0.3">
      <c r="A200" s="661" t="s">
        <v>512</v>
      </c>
      <c r="B200" s="662" t="s">
        <v>1387</v>
      </c>
      <c r="C200" s="663" t="s">
        <v>517</v>
      </c>
      <c r="D200" s="664" t="s">
        <v>1388</v>
      </c>
      <c r="E200" s="663" t="s">
        <v>1164</v>
      </c>
      <c r="F200" s="664" t="s">
        <v>1390</v>
      </c>
      <c r="G200" s="663" t="s">
        <v>1053</v>
      </c>
      <c r="H200" s="663" t="s">
        <v>1191</v>
      </c>
      <c r="I200" s="663" t="s">
        <v>1192</v>
      </c>
      <c r="J200" s="663" t="s">
        <v>1193</v>
      </c>
      <c r="K200" s="663" t="s">
        <v>1190</v>
      </c>
      <c r="L200" s="665">
        <v>40.919999999999995</v>
      </c>
      <c r="M200" s="665">
        <v>24</v>
      </c>
      <c r="N200" s="666">
        <v>982.07999999999993</v>
      </c>
    </row>
    <row r="201" spans="1:14" ht="14.4" customHeight="1" x14ac:dyDescent="0.3">
      <c r="A201" s="661" t="s">
        <v>512</v>
      </c>
      <c r="B201" s="662" t="s">
        <v>1387</v>
      </c>
      <c r="C201" s="663" t="s">
        <v>517</v>
      </c>
      <c r="D201" s="664" t="s">
        <v>1388</v>
      </c>
      <c r="E201" s="663" t="s">
        <v>1164</v>
      </c>
      <c r="F201" s="664" t="s">
        <v>1390</v>
      </c>
      <c r="G201" s="663" t="s">
        <v>1053</v>
      </c>
      <c r="H201" s="663" t="s">
        <v>1194</v>
      </c>
      <c r="I201" s="663" t="s">
        <v>1195</v>
      </c>
      <c r="J201" s="663" t="s">
        <v>1196</v>
      </c>
      <c r="K201" s="663" t="s">
        <v>1190</v>
      </c>
      <c r="L201" s="665">
        <v>41.18</v>
      </c>
      <c r="M201" s="665">
        <v>8</v>
      </c>
      <c r="N201" s="666">
        <v>329.44</v>
      </c>
    </row>
    <row r="202" spans="1:14" ht="14.4" customHeight="1" x14ac:dyDescent="0.3">
      <c r="A202" s="661" t="s">
        <v>512</v>
      </c>
      <c r="B202" s="662" t="s">
        <v>1387</v>
      </c>
      <c r="C202" s="663" t="s">
        <v>517</v>
      </c>
      <c r="D202" s="664" t="s">
        <v>1388</v>
      </c>
      <c r="E202" s="663" t="s">
        <v>1164</v>
      </c>
      <c r="F202" s="664" t="s">
        <v>1390</v>
      </c>
      <c r="G202" s="663" t="s">
        <v>1053</v>
      </c>
      <c r="H202" s="663" t="s">
        <v>1197</v>
      </c>
      <c r="I202" s="663" t="s">
        <v>1198</v>
      </c>
      <c r="J202" s="663" t="s">
        <v>1199</v>
      </c>
      <c r="K202" s="663" t="s">
        <v>1190</v>
      </c>
      <c r="L202" s="665">
        <v>41.179999999999993</v>
      </c>
      <c r="M202" s="665">
        <v>8</v>
      </c>
      <c r="N202" s="666">
        <v>329.43999999999994</v>
      </c>
    </row>
    <row r="203" spans="1:14" ht="14.4" customHeight="1" x14ac:dyDescent="0.3">
      <c r="A203" s="661" t="s">
        <v>512</v>
      </c>
      <c r="B203" s="662" t="s">
        <v>1387</v>
      </c>
      <c r="C203" s="663" t="s">
        <v>517</v>
      </c>
      <c r="D203" s="664" t="s">
        <v>1388</v>
      </c>
      <c r="E203" s="663" t="s">
        <v>1164</v>
      </c>
      <c r="F203" s="664" t="s">
        <v>1390</v>
      </c>
      <c r="G203" s="663" t="s">
        <v>1053</v>
      </c>
      <c r="H203" s="663" t="s">
        <v>1200</v>
      </c>
      <c r="I203" s="663" t="s">
        <v>1201</v>
      </c>
      <c r="J203" s="663" t="s">
        <v>1202</v>
      </c>
      <c r="K203" s="663" t="s">
        <v>1203</v>
      </c>
      <c r="L203" s="665">
        <v>295.21000000000004</v>
      </c>
      <c r="M203" s="665">
        <v>8</v>
      </c>
      <c r="N203" s="666">
        <v>2361.6800000000003</v>
      </c>
    </row>
    <row r="204" spans="1:14" ht="14.4" customHeight="1" x14ac:dyDescent="0.3">
      <c r="A204" s="661" t="s">
        <v>512</v>
      </c>
      <c r="B204" s="662" t="s">
        <v>1387</v>
      </c>
      <c r="C204" s="663" t="s">
        <v>517</v>
      </c>
      <c r="D204" s="664" t="s">
        <v>1388</v>
      </c>
      <c r="E204" s="663" t="s">
        <v>1164</v>
      </c>
      <c r="F204" s="664" t="s">
        <v>1390</v>
      </c>
      <c r="G204" s="663" t="s">
        <v>1053</v>
      </c>
      <c r="H204" s="663" t="s">
        <v>1204</v>
      </c>
      <c r="I204" s="663" t="s">
        <v>1204</v>
      </c>
      <c r="J204" s="663" t="s">
        <v>1205</v>
      </c>
      <c r="K204" s="663" t="s">
        <v>1206</v>
      </c>
      <c r="L204" s="665">
        <v>111.95011693294454</v>
      </c>
      <c r="M204" s="665">
        <v>3</v>
      </c>
      <c r="N204" s="666">
        <v>335.85035079883363</v>
      </c>
    </row>
    <row r="205" spans="1:14" ht="14.4" customHeight="1" x14ac:dyDescent="0.3">
      <c r="A205" s="661" t="s">
        <v>512</v>
      </c>
      <c r="B205" s="662" t="s">
        <v>1387</v>
      </c>
      <c r="C205" s="663" t="s">
        <v>517</v>
      </c>
      <c r="D205" s="664" t="s">
        <v>1388</v>
      </c>
      <c r="E205" s="663" t="s">
        <v>1164</v>
      </c>
      <c r="F205" s="664" t="s">
        <v>1390</v>
      </c>
      <c r="G205" s="663" t="s">
        <v>1053</v>
      </c>
      <c r="H205" s="663" t="s">
        <v>1207</v>
      </c>
      <c r="I205" s="663" t="s">
        <v>1207</v>
      </c>
      <c r="J205" s="663" t="s">
        <v>1208</v>
      </c>
      <c r="K205" s="663" t="s">
        <v>1206</v>
      </c>
      <c r="L205" s="665">
        <v>111.94999999999999</v>
      </c>
      <c r="M205" s="665">
        <v>3</v>
      </c>
      <c r="N205" s="666">
        <v>335.84999999999997</v>
      </c>
    </row>
    <row r="206" spans="1:14" ht="14.4" customHeight="1" x14ac:dyDescent="0.3">
      <c r="A206" s="661" t="s">
        <v>512</v>
      </c>
      <c r="B206" s="662" t="s">
        <v>1387</v>
      </c>
      <c r="C206" s="663" t="s">
        <v>517</v>
      </c>
      <c r="D206" s="664" t="s">
        <v>1388</v>
      </c>
      <c r="E206" s="663" t="s">
        <v>1164</v>
      </c>
      <c r="F206" s="664" t="s">
        <v>1390</v>
      </c>
      <c r="G206" s="663" t="s">
        <v>1053</v>
      </c>
      <c r="H206" s="663" t="s">
        <v>1209</v>
      </c>
      <c r="I206" s="663" t="s">
        <v>1210</v>
      </c>
      <c r="J206" s="663" t="s">
        <v>1211</v>
      </c>
      <c r="K206" s="663" t="s">
        <v>1206</v>
      </c>
      <c r="L206" s="665">
        <v>111.94987883740509</v>
      </c>
      <c r="M206" s="665">
        <v>3</v>
      </c>
      <c r="N206" s="666">
        <v>335.84963651221528</v>
      </c>
    </row>
    <row r="207" spans="1:14" ht="14.4" customHeight="1" x14ac:dyDescent="0.3">
      <c r="A207" s="661" t="s">
        <v>512</v>
      </c>
      <c r="B207" s="662" t="s">
        <v>1387</v>
      </c>
      <c r="C207" s="663" t="s">
        <v>517</v>
      </c>
      <c r="D207" s="664" t="s">
        <v>1388</v>
      </c>
      <c r="E207" s="663" t="s">
        <v>1164</v>
      </c>
      <c r="F207" s="664" t="s">
        <v>1390</v>
      </c>
      <c r="G207" s="663" t="s">
        <v>1053</v>
      </c>
      <c r="H207" s="663" t="s">
        <v>1212</v>
      </c>
      <c r="I207" s="663" t="s">
        <v>1212</v>
      </c>
      <c r="J207" s="663" t="s">
        <v>1213</v>
      </c>
      <c r="K207" s="663" t="s">
        <v>1214</v>
      </c>
      <c r="L207" s="665">
        <v>122.69</v>
      </c>
      <c r="M207" s="665">
        <v>2</v>
      </c>
      <c r="N207" s="666">
        <v>245.38</v>
      </c>
    </row>
    <row r="208" spans="1:14" ht="14.4" customHeight="1" x14ac:dyDescent="0.3">
      <c r="A208" s="661" t="s">
        <v>512</v>
      </c>
      <c r="B208" s="662" t="s">
        <v>1387</v>
      </c>
      <c r="C208" s="663" t="s">
        <v>517</v>
      </c>
      <c r="D208" s="664" t="s">
        <v>1388</v>
      </c>
      <c r="E208" s="663" t="s">
        <v>1164</v>
      </c>
      <c r="F208" s="664" t="s">
        <v>1390</v>
      </c>
      <c r="G208" s="663" t="s">
        <v>1053</v>
      </c>
      <c r="H208" s="663" t="s">
        <v>1215</v>
      </c>
      <c r="I208" s="663" t="s">
        <v>1215</v>
      </c>
      <c r="J208" s="663" t="s">
        <v>1216</v>
      </c>
      <c r="K208" s="663" t="s">
        <v>1214</v>
      </c>
      <c r="L208" s="665">
        <v>122.68999999999997</v>
      </c>
      <c r="M208" s="665">
        <v>5</v>
      </c>
      <c r="N208" s="666">
        <v>613.44999999999982</v>
      </c>
    </row>
    <row r="209" spans="1:14" ht="14.4" customHeight="1" x14ac:dyDescent="0.3">
      <c r="A209" s="661" t="s">
        <v>512</v>
      </c>
      <c r="B209" s="662" t="s">
        <v>1387</v>
      </c>
      <c r="C209" s="663" t="s">
        <v>517</v>
      </c>
      <c r="D209" s="664" t="s">
        <v>1388</v>
      </c>
      <c r="E209" s="663" t="s">
        <v>1164</v>
      </c>
      <c r="F209" s="664" t="s">
        <v>1390</v>
      </c>
      <c r="G209" s="663" t="s">
        <v>1053</v>
      </c>
      <c r="H209" s="663" t="s">
        <v>1217</v>
      </c>
      <c r="I209" s="663" t="s">
        <v>1217</v>
      </c>
      <c r="J209" s="663" t="s">
        <v>1218</v>
      </c>
      <c r="K209" s="663" t="s">
        <v>1214</v>
      </c>
      <c r="L209" s="665">
        <v>129.97</v>
      </c>
      <c r="M209" s="665">
        <v>2</v>
      </c>
      <c r="N209" s="666">
        <v>259.94</v>
      </c>
    </row>
    <row r="210" spans="1:14" ht="14.4" customHeight="1" x14ac:dyDescent="0.3">
      <c r="A210" s="661" t="s">
        <v>512</v>
      </c>
      <c r="B210" s="662" t="s">
        <v>1387</v>
      </c>
      <c r="C210" s="663" t="s">
        <v>517</v>
      </c>
      <c r="D210" s="664" t="s">
        <v>1388</v>
      </c>
      <c r="E210" s="663" t="s">
        <v>1164</v>
      </c>
      <c r="F210" s="664" t="s">
        <v>1390</v>
      </c>
      <c r="G210" s="663" t="s">
        <v>1053</v>
      </c>
      <c r="H210" s="663" t="s">
        <v>1219</v>
      </c>
      <c r="I210" s="663" t="s">
        <v>1219</v>
      </c>
      <c r="J210" s="663" t="s">
        <v>1220</v>
      </c>
      <c r="K210" s="663" t="s">
        <v>1214</v>
      </c>
      <c r="L210" s="665">
        <v>129.97</v>
      </c>
      <c r="M210" s="665">
        <v>2</v>
      </c>
      <c r="N210" s="666">
        <v>259.94</v>
      </c>
    </row>
    <row r="211" spans="1:14" ht="14.4" customHeight="1" x14ac:dyDescent="0.3">
      <c r="A211" s="661" t="s">
        <v>512</v>
      </c>
      <c r="B211" s="662" t="s">
        <v>1387</v>
      </c>
      <c r="C211" s="663" t="s">
        <v>517</v>
      </c>
      <c r="D211" s="664" t="s">
        <v>1388</v>
      </c>
      <c r="E211" s="663" t="s">
        <v>1164</v>
      </c>
      <c r="F211" s="664" t="s">
        <v>1390</v>
      </c>
      <c r="G211" s="663" t="s">
        <v>1053</v>
      </c>
      <c r="H211" s="663" t="s">
        <v>1221</v>
      </c>
      <c r="I211" s="663" t="s">
        <v>1222</v>
      </c>
      <c r="J211" s="663" t="s">
        <v>1223</v>
      </c>
      <c r="K211" s="663" t="s">
        <v>1190</v>
      </c>
      <c r="L211" s="665">
        <v>30.669999999999995</v>
      </c>
      <c r="M211" s="665">
        <v>4</v>
      </c>
      <c r="N211" s="666">
        <v>122.67999999999998</v>
      </c>
    </row>
    <row r="212" spans="1:14" ht="14.4" customHeight="1" x14ac:dyDescent="0.3">
      <c r="A212" s="661" t="s">
        <v>512</v>
      </c>
      <c r="B212" s="662" t="s">
        <v>1387</v>
      </c>
      <c r="C212" s="663" t="s">
        <v>517</v>
      </c>
      <c r="D212" s="664" t="s">
        <v>1388</v>
      </c>
      <c r="E212" s="663" t="s">
        <v>1224</v>
      </c>
      <c r="F212" s="664" t="s">
        <v>1391</v>
      </c>
      <c r="G212" s="663"/>
      <c r="H212" s="663" t="s">
        <v>1225</v>
      </c>
      <c r="I212" s="663" t="s">
        <v>1225</v>
      </c>
      <c r="J212" s="663" t="s">
        <v>1226</v>
      </c>
      <c r="K212" s="663" t="s">
        <v>1227</v>
      </c>
      <c r="L212" s="665">
        <v>316.02999999999997</v>
      </c>
      <c r="M212" s="665">
        <v>1</v>
      </c>
      <c r="N212" s="666">
        <v>316.02999999999997</v>
      </c>
    </row>
    <row r="213" spans="1:14" ht="14.4" customHeight="1" x14ac:dyDescent="0.3">
      <c r="A213" s="661" t="s">
        <v>512</v>
      </c>
      <c r="B213" s="662" t="s">
        <v>1387</v>
      </c>
      <c r="C213" s="663" t="s">
        <v>517</v>
      </c>
      <c r="D213" s="664" t="s">
        <v>1388</v>
      </c>
      <c r="E213" s="663" t="s">
        <v>1224</v>
      </c>
      <c r="F213" s="664" t="s">
        <v>1391</v>
      </c>
      <c r="G213" s="663" t="s">
        <v>561</v>
      </c>
      <c r="H213" s="663" t="s">
        <v>1228</v>
      </c>
      <c r="I213" s="663" t="s">
        <v>1228</v>
      </c>
      <c r="J213" s="663" t="s">
        <v>1229</v>
      </c>
      <c r="K213" s="663" t="s">
        <v>1230</v>
      </c>
      <c r="L213" s="665">
        <v>57.989999999999995</v>
      </c>
      <c r="M213" s="665">
        <v>4</v>
      </c>
      <c r="N213" s="666">
        <v>231.95999999999998</v>
      </c>
    </row>
    <row r="214" spans="1:14" ht="14.4" customHeight="1" x14ac:dyDescent="0.3">
      <c r="A214" s="661" t="s">
        <v>512</v>
      </c>
      <c r="B214" s="662" t="s">
        <v>1387</v>
      </c>
      <c r="C214" s="663" t="s">
        <v>517</v>
      </c>
      <c r="D214" s="664" t="s">
        <v>1388</v>
      </c>
      <c r="E214" s="663" t="s">
        <v>1224</v>
      </c>
      <c r="F214" s="664" t="s">
        <v>1391</v>
      </c>
      <c r="G214" s="663" t="s">
        <v>561</v>
      </c>
      <c r="H214" s="663" t="s">
        <v>1231</v>
      </c>
      <c r="I214" s="663" t="s">
        <v>1232</v>
      </c>
      <c r="J214" s="663" t="s">
        <v>1233</v>
      </c>
      <c r="K214" s="663" t="s">
        <v>1234</v>
      </c>
      <c r="L214" s="665">
        <v>51.039999999999992</v>
      </c>
      <c r="M214" s="665">
        <v>9</v>
      </c>
      <c r="N214" s="666">
        <v>459.35999999999996</v>
      </c>
    </row>
    <row r="215" spans="1:14" ht="14.4" customHeight="1" x14ac:dyDescent="0.3">
      <c r="A215" s="661" t="s">
        <v>512</v>
      </c>
      <c r="B215" s="662" t="s">
        <v>1387</v>
      </c>
      <c r="C215" s="663" t="s">
        <v>517</v>
      </c>
      <c r="D215" s="664" t="s">
        <v>1388</v>
      </c>
      <c r="E215" s="663" t="s">
        <v>1224</v>
      </c>
      <c r="F215" s="664" t="s">
        <v>1391</v>
      </c>
      <c r="G215" s="663" t="s">
        <v>561</v>
      </c>
      <c r="H215" s="663" t="s">
        <v>1235</v>
      </c>
      <c r="I215" s="663" t="s">
        <v>1236</v>
      </c>
      <c r="J215" s="663" t="s">
        <v>1237</v>
      </c>
      <c r="K215" s="663" t="s">
        <v>613</v>
      </c>
      <c r="L215" s="665">
        <v>67.739999999999966</v>
      </c>
      <c r="M215" s="665">
        <v>12</v>
      </c>
      <c r="N215" s="666">
        <v>812.87999999999965</v>
      </c>
    </row>
    <row r="216" spans="1:14" ht="14.4" customHeight="1" x14ac:dyDescent="0.3">
      <c r="A216" s="661" t="s">
        <v>512</v>
      </c>
      <c r="B216" s="662" t="s">
        <v>1387</v>
      </c>
      <c r="C216" s="663" t="s">
        <v>517</v>
      </c>
      <c r="D216" s="664" t="s">
        <v>1388</v>
      </c>
      <c r="E216" s="663" t="s">
        <v>1224</v>
      </c>
      <c r="F216" s="664" t="s">
        <v>1391</v>
      </c>
      <c r="G216" s="663" t="s">
        <v>561</v>
      </c>
      <c r="H216" s="663" t="s">
        <v>1238</v>
      </c>
      <c r="I216" s="663" t="s">
        <v>1239</v>
      </c>
      <c r="J216" s="663" t="s">
        <v>1240</v>
      </c>
      <c r="K216" s="663" t="s">
        <v>1241</v>
      </c>
      <c r="L216" s="665">
        <v>1739.1000000000006</v>
      </c>
      <c r="M216" s="665">
        <v>0.3</v>
      </c>
      <c r="N216" s="666">
        <v>521.73000000000013</v>
      </c>
    </row>
    <row r="217" spans="1:14" ht="14.4" customHeight="1" x14ac:dyDescent="0.3">
      <c r="A217" s="661" t="s">
        <v>512</v>
      </c>
      <c r="B217" s="662" t="s">
        <v>1387</v>
      </c>
      <c r="C217" s="663" t="s">
        <v>517</v>
      </c>
      <c r="D217" s="664" t="s">
        <v>1388</v>
      </c>
      <c r="E217" s="663" t="s">
        <v>1224</v>
      </c>
      <c r="F217" s="664" t="s">
        <v>1391</v>
      </c>
      <c r="G217" s="663" t="s">
        <v>561</v>
      </c>
      <c r="H217" s="663" t="s">
        <v>1242</v>
      </c>
      <c r="I217" s="663" t="s">
        <v>1243</v>
      </c>
      <c r="J217" s="663" t="s">
        <v>1244</v>
      </c>
      <c r="K217" s="663" t="s">
        <v>1245</v>
      </c>
      <c r="L217" s="665">
        <v>31.890000000000008</v>
      </c>
      <c r="M217" s="665">
        <v>5</v>
      </c>
      <c r="N217" s="666">
        <v>159.45000000000005</v>
      </c>
    </row>
    <row r="218" spans="1:14" ht="14.4" customHeight="1" x14ac:dyDescent="0.3">
      <c r="A218" s="661" t="s">
        <v>512</v>
      </c>
      <c r="B218" s="662" t="s">
        <v>1387</v>
      </c>
      <c r="C218" s="663" t="s">
        <v>517</v>
      </c>
      <c r="D218" s="664" t="s">
        <v>1388</v>
      </c>
      <c r="E218" s="663" t="s">
        <v>1224</v>
      </c>
      <c r="F218" s="664" t="s">
        <v>1391</v>
      </c>
      <c r="G218" s="663" t="s">
        <v>561</v>
      </c>
      <c r="H218" s="663" t="s">
        <v>1246</v>
      </c>
      <c r="I218" s="663" t="s">
        <v>1247</v>
      </c>
      <c r="J218" s="663" t="s">
        <v>1248</v>
      </c>
      <c r="K218" s="663" t="s">
        <v>1249</v>
      </c>
      <c r="L218" s="665">
        <v>23.560030877880685</v>
      </c>
      <c r="M218" s="665">
        <v>73</v>
      </c>
      <c r="N218" s="666">
        <v>1719.88225408529</v>
      </c>
    </row>
    <row r="219" spans="1:14" ht="14.4" customHeight="1" x14ac:dyDescent="0.3">
      <c r="A219" s="661" t="s">
        <v>512</v>
      </c>
      <c r="B219" s="662" t="s">
        <v>1387</v>
      </c>
      <c r="C219" s="663" t="s">
        <v>517</v>
      </c>
      <c r="D219" s="664" t="s">
        <v>1388</v>
      </c>
      <c r="E219" s="663" t="s">
        <v>1224</v>
      </c>
      <c r="F219" s="664" t="s">
        <v>1391</v>
      </c>
      <c r="G219" s="663" t="s">
        <v>561</v>
      </c>
      <c r="H219" s="663" t="s">
        <v>1250</v>
      </c>
      <c r="I219" s="663" t="s">
        <v>1251</v>
      </c>
      <c r="J219" s="663" t="s">
        <v>1252</v>
      </c>
      <c r="K219" s="663" t="s">
        <v>1253</v>
      </c>
      <c r="L219" s="665">
        <v>607.2180115879612</v>
      </c>
      <c r="M219" s="665">
        <v>10</v>
      </c>
      <c r="N219" s="666">
        <v>6072.1801158796115</v>
      </c>
    </row>
    <row r="220" spans="1:14" ht="14.4" customHeight="1" x14ac:dyDescent="0.3">
      <c r="A220" s="661" t="s">
        <v>512</v>
      </c>
      <c r="B220" s="662" t="s">
        <v>1387</v>
      </c>
      <c r="C220" s="663" t="s">
        <v>517</v>
      </c>
      <c r="D220" s="664" t="s">
        <v>1388</v>
      </c>
      <c r="E220" s="663" t="s">
        <v>1224</v>
      </c>
      <c r="F220" s="664" t="s">
        <v>1391</v>
      </c>
      <c r="G220" s="663" t="s">
        <v>561</v>
      </c>
      <c r="H220" s="663" t="s">
        <v>1254</v>
      </c>
      <c r="I220" s="663" t="s">
        <v>1254</v>
      </c>
      <c r="J220" s="663" t="s">
        <v>1255</v>
      </c>
      <c r="K220" s="663" t="s">
        <v>1256</v>
      </c>
      <c r="L220" s="665">
        <v>264</v>
      </c>
      <c r="M220" s="665">
        <v>1</v>
      </c>
      <c r="N220" s="666">
        <v>264</v>
      </c>
    </row>
    <row r="221" spans="1:14" ht="14.4" customHeight="1" x14ac:dyDescent="0.3">
      <c r="A221" s="661" t="s">
        <v>512</v>
      </c>
      <c r="B221" s="662" t="s">
        <v>1387</v>
      </c>
      <c r="C221" s="663" t="s">
        <v>517</v>
      </c>
      <c r="D221" s="664" t="s">
        <v>1388</v>
      </c>
      <c r="E221" s="663" t="s">
        <v>1224</v>
      </c>
      <c r="F221" s="664" t="s">
        <v>1391</v>
      </c>
      <c r="G221" s="663" t="s">
        <v>561</v>
      </c>
      <c r="H221" s="663" t="s">
        <v>1257</v>
      </c>
      <c r="I221" s="663" t="s">
        <v>1258</v>
      </c>
      <c r="J221" s="663" t="s">
        <v>1259</v>
      </c>
      <c r="K221" s="663" t="s">
        <v>1260</v>
      </c>
      <c r="L221" s="665">
        <v>181.49999999999991</v>
      </c>
      <c r="M221" s="665">
        <v>70.200000000000017</v>
      </c>
      <c r="N221" s="666">
        <v>12741.299999999997</v>
      </c>
    </row>
    <row r="222" spans="1:14" ht="14.4" customHeight="1" x14ac:dyDescent="0.3">
      <c r="A222" s="661" t="s">
        <v>512</v>
      </c>
      <c r="B222" s="662" t="s">
        <v>1387</v>
      </c>
      <c r="C222" s="663" t="s">
        <v>517</v>
      </c>
      <c r="D222" s="664" t="s">
        <v>1388</v>
      </c>
      <c r="E222" s="663" t="s">
        <v>1224</v>
      </c>
      <c r="F222" s="664" t="s">
        <v>1391</v>
      </c>
      <c r="G222" s="663" t="s">
        <v>561</v>
      </c>
      <c r="H222" s="663" t="s">
        <v>1261</v>
      </c>
      <c r="I222" s="663" t="s">
        <v>1262</v>
      </c>
      <c r="J222" s="663" t="s">
        <v>1263</v>
      </c>
      <c r="K222" s="663" t="s">
        <v>1264</v>
      </c>
      <c r="L222" s="665">
        <v>385.41</v>
      </c>
      <c r="M222" s="665">
        <v>1</v>
      </c>
      <c r="N222" s="666">
        <v>385.41</v>
      </c>
    </row>
    <row r="223" spans="1:14" ht="14.4" customHeight="1" x14ac:dyDescent="0.3">
      <c r="A223" s="661" t="s">
        <v>512</v>
      </c>
      <c r="B223" s="662" t="s">
        <v>1387</v>
      </c>
      <c r="C223" s="663" t="s">
        <v>517</v>
      </c>
      <c r="D223" s="664" t="s">
        <v>1388</v>
      </c>
      <c r="E223" s="663" t="s">
        <v>1224</v>
      </c>
      <c r="F223" s="664" t="s">
        <v>1391</v>
      </c>
      <c r="G223" s="663" t="s">
        <v>561</v>
      </c>
      <c r="H223" s="663" t="s">
        <v>1265</v>
      </c>
      <c r="I223" s="663" t="s">
        <v>1266</v>
      </c>
      <c r="J223" s="663" t="s">
        <v>1267</v>
      </c>
      <c r="K223" s="663" t="s">
        <v>1268</v>
      </c>
      <c r="L223" s="665">
        <v>660.69998305084732</v>
      </c>
      <c r="M223" s="665">
        <v>2.95</v>
      </c>
      <c r="N223" s="666">
        <v>1949.0649499999997</v>
      </c>
    </row>
    <row r="224" spans="1:14" ht="14.4" customHeight="1" x14ac:dyDescent="0.3">
      <c r="A224" s="661" t="s">
        <v>512</v>
      </c>
      <c r="B224" s="662" t="s">
        <v>1387</v>
      </c>
      <c r="C224" s="663" t="s">
        <v>517</v>
      </c>
      <c r="D224" s="664" t="s">
        <v>1388</v>
      </c>
      <c r="E224" s="663" t="s">
        <v>1224</v>
      </c>
      <c r="F224" s="664" t="s">
        <v>1391</v>
      </c>
      <c r="G224" s="663" t="s">
        <v>561</v>
      </c>
      <c r="H224" s="663" t="s">
        <v>1269</v>
      </c>
      <c r="I224" s="663" t="s">
        <v>1269</v>
      </c>
      <c r="J224" s="663" t="s">
        <v>1270</v>
      </c>
      <c r="K224" s="663" t="s">
        <v>1271</v>
      </c>
      <c r="L224" s="665">
        <v>517</v>
      </c>
      <c r="M224" s="665">
        <v>1</v>
      </c>
      <c r="N224" s="666">
        <v>517</v>
      </c>
    </row>
    <row r="225" spans="1:14" ht="14.4" customHeight="1" x14ac:dyDescent="0.3">
      <c r="A225" s="661" t="s">
        <v>512</v>
      </c>
      <c r="B225" s="662" t="s">
        <v>1387</v>
      </c>
      <c r="C225" s="663" t="s">
        <v>517</v>
      </c>
      <c r="D225" s="664" t="s">
        <v>1388</v>
      </c>
      <c r="E225" s="663" t="s">
        <v>1224</v>
      </c>
      <c r="F225" s="664" t="s">
        <v>1391</v>
      </c>
      <c r="G225" s="663" t="s">
        <v>561</v>
      </c>
      <c r="H225" s="663" t="s">
        <v>1272</v>
      </c>
      <c r="I225" s="663" t="s">
        <v>1272</v>
      </c>
      <c r="J225" s="663" t="s">
        <v>1273</v>
      </c>
      <c r="K225" s="663" t="s">
        <v>1274</v>
      </c>
      <c r="L225" s="665">
        <v>462</v>
      </c>
      <c r="M225" s="665">
        <v>47.5</v>
      </c>
      <c r="N225" s="666">
        <v>21945</v>
      </c>
    </row>
    <row r="226" spans="1:14" ht="14.4" customHeight="1" x14ac:dyDescent="0.3">
      <c r="A226" s="661" t="s">
        <v>512</v>
      </c>
      <c r="B226" s="662" t="s">
        <v>1387</v>
      </c>
      <c r="C226" s="663" t="s">
        <v>517</v>
      </c>
      <c r="D226" s="664" t="s">
        <v>1388</v>
      </c>
      <c r="E226" s="663" t="s">
        <v>1224</v>
      </c>
      <c r="F226" s="664" t="s">
        <v>1391</v>
      </c>
      <c r="G226" s="663" t="s">
        <v>561</v>
      </c>
      <c r="H226" s="663" t="s">
        <v>1275</v>
      </c>
      <c r="I226" s="663" t="s">
        <v>1275</v>
      </c>
      <c r="J226" s="663" t="s">
        <v>1276</v>
      </c>
      <c r="K226" s="663" t="s">
        <v>1000</v>
      </c>
      <c r="L226" s="665">
        <v>154.69333333333336</v>
      </c>
      <c r="M226" s="665">
        <v>3.6</v>
      </c>
      <c r="N226" s="666">
        <v>556.89600000000007</v>
      </c>
    </row>
    <row r="227" spans="1:14" ht="14.4" customHeight="1" x14ac:dyDescent="0.3">
      <c r="A227" s="661" t="s">
        <v>512</v>
      </c>
      <c r="B227" s="662" t="s">
        <v>1387</v>
      </c>
      <c r="C227" s="663" t="s">
        <v>517</v>
      </c>
      <c r="D227" s="664" t="s">
        <v>1388</v>
      </c>
      <c r="E227" s="663" t="s">
        <v>1224</v>
      </c>
      <c r="F227" s="664" t="s">
        <v>1391</v>
      </c>
      <c r="G227" s="663" t="s">
        <v>561</v>
      </c>
      <c r="H227" s="663" t="s">
        <v>1277</v>
      </c>
      <c r="I227" s="663" t="s">
        <v>1277</v>
      </c>
      <c r="J227" s="663" t="s">
        <v>1278</v>
      </c>
      <c r="K227" s="663" t="s">
        <v>1279</v>
      </c>
      <c r="L227" s="665">
        <v>217.8</v>
      </c>
      <c r="M227" s="665">
        <v>1.6</v>
      </c>
      <c r="N227" s="666">
        <v>348.48</v>
      </c>
    </row>
    <row r="228" spans="1:14" ht="14.4" customHeight="1" x14ac:dyDescent="0.3">
      <c r="A228" s="661" t="s">
        <v>512</v>
      </c>
      <c r="B228" s="662" t="s">
        <v>1387</v>
      </c>
      <c r="C228" s="663" t="s">
        <v>517</v>
      </c>
      <c r="D228" s="664" t="s">
        <v>1388</v>
      </c>
      <c r="E228" s="663" t="s">
        <v>1224</v>
      </c>
      <c r="F228" s="664" t="s">
        <v>1391</v>
      </c>
      <c r="G228" s="663" t="s">
        <v>561</v>
      </c>
      <c r="H228" s="663" t="s">
        <v>1280</v>
      </c>
      <c r="I228" s="663" t="s">
        <v>1280</v>
      </c>
      <c r="J228" s="663" t="s">
        <v>1281</v>
      </c>
      <c r="K228" s="663" t="s">
        <v>1282</v>
      </c>
      <c r="L228" s="665">
        <v>286</v>
      </c>
      <c r="M228" s="665">
        <v>19.600000000000001</v>
      </c>
      <c r="N228" s="666">
        <v>5605.6</v>
      </c>
    </row>
    <row r="229" spans="1:14" ht="14.4" customHeight="1" x14ac:dyDescent="0.3">
      <c r="A229" s="661" t="s">
        <v>512</v>
      </c>
      <c r="B229" s="662" t="s">
        <v>1387</v>
      </c>
      <c r="C229" s="663" t="s">
        <v>517</v>
      </c>
      <c r="D229" s="664" t="s">
        <v>1388</v>
      </c>
      <c r="E229" s="663" t="s">
        <v>1224</v>
      </c>
      <c r="F229" s="664" t="s">
        <v>1391</v>
      </c>
      <c r="G229" s="663" t="s">
        <v>561</v>
      </c>
      <c r="H229" s="663" t="s">
        <v>1283</v>
      </c>
      <c r="I229" s="663" t="s">
        <v>1284</v>
      </c>
      <c r="J229" s="663" t="s">
        <v>1285</v>
      </c>
      <c r="K229" s="663" t="s">
        <v>1286</v>
      </c>
      <c r="L229" s="665">
        <v>264</v>
      </c>
      <c r="M229" s="665">
        <v>2</v>
      </c>
      <c r="N229" s="666">
        <v>528</v>
      </c>
    </row>
    <row r="230" spans="1:14" ht="14.4" customHeight="1" x14ac:dyDescent="0.3">
      <c r="A230" s="661" t="s">
        <v>512</v>
      </c>
      <c r="B230" s="662" t="s">
        <v>1387</v>
      </c>
      <c r="C230" s="663" t="s">
        <v>517</v>
      </c>
      <c r="D230" s="664" t="s">
        <v>1388</v>
      </c>
      <c r="E230" s="663" t="s">
        <v>1224</v>
      </c>
      <c r="F230" s="664" t="s">
        <v>1391</v>
      </c>
      <c r="G230" s="663" t="s">
        <v>561</v>
      </c>
      <c r="H230" s="663" t="s">
        <v>1287</v>
      </c>
      <c r="I230" s="663" t="s">
        <v>1287</v>
      </c>
      <c r="J230" s="663" t="s">
        <v>1288</v>
      </c>
      <c r="K230" s="663" t="s">
        <v>1289</v>
      </c>
      <c r="L230" s="665">
        <v>231.99</v>
      </c>
      <c r="M230" s="665">
        <v>3</v>
      </c>
      <c r="N230" s="666">
        <v>695.97</v>
      </c>
    </row>
    <row r="231" spans="1:14" ht="14.4" customHeight="1" x14ac:dyDescent="0.3">
      <c r="A231" s="661" t="s">
        <v>512</v>
      </c>
      <c r="B231" s="662" t="s">
        <v>1387</v>
      </c>
      <c r="C231" s="663" t="s">
        <v>517</v>
      </c>
      <c r="D231" s="664" t="s">
        <v>1388</v>
      </c>
      <c r="E231" s="663" t="s">
        <v>1224</v>
      </c>
      <c r="F231" s="664" t="s">
        <v>1391</v>
      </c>
      <c r="G231" s="663" t="s">
        <v>561</v>
      </c>
      <c r="H231" s="663" t="s">
        <v>1290</v>
      </c>
      <c r="I231" s="663" t="s">
        <v>1290</v>
      </c>
      <c r="J231" s="663" t="s">
        <v>1291</v>
      </c>
      <c r="K231" s="663" t="s">
        <v>1292</v>
      </c>
      <c r="L231" s="665">
        <v>572.22</v>
      </c>
      <c r="M231" s="665">
        <v>3.4</v>
      </c>
      <c r="N231" s="666">
        <v>1945.548</v>
      </c>
    </row>
    <row r="232" spans="1:14" ht="14.4" customHeight="1" x14ac:dyDescent="0.3">
      <c r="A232" s="661" t="s">
        <v>512</v>
      </c>
      <c r="B232" s="662" t="s">
        <v>1387</v>
      </c>
      <c r="C232" s="663" t="s">
        <v>517</v>
      </c>
      <c r="D232" s="664" t="s">
        <v>1388</v>
      </c>
      <c r="E232" s="663" t="s">
        <v>1224</v>
      </c>
      <c r="F232" s="664" t="s">
        <v>1391</v>
      </c>
      <c r="G232" s="663" t="s">
        <v>561</v>
      </c>
      <c r="H232" s="663" t="s">
        <v>1293</v>
      </c>
      <c r="I232" s="663" t="s">
        <v>1293</v>
      </c>
      <c r="J232" s="663" t="s">
        <v>1294</v>
      </c>
      <c r="K232" s="663" t="s">
        <v>1295</v>
      </c>
      <c r="L232" s="665">
        <v>251.33061556657128</v>
      </c>
      <c r="M232" s="665">
        <v>50</v>
      </c>
      <c r="N232" s="666">
        <v>12566.530778328564</v>
      </c>
    </row>
    <row r="233" spans="1:14" ht="14.4" customHeight="1" x14ac:dyDescent="0.3">
      <c r="A233" s="661" t="s">
        <v>512</v>
      </c>
      <c r="B233" s="662" t="s">
        <v>1387</v>
      </c>
      <c r="C233" s="663" t="s">
        <v>517</v>
      </c>
      <c r="D233" s="664" t="s">
        <v>1388</v>
      </c>
      <c r="E233" s="663" t="s">
        <v>1224</v>
      </c>
      <c r="F233" s="664" t="s">
        <v>1391</v>
      </c>
      <c r="G233" s="663" t="s">
        <v>1053</v>
      </c>
      <c r="H233" s="663" t="s">
        <v>1296</v>
      </c>
      <c r="I233" s="663" t="s">
        <v>1297</v>
      </c>
      <c r="J233" s="663" t="s">
        <v>1298</v>
      </c>
      <c r="K233" s="663" t="s">
        <v>1299</v>
      </c>
      <c r="L233" s="665">
        <v>324.10000000000002</v>
      </c>
      <c r="M233" s="665">
        <v>0.5</v>
      </c>
      <c r="N233" s="666">
        <v>162.05000000000001</v>
      </c>
    </row>
    <row r="234" spans="1:14" ht="14.4" customHeight="1" x14ac:dyDescent="0.3">
      <c r="A234" s="661" t="s">
        <v>512</v>
      </c>
      <c r="B234" s="662" t="s">
        <v>1387</v>
      </c>
      <c r="C234" s="663" t="s">
        <v>517</v>
      </c>
      <c r="D234" s="664" t="s">
        <v>1388</v>
      </c>
      <c r="E234" s="663" t="s">
        <v>1224</v>
      </c>
      <c r="F234" s="664" t="s">
        <v>1391</v>
      </c>
      <c r="G234" s="663" t="s">
        <v>1053</v>
      </c>
      <c r="H234" s="663" t="s">
        <v>1300</v>
      </c>
      <c r="I234" s="663" t="s">
        <v>1301</v>
      </c>
      <c r="J234" s="663" t="s">
        <v>1302</v>
      </c>
      <c r="K234" s="663" t="s">
        <v>1303</v>
      </c>
      <c r="L234" s="665">
        <v>29.339044165882679</v>
      </c>
      <c r="M234" s="665">
        <v>465</v>
      </c>
      <c r="N234" s="666">
        <v>13642.655537135446</v>
      </c>
    </row>
    <row r="235" spans="1:14" ht="14.4" customHeight="1" x14ac:dyDescent="0.3">
      <c r="A235" s="661" t="s">
        <v>512</v>
      </c>
      <c r="B235" s="662" t="s">
        <v>1387</v>
      </c>
      <c r="C235" s="663" t="s">
        <v>517</v>
      </c>
      <c r="D235" s="664" t="s">
        <v>1388</v>
      </c>
      <c r="E235" s="663" t="s">
        <v>1224</v>
      </c>
      <c r="F235" s="664" t="s">
        <v>1391</v>
      </c>
      <c r="G235" s="663" t="s">
        <v>1053</v>
      </c>
      <c r="H235" s="663" t="s">
        <v>1304</v>
      </c>
      <c r="I235" s="663" t="s">
        <v>1305</v>
      </c>
      <c r="J235" s="663" t="s">
        <v>1306</v>
      </c>
      <c r="K235" s="663" t="s">
        <v>1307</v>
      </c>
      <c r="L235" s="665">
        <v>12412.950065640081</v>
      </c>
      <c r="M235" s="665">
        <v>40</v>
      </c>
      <c r="N235" s="666">
        <v>496518.00262560329</v>
      </c>
    </row>
    <row r="236" spans="1:14" ht="14.4" customHeight="1" x14ac:dyDescent="0.3">
      <c r="A236" s="661" t="s">
        <v>512</v>
      </c>
      <c r="B236" s="662" t="s">
        <v>1387</v>
      </c>
      <c r="C236" s="663" t="s">
        <v>517</v>
      </c>
      <c r="D236" s="664" t="s">
        <v>1388</v>
      </c>
      <c r="E236" s="663" t="s">
        <v>1224</v>
      </c>
      <c r="F236" s="664" t="s">
        <v>1391</v>
      </c>
      <c r="G236" s="663" t="s">
        <v>1053</v>
      </c>
      <c r="H236" s="663" t="s">
        <v>1308</v>
      </c>
      <c r="I236" s="663" t="s">
        <v>1308</v>
      </c>
      <c r="J236" s="663" t="s">
        <v>1309</v>
      </c>
      <c r="K236" s="663" t="s">
        <v>1295</v>
      </c>
      <c r="L236" s="665">
        <v>34.659999999999997</v>
      </c>
      <c r="M236" s="665">
        <v>10</v>
      </c>
      <c r="N236" s="666">
        <v>346.59999999999997</v>
      </c>
    </row>
    <row r="237" spans="1:14" ht="14.4" customHeight="1" x14ac:dyDescent="0.3">
      <c r="A237" s="661" t="s">
        <v>512</v>
      </c>
      <c r="B237" s="662" t="s">
        <v>1387</v>
      </c>
      <c r="C237" s="663" t="s">
        <v>517</v>
      </c>
      <c r="D237" s="664" t="s">
        <v>1388</v>
      </c>
      <c r="E237" s="663" t="s">
        <v>1224</v>
      </c>
      <c r="F237" s="664" t="s">
        <v>1391</v>
      </c>
      <c r="G237" s="663" t="s">
        <v>1053</v>
      </c>
      <c r="H237" s="663" t="s">
        <v>1310</v>
      </c>
      <c r="I237" s="663" t="s">
        <v>1310</v>
      </c>
      <c r="J237" s="663" t="s">
        <v>1311</v>
      </c>
      <c r="K237" s="663" t="s">
        <v>1312</v>
      </c>
      <c r="L237" s="665">
        <v>56.099999999999987</v>
      </c>
      <c r="M237" s="665">
        <v>10</v>
      </c>
      <c r="N237" s="666">
        <v>560.99999999999989</v>
      </c>
    </row>
    <row r="238" spans="1:14" ht="14.4" customHeight="1" x14ac:dyDescent="0.3">
      <c r="A238" s="661" t="s">
        <v>512</v>
      </c>
      <c r="B238" s="662" t="s">
        <v>1387</v>
      </c>
      <c r="C238" s="663" t="s">
        <v>517</v>
      </c>
      <c r="D238" s="664" t="s">
        <v>1388</v>
      </c>
      <c r="E238" s="663" t="s">
        <v>1224</v>
      </c>
      <c r="F238" s="664" t="s">
        <v>1391</v>
      </c>
      <c r="G238" s="663" t="s">
        <v>1053</v>
      </c>
      <c r="H238" s="663" t="s">
        <v>1313</v>
      </c>
      <c r="I238" s="663" t="s">
        <v>1313</v>
      </c>
      <c r="J238" s="663" t="s">
        <v>1314</v>
      </c>
      <c r="K238" s="663" t="s">
        <v>1000</v>
      </c>
      <c r="L238" s="665">
        <v>953.70000000000016</v>
      </c>
      <c r="M238" s="665">
        <v>35.6</v>
      </c>
      <c r="N238" s="666">
        <v>33951.720000000008</v>
      </c>
    </row>
    <row r="239" spans="1:14" ht="14.4" customHeight="1" x14ac:dyDescent="0.3">
      <c r="A239" s="661" t="s">
        <v>512</v>
      </c>
      <c r="B239" s="662" t="s">
        <v>1387</v>
      </c>
      <c r="C239" s="663" t="s">
        <v>517</v>
      </c>
      <c r="D239" s="664" t="s">
        <v>1388</v>
      </c>
      <c r="E239" s="663" t="s">
        <v>1315</v>
      </c>
      <c r="F239" s="664" t="s">
        <v>1392</v>
      </c>
      <c r="G239" s="663" t="s">
        <v>561</v>
      </c>
      <c r="H239" s="663" t="s">
        <v>1316</v>
      </c>
      <c r="I239" s="663" t="s">
        <v>1317</v>
      </c>
      <c r="J239" s="663" t="s">
        <v>1318</v>
      </c>
      <c r="K239" s="663" t="s">
        <v>1319</v>
      </c>
      <c r="L239" s="665">
        <v>108.62999999999997</v>
      </c>
      <c r="M239" s="665">
        <v>10</v>
      </c>
      <c r="N239" s="666">
        <v>1086.2999999999997</v>
      </c>
    </row>
    <row r="240" spans="1:14" ht="14.4" customHeight="1" x14ac:dyDescent="0.3">
      <c r="A240" s="661" t="s">
        <v>512</v>
      </c>
      <c r="B240" s="662" t="s">
        <v>1387</v>
      </c>
      <c r="C240" s="663" t="s">
        <v>517</v>
      </c>
      <c r="D240" s="664" t="s">
        <v>1388</v>
      </c>
      <c r="E240" s="663" t="s">
        <v>1315</v>
      </c>
      <c r="F240" s="664" t="s">
        <v>1392</v>
      </c>
      <c r="G240" s="663" t="s">
        <v>561</v>
      </c>
      <c r="H240" s="663" t="s">
        <v>1320</v>
      </c>
      <c r="I240" s="663" t="s">
        <v>1321</v>
      </c>
      <c r="J240" s="663" t="s">
        <v>1322</v>
      </c>
      <c r="K240" s="663" t="s">
        <v>1323</v>
      </c>
      <c r="L240" s="665">
        <v>5517.05</v>
      </c>
      <c r="M240" s="665">
        <v>8</v>
      </c>
      <c r="N240" s="666">
        <v>44136.4</v>
      </c>
    </row>
    <row r="241" spans="1:14" ht="14.4" customHeight="1" x14ac:dyDescent="0.3">
      <c r="A241" s="661" t="s">
        <v>512</v>
      </c>
      <c r="B241" s="662" t="s">
        <v>1387</v>
      </c>
      <c r="C241" s="663" t="s">
        <v>517</v>
      </c>
      <c r="D241" s="664" t="s">
        <v>1388</v>
      </c>
      <c r="E241" s="663" t="s">
        <v>1315</v>
      </c>
      <c r="F241" s="664" t="s">
        <v>1392</v>
      </c>
      <c r="G241" s="663" t="s">
        <v>561</v>
      </c>
      <c r="H241" s="663" t="s">
        <v>1324</v>
      </c>
      <c r="I241" s="663" t="s">
        <v>1325</v>
      </c>
      <c r="J241" s="663" t="s">
        <v>1326</v>
      </c>
      <c r="K241" s="663" t="s">
        <v>1327</v>
      </c>
      <c r="L241" s="665">
        <v>4950</v>
      </c>
      <c r="M241" s="665">
        <v>10</v>
      </c>
      <c r="N241" s="666">
        <v>49500</v>
      </c>
    </row>
    <row r="242" spans="1:14" ht="14.4" customHeight="1" x14ac:dyDescent="0.3">
      <c r="A242" s="661" t="s">
        <v>512</v>
      </c>
      <c r="B242" s="662" t="s">
        <v>1387</v>
      </c>
      <c r="C242" s="663" t="s">
        <v>517</v>
      </c>
      <c r="D242" s="664" t="s">
        <v>1388</v>
      </c>
      <c r="E242" s="663" t="s">
        <v>1315</v>
      </c>
      <c r="F242" s="664" t="s">
        <v>1392</v>
      </c>
      <c r="G242" s="663" t="s">
        <v>1053</v>
      </c>
      <c r="H242" s="663" t="s">
        <v>1328</v>
      </c>
      <c r="I242" s="663" t="s">
        <v>1328</v>
      </c>
      <c r="J242" s="663" t="s">
        <v>1329</v>
      </c>
      <c r="K242" s="663" t="s">
        <v>1330</v>
      </c>
      <c r="L242" s="665">
        <v>159.5</v>
      </c>
      <c r="M242" s="665">
        <v>10.5</v>
      </c>
      <c r="N242" s="666">
        <v>1674.75</v>
      </c>
    </row>
    <row r="243" spans="1:14" ht="14.4" customHeight="1" x14ac:dyDescent="0.3">
      <c r="A243" s="661" t="s">
        <v>512</v>
      </c>
      <c r="B243" s="662" t="s">
        <v>1387</v>
      </c>
      <c r="C243" s="663" t="s">
        <v>517</v>
      </c>
      <c r="D243" s="664" t="s">
        <v>1388</v>
      </c>
      <c r="E243" s="663" t="s">
        <v>1315</v>
      </c>
      <c r="F243" s="664" t="s">
        <v>1392</v>
      </c>
      <c r="G243" s="663" t="s">
        <v>1053</v>
      </c>
      <c r="H243" s="663" t="s">
        <v>1331</v>
      </c>
      <c r="I243" s="663" t="s">
        <v>1331</v>
      </c>
      <c r="J243" s="663" t="s">
        <v>1329</v>
      </c>
      <c r="K243" s="663" t="s">
        <v>1332</v>
      </c>
      <c r="L243" s="665">
        <v>308</v>
      </c>
      <c r="M243" s="665">
        <v>11.9</v>
      </c>
      <c r="N243" s="666">
        <v>3665.2</v>
      </c>
    </row>
    <row r="244" spans="1:14" ht="14.4" customHeight="1" x14ac:dyDescent="0.3">
      <c r="A244" s="661" t="s">
        <v>512</v>
      </c>
      <c r="B244" s="662" t="s">
        <v>1387</v>
      </c>
      <c r="C244" s="663" t="s">
        <v>517</v>
      </c>
      <c r="D244" s="664" t="s">
        <v>1388</v>
      </c>
      <c r="E244" s="663" t="s">
        <v>1315</v>
      </c>
      <c r="F244" s="664" t="s">
        <v>1392</v>
      </c>
      <c r="G244" s="663" t="s">
        <v>1053</v>
      </c>
      <c r="H244" s="663" t="s">
        <v>1333</v>
      </c>
      <c r="I244" s="663" t="s">
        <v>1333</v>
      </c>
      <c r="J244" s="663" t="s">
        <v>1334</v>
      </c>
      <c r="K244" s="663" t="s">
        <v>1335</v>
      </c>
      <c r="L244" s="665">
        <v>493.46</v>
      </c>
      <c r="M244" s="665">
        <v>30</v>
      </c>
      <c r="N244" s="666">
        <v>14803.8</v>
      </c>
    </row>
    <row r="245" spans="1:14" ht="14.4" customHeight="1" x14ac:dyDescent="0.3">
      <c r="A245" s="661" t="s">
        <v>512</v>
      </c>
      <c r="B245" s="662" t="s">
        <v>1387</v>
      </c>
      <c r="C245" s="663" t="s">
        <v>517</v>
      </c>
      <c r="D245" s="664" t="s">
        <v>1388</v>
      </c>
      <c r="E245" s="663" t="s">
        <v>1336</v>
      </c>
      <c r="F245" s="664" t="s">
        <v>1393</v>
      </c>
      <c r="G245" s="663"/>
      <c r="H245" s="663"/>
      <c r="I245" s="663" t="s">
        <v>1337</v>
      </c>
      <c r="J245" s="663" t="s">
        <v>1338</v>
      </c>
      <c r="K245" s="663"/>
      <c r="L245" s="665">
        <v>9002.2520000000004</v>
      </c>
      <c r="M245" s="665">
        <v>10</v>
      </c>
      <c r="N245" s="666">
        <v>90022.52</v>
      </c>
    </row>
    <row r="246" spans="1:14" ht="14.4" customHeight="1" x14ac:dyDescent="0.3">
      <c r="A246" s="661" t="s">
        <v>512</v>
      </c>
      <c r="B246" s="662" t="s">
        <v>1387</v>
      </c>
      <c r="C246" s="663" t="s">
        <v>517</v>
      </c>
      <c r="D246" s="664" t="s">
        <v>1388</v>
      </c>
      <c r="E246" s="663" t="s">
        <v>1336</v>
      </c>
      <c r="F246" s="664" t="s">
        <v>1393</v>
      </c>
      <c r="G246" s="663"/>
      <c r="H246" s="663"/>
      <c r="I246" s="663" t="s">
        <v>1339</v>
      </c>
      <c r="J246" s="663" t="s">
        <v>1340</v>
      </c>
      <c r="K246" s="663" t="s">
        <v>1341</v>
      </c>
      <c r="L246" s="665">
        <v>1287</v>
      </c>
      <c r="M246" s="665">
        <v>58</v>
      </c>
      <c r="N246" s="666">
        <v>74646</v>
      </c>
    </row>
    <row r="247" spans="1:14" ht="14.4" customHeight="1" x14ac:dyDescent="0.3">
      <c r="A247" s="661" t="s">
        <v>512</v>
      </c>
      <c r="B247" s="662" t="s">
        <v>1387</v>
      </c>
      <c r="C247" s="663" t="s">
        <v>517</v>
      </c>
      <c r="D247" s="664" t="s">
        <v>1388</v>
      </c>
      <c r="E247" s="663" t="s">
        <v>1336</v>
      </c>
      <c r="F247" s="664" t="s">
        <v>1393</v>
      </c>
      <c r="G247" s="663"/>
      <c r="H247" s="663"/>
      <c r="I247" s="663" t="s">
        <v>1342</v>
      </c>
      <c r="J247" s="663" t="s">
        <v>1343</v>
      </c>
      <c r="K247" s="663"/>
      <c r="L247" s="665">
        <v>4305.3999999999996</v>
      </c>
      <c r="M247" s="665">
        <v>10</v>
      </c>
      <c r="N247" s="666">
        <v>43054</v>
      </c>
    </row>
    <row r="248" spans="1:14" ht="14.4" customHeight="1" x14ac:dyDescent="0.3">
      <c r="A248" s="661" t="s">
        <v>512</v>
      </c>
      <c r="B248" s="662" t="s">
        <v>1387</v>
      </c>
      <c r="C248" s="663" t="s">
        <v>517</v>
      </c>
      <c r="D248" s="664" t="s">
        <v>1388</v>
      </c>
      <c r="E248" s="663" t="s">
        <v>1336</v>
      </c>
      <c r="F248" s="664" t="s">
        <v>1393</v>
      </c>
      <c r="G248" s="663"/>
      <c r="H248" s="663"/>
      <c r="I248" s="663" t="s">
        <v>1344</v>
      </c>
      <c r="J248" s="663" t="s">
        <v>1345</v>
      </c>
      <c r="K248" s="663"/>
      <c r="L248" s="665">
        <v>2945.8</v>
      </c>
      <c r="M248" s="665">
        <v>9</v>
      </c>
      <c r="N248" s="666">
        <v>26512.2</v>
      </c>
    </row>
    <row r="249" spans="1:14" ht="14.4" customHeight="1" x14ac:dyDescent="0.3">
      <c r="A249" s="661" t="s">
        <v>512</v>
      </c>
      <c r="B249" s="662" t="s">
        <v>1387</v>
      </c>
      <c r="C249" s="663" t="s">
        <v>517</v>
      </c>
      <c r="D249" s="664" t="s">
        <v>1388</v>
      </c>
      <c r="E249" s="663" t="s">
        <v>1336</v>
      </c>
      <c r="F249" s="664" t="s">
        <v>1393</v>
      </c>
      <c r="G249" s="663"/>
      <c r="H249" s="663"/>
      <c r="I249" s="663" t="s">
        <v>1346</v>
      </c>
      <c r="J249" s="663" t="s">
        <v>1347</v>
      </c>
      <c r="K249" s="663" t="s">
        <v>1348</v>
      </c>
      <c r="L249" s="665">
        <v>5899.4750000000004</v>
      </c>
      <c r="M249" s="665">
        <v>4</v>
      </c>
      <c r="N249" s="666">
        <v>23597.9</v>
      </c>
    </row>
    <row r="250" spans="1:14" ht="14.4" customHeight="1" x14ac:dyDescent="0.3">
      <c r="A250" s="661" t="s">
        <v>512</v>
      </c>
      <c r="B250" s="662" t="s">
        <v>1387</v>
      </c>
      <c r="C250" s="663" t="s">
        <v>517</v>
      </c>
      <c r="D250" s="664" t="s">
        <v>1388</v>
      </c>
      <c r="E250" s="663" t="s">
        <v>1349</v>
      </c>
      <c r="F250" s="664" t="s">
        <v>1394</v>
      </c>
      <c r="G250" s="663" t="s">
        <v>561</v>
      </c>
      <c r="H250" s="663" t="s">
        <v>1350</v>
      </c>
      <c r="I250" s="663" t="s">
        <v>1351</v>
      </c>
      <c r="J250" s="663" t="s">
        <v>1352</v>
      </c>
      <c r="K250" s="663" t="s">
        <v>1353</v>
      </c>
      <c r="L250" s="665">
        <v>3787.1700000000005</v>
      </c>
      <c r="M250" s="665">
        <v>1</v>
      </c>
      <c r="N250" s="666">
        <v>3787.1700000000005</v>
      </c>
    </row>
    <row r="251" spans="1:14" ht="14.4" customHeight="1" x14ac:dyDescent="0.3">
      <c r="A251" s="661" t="s">
        <v>512</v>
      </c>
      <c r="B251" s="662" t="s">
        <v>1387</v>
      </c>
      <c r="C251" s="663" t="s">
        <v>517</v>
      </c>
      <c r="D251" s="664" t="s">
        <v>1388</v>
      </c>
      <c r="E251" s="663" t="s">
        <v>1349</v>
      </c>
      <c r="F251" s="664" t="s">
        <v>1394</v>
      </c>
      <c r="G251" s="663" t="s">
        <v>561</v>
      </c>
      <c r="H251" s="663" t="s">
        <v>1354</v>
      </c>
      <c r="I251" s="663" t="s">
        <v>1355</v>
      </c>
      <c r="J251" s="663" t="s">
        <v>1356</v>
      </c>
      <c r="K251" s="663" t="s">
        <v>1357</v>
      </c>
      <c r="L251" s="665">
        <v>2081.1999999999998</v>
      </c>
      <c r="M251" s="665">
        <v>29</v>
      </c>
      <c r="N251" s="666">
        <v>60354.799999999988</v>
      </c>
    </row>
    <row r="252" spans="1:14" ht="14.4" customHeight="1" x14ac:dyDescent="0.3">
      <c r="A252" s="661" t="s">
        <v>512</v>
      </c>
      <c r="B252" s="662" t="s">
        <v>1387</v>
      </c>
      <c r="C252" s="663" t="s">
        <v>517</v>
      </c>
      <c r="D252" s="664" t="s">
        <v>1388</v>
      </c>
      <c r="E252" s="663" t="s">
        <v>1349</v>
      </c>
      <c r="F252" s="664" t="s">
        <v>1394</v>
      </c>
      <c r="G252" s="663" t="s">
        <v>561</v>
      </c>
      <c r="H252" s="663" t="s">
        <v>1358</v>
      </c>
      <c r="I252" s="663" t="s">
        <v>1359</v>
      </c>
      <c r="J252" s="663" t="s">
        <v>1360</v>
      </c>
      <c r="K252" s="663" t="s">
        <v>1361</v>
      </c>
      <c r="L252" s="665">
        <v>297</v>
      </c>
      <c r="M252" s="665">
        <v>30</v>
      </c>
      <c r="N252" s="666">
        <v>8910</v>
      </c>
    </row>
    <row r="253" spans="1:14" ht="14.4" customHeight="1" x14ac:dyDescent="0.3">
      <c r="A253" s="661" t="s">
        <v>512</v>
      </c>
      <c r="B253" s="662" t="s">
        <v>1387</v>
      </c>
      <c r="C253" s="663" t="s">
        <v>517</v>
      </c>
      <c r="D253" s="664" t="s">
        <v>1388</v>
      </c>
      <c r="E253" s="663" t="s">
        <v>1349</v>
      </c>
      <c r="F253" s="664" t="s">
        <v>1394</v>
      </c>
      <c r="G253" s="663" t="s">
        <v>561</v>
      </c>
      <c r="H253" s="663" t="s">
        <v>1362</v>
      </c>
      <c r="I253" s="663" t="s">
        <v>1363</v>
      </c>
      <c r="J253" s="663" t="s">
        <v>1364</v>
      </c>
      <c r="K253" s="663" t="s">
        <v>1365</v>
      </c>
      <c r="L253" s="665">
        <v>2443.1896841357038</v>
      </c>
      <c r="M253" s="665">
        <v>49</v>
      </c>
      <c r="N253" s="666">
        <v>119716.29452264949</v>
      </c>
    </row>
    <row r="254" spans="1:14" ht="14.4" customHeight="1" x14ac:dyDescent="0.3">
      <c r="A254" s="661" t="s">
        <v>512</v>
      </c>
      <c r="B254" s="662" t="s">
        <v>1387</v>
      </c>
      <c r="C254" s="663" t="s">
        <v>517</v>
      </c>
      <c r="D254" s="664" t="s">
        <v>1388</v>
      </c>
      <c r="E254" s="663" t="s">
        <v>1349</v>
      </c>
      <c r="F254" s="664" t="s">
        <v>1394</v>
      </c>
      <c r="G254" s="663" t="s">
        <v>561</v>
      </c>
      <c r="H254" s="663" t="s">
        <v>1366</v>
      </c>
      <c r="I254" s="663" t="s">
        <v>1366</v>
      </c>
      <c r="J254" s="663" t="s">
        <v>1367</v>
      </c>
      <c r="K254" s="663" t="s">
        <v>1368</v>
      </c>
      <c r="L254" s="665">
        <v>3410</v>
      </c>
      <c r="M254" s="665">
        <v>5</v>
      </c>
      <c r="N254" s="666">
        <v>17050</v>
      </c>
    </row>
    <row r="255" spans="1:14" ht="14.4" customHeight="1" x14ac:dyDescent="0.3">
      <c r="A255" s="661" t="s">
        <v>512</v>
      </c>
      <c r="B255" s="662" t="s">
        <v>1387</v>
      </c>
      <c r="C255" s="663" t="s">
        <v>517</v>
      </c>
      <c r="D255" s="664" t="s">
        <v>1388</v>
      </c>
      <c r="E255" s="663" t="s">
        <v>1349</v>
      </c>
      <c r="F255" s="664" t="s">
        <v>1394</v>
      </c>
      <c r="G255" s="663" t="s">
        <v>561</v>
      </c>
      <c r="H255" s="663" t="s">
        <v>1369</v>
      </c>
      <c r="I255" s="663" t="s">
        <v>1370</v>
      </c>
      <c r="J255" s="663" t="s">
        <v>1371</v>
      </c>
      <c r="K255" s="663" t="s">
        <v>1368</v>
      </c>
      <c r="L255" s="665">
        <v>1329.4608333333333</v>
      </c>
      <c r="M255" s="665">
        <v>3</v>
      </c>
      <c r="N255" s="666">
        <v>3988.3825000000002</v>
      </c>
    </row>
    <row r="256" spans="1:14" ht="14.4" customHeight="1" x14ac:dyDescent="0.3">
      <c r="A256" s="661" t="s">
        <v>512</v>
      </c>
      <c r="B256" s="662" t="s">
        <v>1387</v>
      </c>
      <c r="C256" s="663" t="s">
        <v>517</v>
      </c>
      <c r="D256" s="664" t="s">
        <v>1388</v>
      </c>
      <c r="E256" s="663" t="s">
        <v>1349</v>
      </c>
      <c r="F256" s="664" t="s">
        <v>1394</v>
      </c>
      <c r="G256" s="663" t="s">
        <v>561</v>
      </c>
      <c r="H256" s="663" t="s">
        <v>1372</v>
      </c>
      <c r="I256" s="663" t="s">
        <v>1373</v>
      </c>
      <c r="J256" s="663" t="s">
        <v>1374</v>
      </c>
      <c r="K256" s="663" t="s">
        <v>1375</v>
      </c>
      <c r="L256" s="665">
        <v>2062.5044138393105</v>
      </c>
      <c r="M256" s="665">
        <v>20</v>
      </c>
      <c r="N256" s="666">
        <v>41250.088276786213</v>
      </c>
    </row>
    <row r="257" spans="1:14" ht="14.4" customHeight="1" x14ac:dyDescent="0.3">
      <c r="A257" s="661" t="s">
        <v>512</v>
      </c>
      <c r="B257" s="662" t="s">
        <v>1387</v>
      </c>
      <c r="C257" s="663" t="s">
        <v>517</v>
      </c>
      <c r="D257" s="664" t="s">
        <v>1388</v>
      </c>
      <c r="E257" s="663" t="s">
        <v>1349</v>
      </c>
      <c r="F257" s="664" t="s">
        <v>1394</v>
      </c>
      <c r="G257" s="663" t="s">
        <v>561</v>
      </c>
      <c r="H257" s="663" t="s">
        <v>1376</v>
      </c>
      <c r="I257" s="663" t="s">
        <v>1377</v>
      </c>
      <c r="J257" s="663" t="s">
        <v>1378</v>
      </c>
      <c r="K257" s="663" t="s">
        <v>1379</v>
      </c>
      <c r="L257" s="665">
        <v>2188.9499999999998</v>
      </c>
      <c r="M257" s="665">
        <v>2</v>
      </c>
      <c r="N257" s="666">
        <v>4377.8999999999996</v>
      </c>
    </row>
    <row r="258" spans="1:14" ht="14.4" customHeight="1" x14ac:dyDescent="0.3">
      <c r="A258" s="661" t="s">
        <v>512</v>
      </c>
      <c r="B258" s="662" t="s">
        <v>1387</v>
      </c>
      <c r="C258" s="663" t="s">
        <v>517</v>
      </c>
      <c r="D258" s="664" t="s">
        <v>1388</v>
      </c>
      <c r="E258" s="663" t="s">
        <v>1349</v>
      </c>
      <c r="F258" s="664" t="s">
        <v>1394</v>
      </c>
      <c r="G258" s="663" t="s">
        <v>561</v>
      </c>
      <c r="H258" s="663" t="s">
        <v>1380</v>
      </c>
      <c r="I258" s="663" t="s">
        <v>1381</v>
      </c>
      <c r="J258" s="663" t="s">
        <v>1374</v>
      </c>
      <c r="K258" s="663" t="s">
        <v>1382</v>
      </c>
      <c r="L258" s="665">
        <v>3171.3000117863721</v>
      </c>
      <c r="M258" s="665">
        <v>13</v>
      </c>
      <c r="N258" s="666">
        <v>41226.900153222836</v>
      </c>
    </row>
    <row r="259" spans="1:14" ht="14.4" customHeight="1" thickBot="1" x14ac:dyDescent="0.35">
      <c r="A259" s="667" t="s">
        <v>512</v>
      </c>
      <c r="B259" s="668" t="s">
        <v>1387</v>
      </c>
      <c r="C259" s="669" t="s">
        <v>517</v>
      </c>
      <c r="D259" s="670" t="s">
        <v>1388</v>
      </c>
      <c r="E259" s="669" t="s">
        <v>1349</v>
      </c>
      <c r="F259" s="670" t="s">
        <v>1394</v>
      </c>
      <c r="G259" s="669" t="s">
        <v>561</v>
      </c>
      <c r="H259" s="669" t="s">
        <v>1383</v>
      </c>
      <c r="I259" s="669" t="s">
        <v>1384</v>
      </c>
      <c r="J259" s="669" t="s">
        <v>1385</v>
      </c>
      <c r="K259" s="669" t="s">
        <v>1386</v>
      </c>
      <c r="L259" s="671">
        <v>2221.34</v>
      </c>
      <c r="M259" s="671">
        <v>1</v>
      </c>
      <c r="N259" s="672">
        <v>2221.34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" style="310" customWidth="1"/>
    <col min="5" max="5" width="5.5546875" style="313" customWidth="1"/>
    <col min="6" max="6" width="10" style="310" customWidth="1"/>
    <col min="7" max="16384" width="8.88671875" style="231"/>
  </cols>
  <sheetData>
    <row r="1" spans="1:6" ht="37.200000000000003" customHeight="1" thickBot="1" x14ac:dyDescent="0.4">
      <c r="A1" s="526" t="s">
        <v>181</v>
      </c>
      <c r="B1" s="527"/>
      <c r="C1" s="527"/>
      <c r="D1" s="527"/>
      <c r="E1" s="527"/>
      <c r="F1" s="527"/>
    </row>
    <row r="2" spans="1:6" ht="14.4" customHeight="1" thickBot="1" x14ac:dyDescent="0.35">
      <c r="A2" s="351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8" t="s">
        <v>144</v>
      </c>
      <c r="C3" s="529"/>
      <c r="D3" s="530" t="s">
        <v>143</v>
      </c>
      <c r="E3" s="529"/>
      <c r="F3" s="96" t="s">
        <v>3</v>
      </c>
    </row>
    <row r="4" spans="1:6" ht="14.4" customHeight="1" thickBot="1" x14ac:dyDescent="0.35">
      <c r="A4" s="673" t="s">
        <v>166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thickBot="1" x14ac:dyDescent="0.35">
      <c r="A5" s="684" t="s">
        <v>1395</v>
      </c>
      <c r="B5" s="653">
        <v>7701.2799999999988</v>
      </c>
      <c r="C5" s="677">
        <v>7.5110239476786399E-3</v>
      </c>
      <c r="D5" s="653">
        <v>1017628.9617415617</v>
      </c>
      <c r="E5" s="677">
        <v>0.99248897605232134</v>
      </c>
      <c r="F5" s="654">
        <v>1025330.2417415617</v>
      </c>
    </row>
    <row r="6" spans="1:6" ht="14.4" customHeight="1" thickBot="1" x14ac:dyDescent="0.35">
      <c r="A6" s="680" t="s">
        <v>3</v>
      </c>
      <c r="B6" s="681">
        <v>7701.2799999999988</v>
      </c>
      <c r="C6" s="682">
        <v>7.5110239476786399E-3</v>
      </c>
      <c r="D6" s="681">
        <v>1017628.9617415617</v>
      </c>
      <c r="E6" s="682">
        <v>0.99248897605232134</v>
      </c>
      <c r="F6" s="683">
        <v>1025330.2417415617</v>
      </c>
    </row>
    <row r="7" spans="1:6" ht="14.4" customHeight="1" thickBot="1" x14ac:dyDescent="0.35"/>
    <row r="8" spans="1:6" ht="14.4" customHeight="1" x14ac:dyDescent="0.3">
      <c r="A8" s="690" t="s">
        <v>1396</v>
      </c>
      <c r="B8" s="659">
        <v>2878.88</v>
      </c>
      <c r="C8" s="678">
        <v>0.17356360211150831</v>
      </c>
      <c r="D8" s="659">
        <v>13708.007832337245</v>
      </c>
      <c r="E8" s="678">
        <v>0.82643639788849177</v>
      </c>
      <c r="F8" s="660">
        <v>16586.887832337245</v>
      </c>
    </row>
    <row r="9" spans="1:6" ht="14.4" customHeight="1" x14ac:dyDescent="0.3">
      <c r="A9" s="691" t="s">
        <v>1397</v>
      </c>
      <c r="B9" s="665">
        <v>2194.02</v>
      </c>
      <c r="C9" s="686">
        <v>0.23439583293885652</v>
      </c>
      <c r="D9" s="665">
        <v>7166.2999873110484</v>
      </c>
      <c r="E9" s="686">
        <v>0.76560416706114354</v>
      </c>
      <c r="F9" s="666">
        <v>9360.319987311048</v>
      </c>
    </row>
    <row r="10" spans="1:6" ht="14.4" customHeight="1" x14ac:dyDescent="0.3">
      <c r="A10" s="691" t="s">
        <v>1398</v>
      </c>
      <c r="B10" s="665">
        <v>1079.7800000000002</v>
      </c>
      <c r="C10" s="686">
        <v>1</v>
      </c>
      <c r="D10" s="665"/>
      <c r="E10" s="686">
        <v>0</v>
      </c>
      <c r="F10" s="666">
        <v>1079.7800000000002</v>
      </c>
    </row>
    <row r="11" spans="1:6" ht="14.4" customHeight="1" x14ac:dyDescent="0.3">
      <c r="A11" s="691" t="s">
        <v>1399</v>
      </c>
      <c r="B11" s="665">
        <v>495.84</v>
      </c>
      <c r="C11" s="686">
        <v>0.17748500087272634</v>
      </c>
      <c r="D11" s="665">
        <v>2297.8608623932369</v>
      </c>
      <c r="E11" s="686">
        <v>0.82251499912727366</v>
      </c>
      <c r="F11" s="666">
        <v>2793.700862393237</v>
      </c>
    </row>
    <row r="12" spans="1:6" ht="14.4" customHeight="1" x14ac:dyDescent="0.3">
      <c r="A12" s="691" t="s">
        <v>1400</v>
      </c>
      <c r="B12" s="665">
        <v>325.64999999999986</v>
      </c>
      <c r="C12" s="686">
        <v>1</v>
      </c>
      <c r="D12" s="665"/>
      <c r="E12" s="686">
        <v>0</v>
      </c>
      <c r="F12" s="666">
        <v>325.64999999999986</v>
      </c>
    </row>
    <row r="13" spans="1:6" ht="14.4" customHeight="1" x14ac:dyDescent="0.3">
      <c r="A13" s="691" t="s">
        <v>1401</v>
      </c>
      <c r="B13" s="665">
        <v>316.02999999999997</v>
      </c>
      <c r="C13" s="686">
        <v>1</v>
      </c>
      <c r="D13" s="665"/>
      <c r="E13" s="686">
        <v>0</v>
      </c>
      <c r="F13" s="666">
        <v>316.02999999999997</v>
      </c>
    </row>
    <row r="14" spans="1:6" ht="14.4" customHeight="1" x14ac:dyDescent="0.3">
      <c r="A14" s="691" t="s">
        <v>1402</v>
      </c>
      <c r="B14" s="665">
        <v>232.71999999999994</v>
      </c>
      <c r="C14" s="686">
        <v>1</v>
      </c>
      <c r="D14" s="665"/>
      <c r="E14" s="686">
        <v>0</v>
      </c>
      <c r="F14" s="666">
        <v>232.71999999999994</v>
      </c>
    </row>
    <row r="15" spans="1:6" ht="14.4" customHeight="1" x14ac:dyDescent="0.3">
      <c r="A15" s="691" t="s">
        <v>1403</v>
      </c>
      <c r="B15" s="665">
        <v>103.31999999999998</v>
      </c>
      <c r="C15" s="686">
        <v>1</v>
      </c>
      <c r="D15" s="665"/>
      <c r="E15" s="686">
        <v>0</v>
      </c>
      <c r="F15" s="666">
        <v>103.31999999999998</v>
      </c>
    </row>
    <row r="16" spans="1:6" ht="14.4" customHeight="1" x14ac:dyDescent="0.3">
      <c r="A16" s="691" t="s">
        <v>1404</v>
      </c>
      <c r="B16" s="665">
        <v>75.040000000000006</v>
      </c>
      <c r="C16" s="686">
        <v>1</v>
      </c>
      <c r="D16" s="665"/>
      <c r="E16" s="686">
        <v>0</v>
      </c>
      <c r="F16" s="666">
        <v>75.040000000000006</v>
      </c>
    </row>
    <row r="17" spans="1:6" ht="14.4" customHeight="1" x14ac:dyDescent="0.3">
      <c r="A17" s="691" t="s">
        <v>1405</v>
      </c>
      <c r="B17" s="665"/>
      <c r="C17" s="686">
        <v>0</v>
      </c>
      <c r="D17" s="665">
        <v>14803.8</v>
      </c>
      <c r="E17" s="686">
        <v>1</v>
      </c>
      <c r="F17" s="666">
        <v>14803.8</v>
      </c>
    </row>
    <row r="18" spans="1:6" ht="14.4" customHeight="1" x14ac:dyDescent="0.3">
      <c r="A18" s="691" t="s">
        <v>1406</v>
      </c>
      <c r="B18" s="665"/>
      <c r="C18" s="686">
        <v>0</v>
      </c>
      <c r="D18" s="665">
        <v>98.65</v>
      </c>
      <c r="E18" s="686">
        <v>1</v>
      </c>
      <c r="F18" s="666">
        <v>98.65</v>
      </c>
    </row>
    <row r="19" spans="1:6" ht="14.4" customHeight="1" x14ac:dyDescent="0.3">
      <c r="A19" s="691" t="s">
        <v>1407</v>
      </c>
      <c r="B19" s="665"/>
      <c r="C19" s="686">
        <v>0</v>
      </c>
      <c r="D19" s="665">
        <v>1750.9903673734013</v>
      </c>
      <c r="E19" s="686">
        <v>1</v>
      </c>
      <c r="F19" s="666">
        <v>1750.9903673734013</v>
      </c>
    </row>
    <row r="20" spans="1:6" ht="14.4" customHeight="1" x14ac:dyDescent="0.3">
      <c r="A20" s="691" t="s">
        <v>1408</v>
      </c>
      <c r="B20" s="665"/>
      <c r="C20" s="686">
        <v>0</v>
      </c>
      <c r="D20" s="665">
        <v>24.93000000000001</v>
      </c>
      <c r="E20" s="686">
        <v>1</v>
      </c>
      <c r="F20" s="666">
        <v>24.93000000000001</v>
      </c>
    </row>
    <row r="21" spans="1:6" ht="14.4" customHeight="1" x14ac:dyDescent="0.3">
      <c r="A21" s="691" t="s">
        <v>1409</v>
      </c>
      <c r="B21" s="665"/>
      <c r="C21" s="686">
        <v>0</v>
      </c>
      <c r="D21" s="665">
        <v>26400</v>
      </c>
      <c r="E21" s="686">
        <v>1</v>
      </c>
      <c r="F21" s="666">
        <v>26400</v>
      </c>
    </row>
    <row r="22" spans="1:6" ht="14.4" customHeight="1" x14ac:dyDescent="0.3">
      <c r="A22" s="691" t="s">
        <v>1410</v>
      </c>
      <c r="B22" s="665"/>
      <c r="C22" s="686">
        <v>0</v>
      </c>
      <c r="D22" s="665">
        <v>86.679999999999993</v>
      </c>
      <c r="E22" s="686">
        <v>1</v>
      </c>
      <c r="F22" s="666">
        <v>86.679999999999993</v>
      </c>
    </row>
    <row r="23" spans="1:6" ht="14.4" customHeight="1" x14ac:dyDescent="0.3">
      <c r="A23" s="691" t="s">
        <v>1411</v>
      </c>
      <c r="B23" s="665"/>
      <c r="C23" s="686">
        <v>0</v>
      </c>
      <c r="D23" s="665">
        <v>8451.6400000000031</v>
      </c>
      <c r="E23" s="686">
        <v>1</v>
      </c>
      <c r="F23" s="666">
        <v>8451.6400000000031</v>
      </c>
    </row>
    <row r="24" spans="1:6" ht="14.4" customHeight="1" x14ac:dyDescent="0.3">
      <c r="A24" s="691" t="s">
        <v>1412</v>
      </c>
      <c r="B24" s="665"/>
      <c r="C24" s="686">
        <v>0</v>
      </c>
      <c r="D24" s="665">
        <v>821.69973002875645</v>
      </c>
      <c r="E24" s="686">
        <v>1</v>
      </c>
      <c r="F24" s="666">
        <v>821.69973002875645</v>
      </c>
    </row>
    <row r="25" spans="1:6" ht="14.4" customHeight="1" x14ac:dyDescent="0.3">
      <c r="A25" s="691" t="s">
        <v>1413</v>
      </c>
      <c r="B25" s="665"/>
      <c r="C25" s="686">
        <v>0</v>
      </c>
      <c r="D25" s="665">
        <v>5761.5000000000009</v>
      </c>
      <c r="E25" s="686">
        <v>1</v>
      </c>
      <c r="F25" s="666">
        <v>5761.5000000000009</v>
      </c>
    </row>
    <row r="26" spans="1:6" ht="14.4" customHeight="1" x14ac:dyDescent="0.3">
      <c r="A26" s="691" t="s">
        <v>1414</v>
      </c>
      <c r="B26" s="665"/>
      <c r="C26" s="686">
        <v>0</v>
      </c>
      <c r="D26" s="665">
        <v>116.84129139773816</v>
      </c>
      <c r="E26" s="686">
        <v>1</v>
      </c>
      <c r="F26" s="666">
        <v>116.84129139773816</v>
      </c>
    </row>
    <row r="27" spans="1:6" ht="14.4" customHeight="1" x14ac:dyDescent="0.3">
      <c r="A27" s="691" t="s">
        <v>1415</v>
      </c>
      <c r="B27" s="665"/>
      <c r="C27" s="686">
        <v>0</v>
      </c>
      <c r="D27" s="665">
        <v>27.25</v>
      </c>
      <c r="E27" s="686">
        <v>1</v>
      </c>
      <c r="F27" s="666">
        <v>27.25</v>
      </c>
    </row>
    <row r="28" spans="1:6" ht="14.4" customHeight="1" x14ac:dyDescent="0.3">
      <c r="A28" s="691" t="s">
        <v>1416</v>
      </c>
      <c r="B28" s="665"/>
      <c r="C28" s="686">
        <v>0</v>
      </c>
      <c r="D28" s="665">
        <v>42625</v>
      </c>
      <c r="E28" s="686">
        <v>1</v>
      </c>
      <c r="F28" s="666">
        <v>42625</v>
      </c>
    </row>
    <row r="29" spans="1:6" ht="14.4" customHeight="1" x14ac:dyDescent="0.3">
      <c r="A29" s="691" t="s">
        <v>1417</v>
      </c>
      <c r="B29" s="665"/>
      <c r="C29" s="686">
        <v>0</v>
      </c>
      <c r="D29" s="665">
        <v>5339.95</v>
      </c>
      <c r="E29" s="686">
        <v>1</v>
      </c>
      <c r="F29" s="666">
        <v>5339.95</v>
      </c>
    </row>
    <row r="30" spans="1:6" ht="14.4" customHeight="1" x14ac:dyDescent="0.3">
      <c r="A30" s="691" t="s">
        <v>1418</v>
      </c>
      <c r="B30" s="665"/>
      <c r="C30" s="686">
        <v>0</v>
      </c>
      <c r="D30" s="665">
        <v>282.46597350811174</v>
      </c>
      <c r="E30" s="686">
        <v>1</v>
      </c>
      <c r="F30" s="666">
        <v>282.46597350811174</v>
      </c>
    </row>
    <row r="31" spans="1:6" ht="14.4" customHeight="1" x14ac:dyDescent="0.3">
      <c r="A31" s="691" t="s">
        <v>1419</v>
      </c>
      <c r="B31" s="665"/>
      <c r="C31" s="686">
        <v>0</v>
      </c>
      <c r="D31" s="665">
        <v>289500.85004761524</v>
      </c>
      <c r="E31" s="686">
        <v>1</v>
      </c>
      <c r="F31" s="666">
        <v>289500.85004761524</v>
      </c>
    </row>
    <row r="32" spans="1:6" ht="14.4" customHeight="1" x14ac:dyDescent="0.3">
      <c r="A32" s="691" t="s">
        <v>1420</v>
      </c>
      <c r="B32" s="665"/>
      <c r="C32" s="686">
        <v>0</v>
      </c>
      <c r="D32" s="665">
        <v>63.109999999999957</v>
      </c>
      <c r="E32" s="686">
        <v>1</v>
      </c>
      <c r="F32" s="666">
        <v>63.109999999999957</v>
      </c>
    </row>
    <row r="33" spans="1:6" ht="14.4" customHeight="1" x14ac:dyDescent="0.3">
      <c r="A33" s="691" t="s">
        <v>1421</v>
      </c>
      <c r="B33" s="665"/>
      <c r="C33" s="686">
        <v>0</v>
      </c>
      <c r="D33" s="665">
        <v>9418.1999999999989</v>
      </c>
      <c r="E33" s="686">
        <v>1</v>
      </c>
      <c r="F33" s="666">
        <v>9418.1999999999989</v>
      </c>
    </row>
    <row r="34" spans="1:6" ht="14.4" customHeight="1" x14ac:dyDescent="0.3">
      <c r="A34" s="691" t="s">
        <v>1422</v>
      </c>
      <c r="B34" s="665"/>
      <c r="C34" s="686">
        <v>0</v>
      </c>
      <c r="D34" s="665">
        <v>496518.00262560329</v>
      </c>
      <c r="E34" s="686">
        <v>1</v>
      </c>
      <c r="F34" s="666">
        <v>496518.00262560329</v>
      </c>
    </row>
    <row r="35" spans="1:6" ht="14.4" customHeight="1" x14ac:dyDescent="0.3">
      <c r="A35" s="691" t="s">
        <v>1423</v>
      </c>
      <c r="B35" s="665"/>
      <c r="C35" s="686">
        <v>0</v>
      </c>
      <c r="D35" s="665">
        <v>1950.9599999999998</v>
      </c>
      <c r="E35" s="686">
        <v>1</v>
      </c>
      <c r="F35" s="666">
        <v>1950.9599999999998</v>
      </c>
    </row>
    <row r="36" spans="1:6" ht="14.4" customHeight="1" x14ac:dyDescent="0.3">
      <c r="A36" s="691" t="s">
        <v>1424</v>
      </c>
      <c r="B36" s="665"/>
      <c r="C36" s="686">
        <v>0</v>
      </c>
      <c r="D36" s="665">
        <v>33203.161543298513</v>
      </c>
      <c r="E36" s="686">
        <v>1</v>
      </c>
      <c r="F36" s="666">
        <v>33203.161543298513</v>
      </c>
    </row>
    <row r="37" spans="1:6" ht="14.4" customHeight="1" x14ac:dyDescent="0.3">
      <c r="A37" s="691" t="s">
        <v>1425</v>
      </c>
      <c r="B37" s="665"/>
      <c r="C37" s="686">
        <v>0</v>
      </c>
      <c r="D37" s="665">
        <v>6553.4259435597651</v>
      </c>
      <c r="E37" s="686">
        <v>1</v>
      </c>
      <c r="F37" s="666">
        <v>6553.4259435597651</v>
      </c>
    </row>
    <row r="38" spans="1:6" ht="14.4" customHeight="1" x14ac:dyDescent="0.3">
      <c r="A38" s="691" t="s">
        <v>1426</v>
      </c>
      <c r="B38" s="665"/>
      <c r="C38" s="686">
        <v>0</v>
      </c>
      <c r="D38" s="665">
        <v>33951.72</v>
      </c>
      <c r="E38" s="686">
        <v>1</v>
      </c>
      <c r="F38" s="666">
        <v>33951.72</v>
      </c>
    </row>
    <row r="39" spans="1:6" ht="14.4" customHeight="1" x14ac:dyDescent="0.3">
      <c r="A39" s="691" t="s">
        <v>1427</v>
      </c>
      <c r="B39" s="665"/>
      <c r="C39" s="686">
        <v>0</v>
      </c>
      <c r="D39" s="665">
        <v>22.090000000000003</v>
      </c>
      <c r="E39" s="686">
        <v>1</v>
      </c>
      <c r="F39" s="666">
        <v>22.090000000000003</v>
      </c>
    </row>
    <row r="40" spans="1:6" ht="14.4" customHeight="1" x14ac:dyDescent="0.3">
      <c r="A40" s="691" t="s">
        <v>1428</v>
      </c>
      <c r="B40" s="665"/>
      <c r="C40" s="686">
        <v>0</v>
      </c>
      <c r="D40" s="665">
        <v>162.05000000000001</v>
      </c>
      <c r="E40" s="686">
        <v>1</v>
      </c>
      <c r="F40" s="666">
        <v>162.05000000000001</v>
      </c>
    </row>
    <row r="41" spans="1:6" ht="14.4" customHeight="1" x14ac:dyDescent="0.3">
      <c r="A41" s="691" t="s">
        <v>1429</v>
      </c>
      <c r="B41" s="665"/>
      <c r="C41" s="686">
        <v>0</v>
      </c>
      <c r="D41" s="665">
        <v>1218.23</v>
      </c>
      <c r="E41" s="686">
        <v>1</v>
      </c>
      <c r="F41" s="666">
        <v>1218.23</v>
      </c>
    </row>
    <row r="42" spans="1:6" ht="14.4" customHeight="1" x14ac:dyDescent="0.3">
      <c r="A42" s="691" t="s">
        <v>1430</v>
      </c>
      <c r="B42" s="665"/>
      <c r="C42" s="686">
        <v>0</v>
      </c>
      <c r="D42" s="665">
        <v>680.1</v>
      </c>
      <c r="E42" s="686">
        <v>1</v>
      </c>
      <c r="F42" s="666">
        <v>680.1</v>
      </c>
    </row>
    <row r="43" spans="1:6" ht="14.4" customHeight="1" x14ac:dyDescent="0.3">
      <c r="A43" s="691" t="s">
        <v>1431</v>
      </c>
      <c r="B43" s="665"/>
      <c r="C43" s="686">
        <v>0</v>
      </c>
      <c r="D43" s="665">
        <v>73.240000000000009</v>
      </c>
      <c r="E43" s="686">
        <v>1</v>
      </c>
      <c r="F43" s="666">
        <v>73.240000000000009</v>
      </c>
    </row>
    <row r="44" spans="1:6" ht="14.4" customHeight="1" x14ac:dyDescent="0.3">
      <c r="A44" s="691" t="s">
        <v>1432</v>
      </c>
      <c r="B44" s="665"/>
      <c r="C44" s="686">
        <v>0</v>
      </c>
      <c r="D44" s="665">
        <v>13642.655537135444</v>
      </c>
      <c r="E44" s="686">
        <v>1</v>
      </c>
      <c r="F44" s="666">
        <v>13642.655537135444</v>
      </c>
    </row>
    <row r="45" spans="1:6" ht="14.4" customHeight="1" thickBot="1" x14ac:dyDescent="0.35">
      <c r="A45" s="692" t="s">
        <v>1433</v>
      </c>
      <c r="B45" s="687"/>
      <c r="C45" s="688">
        <v>0</v>
      </c>
      <c r="D45" s="687">
        <v>907.59999999999991</v>
      </c>
      <c r="E45" s="688">
        <v>1</v>
      </c>
      <c r="F45" s="689">
        <v>907.59999999999991</v>
      </c>
    </row>
    <row r="46" spans="1:6" ht="14.4" customHeight="1" thickBot="1" x14ac:dyDescent="0.35">
      <c r="A46" s="680" t="s">
        <v>3</v>
      </c>
      <c r="B46" s="681">
        <v>7701.2800000000007</v>
      </c>
      <c r="C46" s="682">
        <v>7.5110239476786408E-3</v>
      </c>
      <c r="D46" s="681">
        <v>1017628.9617415617</v>
      </c>
      <c r="E46" s="682">
        <v>0.99248897605232123</v>
      </c>
      <c r="F46" s="683">
        <v>1025330.2417415618</v>
      </c>
    </row>
  </sheetData>
  <mergeCells count="3">
    <mergeCell ref="A1:F1"/>
    <mergeCell ref="B3:C3"/>
    <mergeCell ref="D3:E3"/>
  </mergeCells>
  <conditionalFormatting sqref="C5:C1048576">
    <cfRule type="cellIs" dxfId="4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2017-03-31T13:41:49Z</dcterms:modified>
</cp:coreProperties>
</file>