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Total!$A$4:$Y$4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Obdobi">'ON Data'!$B$3:$B$16</definedName>
    <definedName name="_xlnm.Print_Area" localSheetId="18">ALOS!$A$1:$M$45</definedName>
    <definedName name="_xlnm.Print_Area" localSheetId="17">CaseMix!$A$1:$O$39</definedName>
  </definedNames>
  <calcPr calcId="152511"/>
</workbook>
</file>

<file path=xl/calcChain.xml><?xml version="1.0" encoding="utf-8"?>
<calcChain xmlns="http://schemas.openxmlformats.org/spreadsheetml/2006/main">
  <c r="T46" i="371" l="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E26" i="419" l="1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T5" i="371" l="1"/>
  <c r="S5" i="371"/>
  <c r="AE3" i="418" l="1"/>
  <c r="I3" i="418"/>
  <c r="F28" i="419" l="1"/>
  <c r="F27" i="419"/>
  <c r="E11" i="339"/>
  <c r="C11" i="339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0" i="414" l="1"/>
  <c r="A21" i="414"/>
  <c r="A23" i="414"/>
  <c r="A22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3" i="414" s="1"/>
  <c r="E23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J20" i="419" l="1"/>
  <c r="I20" i="419"/>
  <c r="J19" i="419"/>
  <c r="I19" i="419"/>
  <c r="J17" i="419"/>
  <c r="I17" i="419"/>
  <c r="J16" i="419"/>
  <c r="I16" i="419"/>
  <c r="J14" i="419"/>
  <c r="I14" i="419"/>
  <c r="J13" i="419"/>
  <c r="I13" i="419"/>
  <c r="J12" i="419"/>
  <c r="I12" i="419"/>
  <c r="J11" i="419"/>
  <c r="I11" i="419"/>
  <c r="AW3" i="418"/>
  <c r="AV3" i="418"/>
  <c r="AU3" i="418"/>
  <c r="AT3" i="418"/>
  <c r="AS3" i="418"/>
  <c r="AR3" i="418"/>
  <c r="J18" i="419" l="1"/>
  <c r="I18" i="419"/>
  <c r="B25" i="419"/>
  <c r="B27" i="419" l="1"/>
  <c r="A9" i="414"/>
  <c r="A8" i="414"/>
  <c r="A7" i="414"/>
  <c r="I21" i="419" l="1"/>
  <c r="H21" i="419"/>
  <c r="H22" i="419" s="1"/>
  <c r="G21" i="419"/>
  <c r="F21" i="419"/>
  <c r="H20" i="419"/>
  <c r="G20" i="419"/>
  <c r="F20" i="419"/>
  <c r="H19" i="419"/>
  <c r="G19" i="419"/>
  <c r="F19" i="419"/>
  <c r="H17" i="419"/>
  <c r="G17" i="419"/>
  <c r="F17" i="419"/>
  <c r="H16" i="419"/>
  <c r="G16" i="419"/>
  <c r="F16" i="419"/>
  <c r="H14" i="419"/>
  <c r="G14" i="419"/>
  <c r="F14" i="419"/>
  <c r="H13" i="419"/>
  <c r="G13" i="419"/>
  <c r="F13" i="419"/>
  <c r="H12" i="419"/>
  <c r="G12" i="419"/>
  <c r="F12" i="419"/>
  <c r="H11" i="419"/>
  <c r="G11" i="419"/>
  <c r="F11" i="419"/>
  <c r="G18" i="419" l="1"/>
  <c r="H23" i="419"/>
  <c r="H18" i="419"/>
  <c r="F23" i="419"/>
  <c r="G23" i="419"/>
  <c r="I23" i="419"/>
  <c r="F18" i="419"/>
  <c r="F22" i="419"/>
  <c r="G22" i="419"/>
  <c r="I22" i="419"/>
  <c r="N3" i="418"/>
  <c r="E21" i="419" l="1"/>
  <c r="E22" i="419" s="1"/>
  <c r="D21" i="419"/>
  <c r="D22" i="419" s="1"/>
  <c r="E20" i="419"/>
  <c r="D20" i="419"/>
  <c r="E19" i="419"/>
  <c r="D19" i="419"/>
  <c r="E17" i="419"/>
  <c r="D17" i="419"/>
  <c r="E16" i="419"/>
  <c r="D16" i="419"/>
  <c r="E14" i="419"/>
  <c r="D14" i="419"/>
  <c r="E13" i="419"/>
  <c r="D13" i="419"/>
  <c r="E12" i="419"/>
  <c r="D12" i="419"/>
  <c r="E11" i="419"/>
  <c r="D11" i="419"/>
  <c r="D18" i="419" l="1"/>
  <c r="E18" i="419"/>
  <c r="E23" i="419"/>
  <c r="D23" i="419"/>
  <c r="B21" i="419"/>
  <c r="B22" i="419" l="1"/>
  <c r="A28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F6" i="419" l="1"/>
  <c r="E6" i="419"/>
  <c r="J6" i="419"/>
  <c r="I6" i="419"/>
  <c r="H6" i="419"/>
  <c r="D6" i="419"/>
  <c r="G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370" l="1"/>
  <c r="C13" i="370"/>
  <c r="B13" i="370"/>
  <c r="P13" i="370" l="1"/>
  <c r="N13" i="370"/>
  <c r="F13" i="370"/>
  <c r="D20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6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 l="1"/>
  <c r="A17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26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C3" i="410"/>
  <c r="B3" i="410"/>
  <c r="D18" i="414" l="1"/>
  <c r="G3" i="410"/>
  <c r="M3" i="410"/>
  <c r="B11" i="339"/>
  <c r="J11" i="339" s="1"/>
  <c r="I11" i="339" l="1"/>
  <c r="F11" i="339"/>
  <c r="H11" i="339" l="1"/>
  <c r="G11" i="339"/>
  <c r="A25" i="414"/>
  <c r="A18" i="414"/>
  <c r="A13" i="414"/>
  <c r="A14" i="414"/>
  <c r="A4" i="414"/>
  <c r="A6" i="339" l="1"/>
  <c r="A5" i="339"/>
  <c r="C17" i="414"/>
  <c r="C14" i="414"/>
  <c r="D14" i="414"/>
  <c r="D4" i="414"/>
  <c r="D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2" i="414" l="1"/>
  <c r="E22" i="414" s="1"/>
  <c r="E12" i="339"/>
  <c r="D21" i="414"/>
  <c r="E21" i="414" s="1"/>
  <c r="C12" i="339"/>
  <c r="F12" i="339" s="1"/>
  <c r="E20" i="414"/>
  <c r="B12" i="339"/>
  <c r="D24" i="414"/>
  <c r="E24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M3" i="387"/>
  <c r="K3" i="387" s="1"/>
  <c r="L3" i="387"/>
  <c r="J3" i="387"/>
  <c r="I3" i="387"/>
  <c r="G3" i="387"/>
  <c r="H3" i="387" s="1"/>
  <c r="F3" i="387"/>
  <c r="N3" i="220"/>
  <c r="L3" i="220" s="1"/>
  <c r="C19" i="414"/>
  <c r="D19" i="414"/>
  <c r="J3" i="372" l="1"/>
  <c r="N3" i="372"/>
  <c r="F3" i="372"/>
  <c r="J12" i="339"/>
  <c r="I12" i="339"/>
  <c r="I13" i="339" s="1"/>
  <c r="C26" i="414"/>
  <c r="E26" i="414" s="1"/>
  <c r="F13" i="339"/>
  <c r="E13" i="339"/>
  <c r="E15" i="339" s="1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6" i="414"/>
  <c r="J13" i="339" l="1"/>
  <c r="B15" i="339"/>
  <c r="H13" i="339"/>
  <c r="F15" i="339"/>
  <c r="D25" i="414"/>
  <c r="E25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<sst xmlns="http://schemas.openxmlformats.org/spreadsheetml/2006/main" count="9585" uniqueCount="3291">
  <si>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</si>
  <si>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</si>
  <si>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</si>
  <si>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</si>
  <si>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</si>
  <si>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</si>
  <si>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</si>
  <si>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</si>
  <si>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</si>
  <si>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</si>
  <si>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</si>
  <si>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</si>
  <si>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</si>
  <si>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</si>
  <si>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</si>
  <si>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</si>
  <si>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</si>
  <si>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</si>
  <si>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</si>
  <si>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</si>
  <si>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</si>
  <si>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</si>
  <si>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</si>
  <si>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</si>
  <si>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</si>
  <si>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</si>
  <si>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</si>
  <si>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</si>
  <si>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</si>
  <si>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</si>
  <si>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</si>
  <si>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</si>
  <si>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</si>
  <si>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</si>
  <si>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</si>
  <si>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</si>
  <si>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</si>
  <si>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</si>
  <si>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</si>
  <si>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</si>
  <si>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</si>
  <si>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</si>
  <si>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</si>
  <si>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</si>
  <si>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</si>
  <si>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</si>
  <si>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</si>
  <si>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</si>
  <si>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</si>
  <si>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</si>
  <si>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</si>
  <si>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</si>
  <si>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</si>
  <si>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</si>
  <si>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</si>
  <si>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</si>
  <si>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</si>
  <si>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</si>
  <si>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</si>
  <si>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</si>
  <si>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</si>
  <si>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</si>
  <si>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</si>
  <si>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</si>
  <si>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</si>
  <si>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</si>
  <si>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</si>
  <si>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</si>
  <si>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</si>
  <si>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</si>
  <si>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</si>
  <si>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</si>
  <si>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</si>
  <si>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</si>
  <si>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</si>
  <si>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</si>
  <si>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</si>
  <si>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</si>
  <si>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</si>
  <si>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</si>
  <si>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</si>
  <si>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</si>
  <si>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</si>
  <si>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</si>
  <si>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</si>
  <si>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</si>
  <si>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</si>
  <si>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</si>
  <si>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</si>
  <si>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</si>
  <si>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</si>
  <si>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</si>
  <si>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</si>
  <si>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</si>
  <si>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</si>
  <si>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</si>
  <si>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</si>
  <si>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</si>
  <si>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</si>
  <si>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</si>
  <si>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</si>
  <si>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</si>
  <si>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</si>
  <si>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</si>
  <si>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</si>
  <si>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</si>
  <si>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</si>
  <si>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</si>
  <si>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</si>
  <si>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</si>
  <si>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</si>
  <si>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</si>
  <si>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</si>
  <si>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</si>
  <si>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</si>
  <si>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</si>
  <si>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</si>
  <si>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</si>
  <si>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</si>
  <si>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</si>
  <si>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</si>
  <si>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</si>
  <si>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</si>
  <si>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</si>
  <si>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</si>
  <si>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</si>
  <si>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</si>
  <si>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</si>
  <si>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</si>
  <si>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</si>
  <si>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</si>
  <si>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</si>
  <si>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</si>
  <si>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</si>
  <si>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</si>
  <si>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</si>
  <si>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</si>
  <si>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</si>
  <si>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</si>
  <si>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</si>
  <si>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</si>
  <si>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</si>
  <si>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</si>
  <si>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</si>
  <si>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</si>
  <si>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</si>
  <si>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</si>
  <si>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</si>
  <si>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</si>
  <si>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</si>
  <si>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</si>
  <si>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</si>
  <si>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</si>
  <si>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</si>
  <si>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</si>
  <si>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</si>
  <si>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</si>
  <si>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</si>
  <si>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</si>
  <si>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</si>
  <si>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</si>
  <si>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</si>
  <si>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</si>
  <si>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</si>
  <si>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</si>
  <si>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</si>
  <si>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</si>
  <si>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</si>
  <si>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</si>
  <si>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</si>
  <si>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</si>
  <si>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</si>
  <si>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</si>
  <si>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</si>
  <si>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</si>
  <si>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</si>
  <si>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</si>
  <si>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</si>
  <si>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</si>
  <si>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</si>
  <si>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</si>
  <si>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</si>
  <si>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</si>
  <si>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</si>
  <si>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</si>
  <si>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</si>
  <si>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</si>
  <si>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</si>
  <si>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</si>
  <si>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</si>
  <si>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</si>
  <si>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</si>
  <si>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</si>
  <si>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</si>
  <si>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</si>
  <si>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</si>
  <si>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</si>
  <si>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</si>
  <si>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</si>
  <si>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</si>
  <si>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</si>
  <si>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</si>
  <si>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</si>
  <si>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</si>
  <si>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</si>
  <si>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</si>
  <si>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</si>
  <si>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</si>
  <si>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</si>
  <si>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</si>
  <si>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</si>
  <si>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</si>
  <si>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</si>
  <si>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</si>
  <si>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</si>
  <si>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</si>
  <si>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</si>
  <si>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</si>
  <si>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</si>
  <si>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</si>
  <si>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</si>
  <si>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</si>
  <si>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ošetřovatelé</t>
  </si>
  <si>
    <t>sanitáři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</si>
  <si>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</si>
  <si>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</si>
  <si>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</si>
  <si>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</si>
  <si>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</si>
  <si>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</si>
  <si>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</si>
  <si>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</si>
  <si>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</si>
  <si>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</si>
  <si>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</si>
  <si>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</si>
  <si>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</si>
  <si>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</si>
  <si>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lékaři bez dohledu</t>
  </si>
  <si>
    <t>lékaři specialisti</t>
  </si>
  <si>
    <t>všeobecné sestry bez dohl.</t>
  </si>
  <si>
    <t>všeobecné sestry bez dohl., spec.</t>
  </si>
  <si>
    <t>všeobecné sestry VŠ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</si>
  <si>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</si>
  <si>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</si>
  <si>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</si>
  <si>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</si>
  <si>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</si>
  <si>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</si>
  <si>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</si>
  <si>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</si>
  <si>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</si>
  <si>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</si>
  <si>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</si>
  <si>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</si>
  <si>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</si>
  <si>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</si>
  <si>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</si>
  <si>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</si>
  <si>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</si>
  <si>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</si>
  <si>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</si>
  <si>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</si>
  <si>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Případy hospitalizací se při výpočtu casemixu v letech 2015, 2016, 2017 rozumí případy hospitalizací přepočtené pomocí pravidel pro Klasifikaci a sestavování případů</t>
  </si>
  <si>
    <t>hospitalizací platných pro rok 2017</t>
  </si>
  <si>
    <t>Casemix v letech 2015, 2016, 2017 je počet případů hospitalizací ukončených ve sledovaném období, poskytovatelem vykázaných a zdravotní pojišťovnou uznaných,</t>
  </si>
  <si>
    <t>ROZDÍL (Sk.do data - Rozp.do data 2017)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</si>
  <si>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</si>
  <si>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</si>
  <si>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</si>
  <si>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</si>
  <si>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</si>
  <si>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které jsou podle Klasifikace zařazeny do skupin vztažených k diagnóze, vynásobený indexy 2016 (viz příohy č. 9 - individuálně smluvně sjednaná složka úhrady,</t>
  </si>
  <si>
    <t>10 - úhrada formou případového paušálu, 13 - úhrada vyčleněná z úhrady formou případového paušálu)</t>
  </si>
  <si>
    <t>Rozpočet výnosů pro rok 2017 je stanoven jako 100% skutečnosti referenčního období (2016)</t>
  </si>
  <si>
    <t>Rozdíl 2015</t>
  </si>
  <si>
    <t>Plnění 2015</t>
  </si>
  <si>
    <t>CM 2015</t>
  </si>
  <si>
    <t>Hosp.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</si>
  <si>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</si>
  <si>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</si>
  <si>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</si>
  <si>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</si>
  <si>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</si>
  <si>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</si>
  <si>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Kč (tisíce)</t>
  </si>
  <si>
    <t>Rozdíly 2015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</si>
  <si>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</si>
  <si>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</si>
  <si>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</si>
  <si>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</si>
  <si>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</si>
  <si>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</si>
  <si>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</si>
  <si>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</si>
  <si>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</si>
  <si>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</si>
  <si>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</si>
  <si>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</si>
  <si>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</si>
  <si>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</si>
  <si>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--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</si>
  <si>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</si>
  <si>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</si>
  <si>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</si>
  <si>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</si>
  <si>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</si>
  <si>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</si>
  <si>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</si>
  <si>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</si>
  <si>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</si>
  <si>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</si>
  <si>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</si>
  <si>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</si>
  <si>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</si>
  <si>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</si>
  <si>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</si>
  <si>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</si>
  <si>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</si>
  <si>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</si>
  <si>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</si>
  <si>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</si>
  <si>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</si>
  <si>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</si>
  <si>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</si>
  <si>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</si>
  <si>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</si>
  <si>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</si>
  <si>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</si>
  <si>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</si>
  <si>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</si>
  <si>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</si>
  <si>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</si>
  <si>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</si>
  <si>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</si>
  <si>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</si>
  <si>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</si>
  <si>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</si>
  <si>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</si>
  <si>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</si>
  <si>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</si>
  <si>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</si>
  <si>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</si>
  <si>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</si>
  <si>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</si>
  <si>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</si>
  <si>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</si>
  <si>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</si>
  <si>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</si>
  <si>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</si>
  <si>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</si>
  <si>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</si>
  <si>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</si>
  <si>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</si>
  <si>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</si>
  <si>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</si>
  <si>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</si>
  <si>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</si>
  <si>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</si>
  <si>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</si>
  <si>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</si>
  <si>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</si>
  <si>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</si>
  <si>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</si>
  <si>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</si>
  <si>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</si>
  <si>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</si>
  <si>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</si>
  <si>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</si>
  <si>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</si>
  <si>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</si>
  <si>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</si>
  <si>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</si>
  <si>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</si>
  <si>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</si>
  <si>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</si>
  <si>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</si>
  <si>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</si>
  <si>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</si>
  <si>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</si>
  <si>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</si>
  <si>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</si>
  <si>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</si>
  <si>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</si>
  <si>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</si>
  <si>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</si>
  <si>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</si>
  <si>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</si>
  <si>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</si>
  <si>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</si>
  <si>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</si>
  <si>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</si>
  <si>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</si>
  <si>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</si>
  <si>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</si>
  <si>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</si>
  <si>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</si>
  <si>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</si>
  <si>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</si>
  <si>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</si>
  <si>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</si>
  <si>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</si>
  <si>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</si>
  <si>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</si>
  <si>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54910011     registrační poplatky - kongresy zahraniční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</si>
  <si>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</si>
  <si>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</si>
  <si>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</si>
  <si>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</si>
  <si>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</si>
  <si>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</si>
  <si>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</si>
  <si>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</si>
  <si>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</si>
  <si>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</si>
  <si>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</si>
  <si>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</si>
  <si>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</si>
  <si>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</si>
  <si>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</si>
  <si>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</si>
  <si>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</si>
  <si>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</si>
  <si>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</si>
  <si>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</si>
  <si>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</si>
  <si>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</si>
  <si>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</si>
  <si>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</si>
  <si>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</si>
  <si>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</si>
  <si>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</si>
  <si>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</si>
  <si>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</si>
  <si>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</si>
  <si>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</si>
  <si>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</si>
  <si>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</si>
  <si>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</si>
  <si>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</si>
  <si>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</si>
  <si>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</si>
  <si>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</si>
  <si>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</si>
  <si>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</si>
  <si>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</si>
  <si>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</si>
  <si>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</si>
  <si>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</si>
  <si>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</si>
  <si>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</si>
  <si>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</si>
  <si>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</si>
  <si>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</si>
  <si>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</si>
  <si>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</si>
  <si>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</si>
  <si>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</si>
  <si>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</si>
  <si>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</si>
  <si>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</si>
  <si>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</si>
  <si>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</si>
  <si>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</si>
  <si>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</si>
  <si>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</si>
  <si>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</si>
  <si>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</si>
  <si>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</si>
  <si>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</si>
  <si>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</si>
  <si>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</si>
  <si>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</si>
  <si>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</si>
  <si>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</si>
  <si>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</si>
  <si>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</si>
  <si>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</si>
  <si>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59</t>
  </si>
  <si>
    <t>IPCHO: Oddělení int. péče chirurg. oborů</t>
  </si>
  <si>
    <t/>
  </si>
  <si>
    <t>IPCHO: Oddělení int. péče chirurg. oborů Celkem</t>
  </si>
  <si>
    <t>SumaKL</t>
  </si>
  <si>
    <t>5931</t>
  </si>
  <si>
    <t>IPCHO: JIP 51</t>
  </si>
  <si>
    <t>IPCHO: JIP 51 Celkem</t>
  </si>
  <si>
    <t>SumaNS</t>
  </si>
  <si>
    <t>mezeraNS</t>
  </si>
  <si>
    <t>50113001</t>
  </si>
  <si>
    <t>128222</t>
  </si>
  <si>
    <t>28222</t>
  </si>
  <si>
    <t>LYRICA 150 MG</t>
  </si>
  <si>
    <t>POR CPSDUR14X150MG</t>
  </si>
  <si>
    <t>128216</t>
  </si>
  <si>
    <t>28216</t>
  </si>
  <si>
    <t>LYRICA 75 MG</t>
  </si>
  <si>
    <t>POR CPSDUR14X75MG</t>
  </si>
  <si>
    <t>185526</t>
  </si>
  <si>
    <t>85526</t>
  </si>
  <si>
    <t>SUFENTA FORTE I.V.</t>
  </si>
  <si>
    <t>INJ 5X1ML/0.05MG</t>
  </si>
  <si>
    <t>117191</t>
  </si>
  <si>
    <t>17191</t>
  </si>
  <si>
    <t>LACTULOSA BIOMEDICA</t>
  </si>
  <si>
    <t>POR SIR 500ML 50%</t>
  </si>
  <si>
    <t>128217</t>
  </si>
  <si>
    <t>28217</t>
  </si>
  <si>
    <t>POR CPSDUR56X75MG</t>
  </si>
  <si>
    <t>198757</t>
  </si>
  <si>
    <t>MIDAZOLAM B. BRAUN 1 MG/ML</t>
  </si>
  <si>
    <t>INJ+RCT SOL 10X50ML</t>
  </si>
  <si>
    <t>198054</t>
  </si>
  <si>
    <t>SANVAL 10 MG</t>
  </si>
  <si>
    <t>POR TBL FLM 20X10MG</t>
  </si>
  <si>
    <t>169251</t>
  </si>
  <si>
    <t>TROMBEX 75 MG POTAHOVANÉ TABLETY</t>
  </si>
  <si>
    <t>POR TBL FLM 30X75MG</t>
  </si>
  <si>
    <t>200358</t>
  </si>
  <si>
    <t>CHIROCAINE 7,5 MG/ML</t>
  </si>
  <si>
    <t>INJ SOL 10X10ML</t>
  </si>
  <si>
    <t>132853</t>
  </si>
  <si>
    <t>AULIN</t>
  </si>
  <si>
    <t>POR TBL NOB 30X100MG</t>
  </si>
  <si>
    <t>113476</t>
  </si>
  <si>
    <t>13476</t>
  </si>
  <si>
    <t>RAMIL 5</t>
  </si>
  <si>
    <t>POR TBLNOB 90X5MG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</si>
  <si>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</si>
  <si>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</si>
  <si>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</si>
  <si>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</si>
  <si>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</si>
  <si>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</si>
  <si>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</si>
  <si>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</si>
  <si>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</si>
  <si>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</si>
  <si>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</si>
  <si>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49941</t>
  </si>
  <si>
    <t>BETALOC ZOK 100 MG</t>
  </si>
  <si>
    <t>POR TBL PRO 100X100MG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</si>
  <si>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</si>
  <si>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</si>
  <si>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</si>
  <si>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</si>
  <si>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</si>
  <si>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</si>
  <si>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</si>
  <si>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</si>
  <si>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</si>
  <si>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</si>
  <si>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</si>
  <si>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</si>
  <si>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</si>
  <si>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</si>
  <si>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</si>
  <si>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</si>
  <si>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</si>
  <si>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</si>
  <si>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</si>
  <si>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</si>
  <si>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</si>
  <si>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</si>
  <si>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</si>
  <si>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</si>
  <si>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</si>
  <si>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</si>
  <si>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</si>
  <si>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100802</t>
  </si>
  <si>
    <t>1000</t>
  </si>
  <si>
    <t>IR OG. OPHTHALMO-SEPTONEX</t>
  </si>
  <si>
    <t>GTT OPH 1X10ML</t>
  </si>
  <si>
    <t>100843</t>
  </si>
  <si>
    <t>843</t>
  </si>
  <si>
    <t>DERMAZULEN</t>
  </si>
  <si>
    <t>UNG 1X30GM</t>
  </si>
  <si>
    <t>100876</t>
  </si>
  <si>
    <t>876</t>
  </si>
  <si>
    <t>OPHTHALMO-SEPTONEX</t>
  </si>
  <si>
    <t>UNG OPH 1X5GM</t>
  </si>
  <si>
    <t>101125</t>
  </si>
  <si>
    <t>1125</t>
  </si>
  <si>
    <t>MORPHIN BIOTIKA 1%</t>
  </si>
  <si>
    <t>INJ 10X1ML/10MG</t>
  </si>
  <si>
    <t>102133</t>
  </si>
  <si>
    <t>2133</t>
  </si>
  <si>
    <t>FUROSEMID BIOTIKA</t>
  </si>
  <si>
    <t>INJ 5X2ML/20MG</t>
  </si>
  <si>
    <t>102478</t>
  </si>
  <si>
    <t>2478</t>
  </si>
  <si>
    <t>DIAZEPAM SLOVAKOFARMA</t>
  </si>
  <si>
    <t>TBL 20X10MG</t>
  </si>
  <si>
    <t>102538</t>
  </si>
  <si>
    <t>2538</t>
  </si>
  <si>
    <t>HALOPERIDOL</t>
  </si>
  <si>
    <t>INJ 5X1ML/5MG</t>
  </si>
  <si>
    <t>102785</t>
  </si>
  <si>
    <t>2785</t>
  </si>
  <si>
    <t>FUROSEMID SLOVAKOFARMA FORTE</t>
  </si>
  <si>
    <t>TBL 10X250MG</t>
  </si>
  <si>
    <t>103542</t>
  </si>
  <si>
    <t>3542</t>
  </si>
  <si>
    <t>DIGOXIN 0.250 LECIVA</t>
  </si>
  <si>
    <t>TBL 30X0.25MG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</si>
  <si>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</si>
  <si>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</si>
  <si>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</si>
  <si>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</si>
  <si>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</si>
  <si>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</si>
  <si>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</si>
  <si>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104343</t>
  </si>
  <si>
    <t>4343</t>
  </si>
  <si>
    <t>PARALEN</t>
  </si>
  <si>
    <t>SUP 5X500MG</t>
  </si>
  <si>
    <t>110151</t>
  </si>
  <si>
    <t>10151</t>
  </si>
  <si>
    <t>LOPERON CPS</t>
  </si>
  <si>
    <t>POR CPS DUR 10X2MG</t>
  </si>
  <si>
    <t>111696</t>
  </si>
  <si>
    <t>11696</t>
  </si>
  <si>
    <t>PLASMALYTE ROZTOK S GLUKOZOU 5%</t>
  </si>
  <si>
    <t>INF SOL 10X1000ML</t>
  </si>
  <si>
    <t>117293</t>
  </si>
  <si>
    <t>17293</t>
  </si>
  <si>
    <t>CELASKON 500MG ČERVENÝ POMERANČ</t>
  </si>
  <si>
    <t>POR TBLEFF20X500MG</t>
  </si>
  <si>
    <t>118304</t>
  </si>
  <si>
    <t>18304</t>
  </si>
  <si>
    <t>RINGERFUNDIN B.BRAUN</t>
  </si>
  <si>
    <t>INF SOL 10X500ML PE</t>
  </si>
  <si>
    <t>124067</t>
  </si>
  <si>
    <t>HYDROCORTISON VUAB 100 MG</t>
  </si>
  <si>
    <t>INJ PLV SOL 1X100MG</t>
  </si>
  <si>
    <t>132225</t>
  </si>
  <si>
    <t>32225</t>
  </si>
  <si>
    <t>BETALOC ZOK 25 MG</t>
  </si>
  <si>
    <t>TBL RET 28X25MG</t>
  </si>
  <si>
    <t>145310</t>
  </si>
  <si>
    <t>45310</t>
  </si>
  <si>
    <t>ANACID</t>
  </si>
  <si>
    <t>SUS 12X5ML(SACKY)</t>
  </si>
  <si>
    <t>149013</t>
  </si>
  <si>
    <t>49013</t>
  </si>
  <si>
    <t>SOTAHEXAL 80</t>
  </si>
  <si>
    <t>POR TBL NOB 50X80MG</t>
  </si>
  <si>
    <t>149014</t>
  </si>
  <si>
    <t>49014</t>
  </si>
  <si>
    <t>POR TBL NOB 100X80MG</t>
  </si>
  <si>
    <t>156993</t>
  </si>
  <si>
    <t>56993</t>
  </si>
  <si>
    <t>CODEIN SLOVAKOFARMA 30MG</t>
  </si>
  <si>
    <t>TBL 10X30MG-BLISTR</t>
  </si>
  <si>
    <t>157525</t>
  </si>
  <si>
    <t>57525</t>
  </si>
  <si>
    <t>MYDOCALM 150MG</t>
  </si>
  <si>
    <t>TBL OBD 30X150MG</t>
  </si>
  <si>
    <t>176496</t>
  </si>
  <si>
    <t>76496</t>
  </si>
  <si>
    <t>BERODUAL</t>
  </si>
  <si>
    <t>INH LIQ 1X20ML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</si>
  <si>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</si>
  <si>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</si>
  <si>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</si>
  <si>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</si>
  <si>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</si>
  <si>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</si>
  <si>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</si>
  <si>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</si>
  <si>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188217</t>
  </si>
  <si>
    <t>88217</t>
  </si>
  <si>
    <t>LEXAURIN</t>
  </si>
  <si>
    <t>TBL 30X1.5MG</t>
  </si>
  <si>
    <t>188219</t>
  </si>
  <si>
    <t>88219</t>
  </si>
  <si>
    <t>LEXAURIN 3</t>
  </si>
  <si>
    <t>POR TBL NOB 30X3MG</t>
  </si>
  <si>
    <t>191836</t>
  </si>
  <si>
    <t>91836</t>
  </si>
  <si>
    <t>TORECAN</t>
  </si>
  <si>
    <t>INJ 5X1ML/6.5MG</t>
  </si>
  <si>
    <t>192351</t>
  </si>
  <si>
    <t>92351</t>
  </si>
  <si>
    <t>ATROVENT 0.025%</t>
  </si>
  <si>
    <t>INH SOL 1X20ML</t>
  </si>
  <si>
    <t>192729</t>
  </si>
  <si>
    <t>92729</t>
  </si>
  <si>
    <t>ACIDUM ASCORBICUM</t>
  </si>
  <si>
    <t>INJ 5X5ML</t>
  </si>
  <si>
    <t>192853</t>
  </si>
  <si>
    <t>POR CPS DUR 20X2MG</t>
  </si>
  <si>
    <t>193105</t>
  </si>
  <si>
    <t>93105</t>
  </si>
  <si>
    <t>DEGAN</t>
  </si>
  <si>
    <t>INJ 50X2ML/10MG</t>
  </si>
  <si>
    <t>193746</t>
  </si>
  <si>
    <t>93746</t>
  </si>
  <si>
    <t>HEPARIN LECIVA</t>
  </si>
  <si>
    <t>INJ 1X10ML/50KU</t>
  </si>
  <si>
    <t>196635</t>
  </si>
  <si>
    <t>96635</t>
  </si>
  <si>
    <t>MAGNE B6</t>
  </si>
  <si>
    <t>DRG 50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</si>
  <si>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</si>
  <si>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</si>
  <si>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</si>
  <si>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</si>
  <si>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</si>
  <si>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</si>
  <si>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</si>
  <si>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</si>
  <si>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</si>
  <si>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</si>
  <si>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</si>
  <si>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</si>
  <si>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199680</t>
  </si>
  <si>
    <t>ERDOMED</t>
  </si>
  <si>
    <t>POR CPS DUR 60X300MG</t>
  </si>
  <si>
    <t>840220</t>
  </si>
  <si>
    <t>0</t>
  </si>
  <si>
    <t>Lactobacillus acidophil.cps.75 bez laktózy</t>
  </si>
  <si>
    <t>843905</t>
  </si>
  <si>
    <t>103391</t>
  </si>
  <si>
    <t>MUCOSOLVAN</t>
  </si>
  <si>
    <t>POR GTT SOL+INH SOL 60ML</t>
  </si>
  <si>
    <t>844831</t>
  </si>
  <si>
    <t>DIGOXIN ORION INJ.-MIMOŘÁDNÝ DOVOZ!!</t>
  </si>
  <si>
    <t>INJ SOL 25X1ML/0.25MG</t>
  </si>
  <si>
    <t>845008</t>
  </si>
  <si>
    <t>107806</t>
  </si>
  <si>
    <t>AESCIN-TEVA</t>
  </si>
  <si>
    <t>POR TBL FLM 30X20MG</t>
  </si>
  <si>
    <t>845369</t>
  </si>
  <si>
    <t>107987</t>
  </si>
  <si>
    <t>ANALGIN</t>
  </si>
  <si>
    <t>INJ SOL 5X5ML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</si>
  <si>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</si>
  <si>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</si>
  <si>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</si>
  <si>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</si>
  <si>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</si>
  <si>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</si>
  <si>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</si>
  <si>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</si>
  <si>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848335</t>
  </si>
  <si>
    <t>155782</t>
  </si>
  <si>
    <t>GODASAL 100</t>
  </si>
  <si>
    <t>POR TBL NOB 100</t>
  </si>
  <si>
    <t>848632</t>
  </si>
  <si>
    <t>125315</t>
  </si>
  <si>
    <t>TIAPRIDAL</t>
  </si>
  <si>
    <t>INJ SOL 12X2ML/100MG</t>
  </si>
  <si>
    <t>849713</t>
  </si>
  <si>
    <t>125046</t>
  </si>
  <si>
    <t>APO-AMLO 10</t>
  </si>
  <si>
    <t>POR TBL NOB 30X10MG</t>
  </si>
  <si>
    <t>849896</t>
  </si>
  <si>
    <t>134281</t>
  </si>
  <si>
    <t>VALSACOMBI 160 MG/12,5 MG</t>
  </si>
  <si>
    <t>POR TBL FLM 28</t>
  </si>
  <si>
    <t>850147</t>
  </si>
  <si>
    <t>107950</t>
  </si>
  <si>
    <t>CLEXANE FORTE</t>
  </si>
  <si>
    <t>INJ SOL 10X0.8ML/12KU</t>
  </si>
  <si>
    <t>900441</t>
  </si>
  <si>
    <t>KL ETHER  LÉKOPISNÝ 1000 ml Fagron, Kulich</t>
  </si>
  <si>
    <t>jednotka 1 ks   UN 1155</t>
  </si>
  <si>
    <t>51384</t>
  </si>
  <si>
    <t>INF SOL 10X1000MLPLAH</t>
  </si>
  <si>
    <t>53761</t>
  </si>
  <si>
    <t>NEBILET</t>
  </si>
  <si>
    <t>POR TBL NOB 28X5MG</t>
  </si>
  <si>
    <t>100489</t>
  </si>
  <si>
    <t>489</t>
  </si>
  <si>
    <t>INJ 5X1ML/10MG</t>
  </si>
  <si>
    <t>100513</t>
  </si>
  <si>
    <t>513</t>
  </si>
  <si>
    <t>NATRIUM CHLORATUM BIOTIKA 10%</t>
  </si>
  <si>
    <t>100612</t>
  </si>
  <si>
    <t>612</t>
  </si>
  <si>
    <t>SYNTOSTIGMIN</t>
  </si>
  <si>
    <t>INJ 10X1ML/0.5MG</t>
  </si>
  <si>
    <t>110086</t>
  </si>
  <si>
    <t>10086</t>
  </si>
  <si>
    <t>NEODOLPASSE</t>
  </si>
  <si>
    <t>INF 10X250ML</t>
  </si>
  <si>
    <t>111337</t>
  </si>
  <si>
    <t>52421</t>
  </si>
  <si>
    <t>GERATAM 3 G</t>
  </si>
  <si>
    <t>INJ SOL 4X15ML/3GM</t>
  </si>
  <si>
    <t>118305</t>
  </si>
  <si>
    <t>18305</t>
  </si>
  <si>
    <t>INF SOL10X1000ML PE</t>
  </si>
  <si>
    <t>145981</t>
  </si>
  <si>
    <t>45981</t>
  </si>
  <si>
    <t>CERNEVIT</t>
  </si>
  <si>
    <t>INJ PLV SOL10X750MG</t>
  </si>
  <si>
    <t>172564</t>
  </si>
  <si>
    <t>72564</t>
  </si>
  <si>
    <t>SEROPRAM</t>
  </si>
  <si>
    <t>INF 5X0.5ML/20MG</t>
  </si>
  <si>
    <t>189244</t>
  </si>
  <si>
    <t>89244</t>
  </si>
  <si>
    <t>AQUA PRO INJECTIONE ARDEAPHARMA</t>
  </si>
  <si>
    <t>INF 1X250ML</t>
  </si>
  <si>
    <t>192757</t>
  </si>
  <si>
    <t>92757</t>
  </si>
  <si>
    <t>ERDOMED 300MG</t>
  </si>
  <si>
    <t>CPS 10X300MG</t>
  </si>
  <si>
    <t>193724</t>
  </si>
  <si>
    <t>93724</t>
  </si>
  <si>
    <t>INDOMETACIN 100 BERLIN-CHEMIE</t>
  </si>
  <si>
    <t>SUP 10X100MG</t>
  </si>
  <si>
    <t>196610</t>
  </si>
  <si>
    <t>96610</t>
  </si>
  <si>
    <t>APAURIN</t>
  </si>
  <si>
    <t>INJ 10X2ML/10MG</t>
  </si>
  <si>
    <t>104071</t>
  </si>
  <si>
    <t>4071</t>
  </si>
  <si>
    <t>DITHIADEN</t>
  </si>
  <si>
    <t>INJ 10X2ML</t>
  </si>
  <si>
    <t>165633</t>
  </si>
  <si>
    <t>165751</t>
  </si>
  <si>
    <t>GELASPAN 4% EBI20x500 ml</t>
  </si>
  <si>
    <t>INF SOL20X500ML VAK</t>
  </si>
  <si>
    <t>47706</t>
  </si>
  <si>
    <t>GLUKÓZA 20 BRAUN</t>
  </si>
  <si>
    <t>100874</t>
  </si>
  <si>
    <t>874</t>
  </si>
  <si>
    <t>OPHTHALMO-AZULEN</t>
  </si>
  <si>
    <t>142595</t>
  </si>
  <si>
    <t>42595</t>
  </si>
  <si>
    <t>VITALIPID N ADULT</t>
  </si>
  <si>
    <t>INF CNC SOL 10X10ML</t>
  </si>
  <si>
    <t>162597</t>
  </si>
  <si>
    <t>62597</t>
  </si>
  <si>
    <t>ENAP I.V.</t>
  </si>
  <si>
    <t>INJ 5X1ML/1.25MG</t>
  </si>
  <si>
    <t>194852</t>
  </si>
  <si>
    <t>94852</t>
  </si>
  <si>
    <t>SOLUVIT N PRO INFUS.</t>
  </si>
  <si>
    <t>INJ SIC 10</t>
  </si>
  <si>
    <t>921458</t>
  </si>
  <si>
    <t>KL ETHER 200G</t>
  </si>
  <si>
    <t>100392</t>
  </si>
  <si>
    <t>392</t>
  </si>
  <si>
    <t>ATROPIN BIOTIKA 0.5MG</t>
  </si>
  <si>
    <t>162317</t>
  </si>
  <si>
    <t>62317</t>
  </si>
  <si>
    <t>BETADINE - zelená</t>
  </si>
  <si>
    <t>LIQ 1X1000ML</t>
  </si>
  <si>
    <t>100407</t>
  </si>
  <si>
    <t>407</t>
  </si>
  <si>
    <t>CALCIUM BIOTIKA</t>
  </si>
  <si>
    <t>INJ 10X10ML/1GM</t>
  </si>
  <si>
    <t>117294</t>
  </si>
  <si>
    <t>17294</t>
  </si>
  <si>
    <t>PORTBLEFF3X10PROMO</t>
  </si>
  <si>
    <t>198872</t>
  </si>
  <si>
    <t>98872</t>
  </si>
  <si>
    <t>FYZIOLOGICKÝ ROZTOK VIAFLO</t>
  </si>
  <si>
    <t>INF SOL 30X250ML</t>
  </si>
  <si>
    <t>900321</t>
  </si>
  <si>
    <t>KL PRIPRAVEK</t>
  </si>
  <si>
    <t>101127</t>
  </si>
  <si>
    <t>1127</t>
  </si>
  <si>
    <t>INJ 10X2ML/20MG</t>
  </si>
  <si>
    <t>117011</t>
  </si>
  <si>
    <t>17011</t>
  </si>
  <si>
    <t>DICYNONE 250</t>
  </si>
  <si>
    <t>INJ SOL 4X2ML/250MG</t>
  </si>
  <si>
    <t>157351</t>
  </si>
  <si>
    <t>57351</t>
  </si>
  <si>
    <t>OXANTIL</t>
  </si>
  <si>
    <t>INJ 5X2ML</t>
  </si>
  <si>
    <t>167547</t>
  </si>
  <si>
    <t>67547</t>
  </si>
  <si>
    <t>ALMIRAL</t>
  </si>
  <si>
    <t>INJ 10X3ML/75MG</t>
  </si>
  <si>
    <t>169671</t>
  </si>
  <si>
    <t>69671</t>
  </si>
  <si>
    <t>INJECTIO PROCAIN.CHLOR.0.2% ARD</t>
  </si>
  <si>
    <t>INJ 1X500ML 0.2%</t>
  </si>
  <si>
    <t>100113</t>
  </si>
  <si>
    <t>113</t>
  </si>
  <si>
    <t>DILURAN</t>
  </si>
  <si>
    <t>TBL 20X250MG</t>
  </si>
  <si>
    <t>108499</t>
  </si>
  <si>
    <t>8499</t>
  </si>
  <si>
    <t>DIPIDOLOR</t>
  </si>
  <si>
    <t>INJ 5X2ML 7.5MG/ML</t>
  </si>
  <si>
    <t>159358</t>
  </si>
  <si>
    <t>59358</t>
  </si>
  <si>
    <t>RINGERUV ROZTOK BRAUN</t>
  </si>
  <si>
    <t>INF 10X1000ML(LDPE)</t>
  </si>
  <si>
    <t>187299</t>
  </si>
  <si>
    <t>87299</t>
  </si>
  <si>
    <t>IMUNOR</t>
  </si>
  <si>
    <t>LYO 4X10MG</t>
  </si>
  <si>
    <t>187764</t>
  </si>
  <si>
    <t>87764</t>
  </si>
  <si>
    <t>ARDEAELYTOSOL NA.HYDR.CARB.4.2%</t>
  </si>
  <si>
    <t>INF 1X200ML</t>
  </si>
  <si>
    <t>199466</t>
  </si>
  <si>
    <t>BURONIL 25 MG</t>
  </si>
  <si>
    <t>POR TBL OBD 50X25MG</t>
  </si>
  <si>
    <t>844764</t>
  </si>
  <si>
    <t>105943</t>
  </si>
  <si>
    <t>TETRASPAN 10%</t>
  </si>
  <si>
    <t>INF SOL 20X500ML</t>
  </si>
  <si>
    <t>848725</t>
  </si>
  <si>
    <t>107677</t>
  </si>
  <si>
    <t>KALIUMCHLORID 7.45% BRAUN</t>
  </si>
  <si>
    <t>INF CNC SOL 20X100ML</t>
  </si>
  <si>
    <t>920356</t>
  </si>
  <si>
    <t>KL SOL.BORGLYCEROLI  3% 100 G</t>
  </si>
  <si>
    <t>501065</t>
  </si>
  <si>
    <t>KL SIGNATURY</t>
  </si>
  <si>
    <t>106091</t>
  </si>
  <si>
    <t>6091</t>
  </si>
  <si>
    <t>GUTRON 2.5MG</t>
  </si>
  <si>
    <t>TBL 20X2.5MG</t>
  </si>
  <si>
    <t>847962</t>
  </si>
  <si>
    <t>AESCIN 30mg tbl.60 VULM</t>
  </si>
  <si>
    <t>102132</t>
  </si>
  <si>
    <t>2132</t>
  </si>
  <si>
    <t>CARDILAN</t>
  </si>
  <si>
    <t>INJ 10X10ML</t>
  </si>
  <si>
    <t>169667</t>
  </si>
  <si>
    <t>69667</t>
  </si>
  <si>
    <t>ARDEAELYTOSOL NA.HYDR.FOSF.8.7%</t>
  </si>
  <si>
    <t>848783</t>
  </si>
  <si>
    <t>115400</t>
  </si>
  <si>
    <t>CLEXANE</t>
  </si>
  <si>
    <t>INJ SOL 10X0.2ML/2KU</t>
  </si>
  <si>
    <t>102439</t>
  </si>
  <si>
    <t>2439</t>
  </si>
  <si>
    <t>MARCAINE 0.5%</t>
  </si>
  <si>
    <t>INJ SOL5X20ML/100MG</t>
  </si>
  <si>
    <t>155911</t>
  </si>
  <si>
    <t>55911</t>
  </si>
  <si>
    <t>PEROXID VODÍKU 3% COO</t>
  </si>
  <si>
    <t>DRM SOL 1X100ML 3%</t>
  </si>
  <si>
    <t>920358</t>
  </si>
  <si>
    <t>KL SOL.BORGLYCEROLI 3% 200 G</t>
  </si>
  <si>
    <t>121393</t>
  </si>
  <si>
    <t>21393</t>
  </si>
  <si>
    <t>PATENTBLAU V - MIMOŘ.DOVOZ!!!</t>
  </si>
  <si>
    <t>INJ 5X2ML/50MG</t>
  </si>
  <si>
    <t>2584</t>
  </si>
  <si>
    <t>GLUKÓZA 40 BRAUN</t>
  </si>
  <si>
    <t>844242</t>
  </si>
  <si>
    <t>105937</t>
  </si>
  <si>
    <t>TETRASPAN 6%</t>
  </si>
  <si>
    <t>144980</t>
  </si>
  <si>
    <t>44980</t>
  </si>
  <si>
    <t>CONTRACTUBEX</t>
  </si>
  <si>
    <t>GEL 1X20GM</t>
  </si>
  <si>
    <t>843996</t>
  </si>
  <si>
    <t>100191</t>
  </si>
  <si>
    <t>VOLUVEN  6%</t>
  </si>
  <si>
    <t>INF SOL 20X500MLVAK+P</t>
  </si>
  <si>
    <t>127698</t>
  </si>
  <si>
    <t>27698</t>
  </si>
  <si>
    <t>TAMIFLU 75 MG</t>
  </si>
  <si>
    <t>POR CPS DUR 10X75MG</t>
  </si>
  <si>
    <t>149990</t>
  </si>
  <si>
    <t>49990</t>
  </si>
  <si>
    <t>EXACYL</t>
  </si>
  <si>
    <t>INJ 5X5ML/500MG</t>
  </si>
  <si>
    <t>187825</t>
  </si>
  <si>
    <t>87825</t>
  </si>
  <si>
    <t>ARDEAELYTOSOL NA.HYDR.CARB.8.4%</t>
  </si>
  <si>
    <t>190484</t>
  </si>
  <si>
    <t>NEPRESOL 25 MG-MIMOŘÁDNÝ DOVOZ!!</t>
  </si>
  <si>
    <t>INJ SIC 5X25MG+SOLV</t>
  </si>
  <si>
    <t>850305</t>
  </si>
  <si>
    <t>Biopron9 tob.120</t>
  </si>
  <si>
    <t>129027</t>
  </si>
  <si>
    <t>PROPOFOL-LIPURO 1 % (10MG/ML)</t>
  </si>
  <si>
    <t>INJ+INF EML 10X100ML/1000MG</t>
  </si>
  <si>
    <t>194763</t>
  </si>
  <si>
    <t>94763</t>
  </si>
  <si>
    <t>NALOXONE POLFA</t>
  </si>
  <si>
    <t>INJ 10X1ML/0.4MG</t>
  </si>
  <si>
    <t>900539</t>
  </si>
  <si>
    <t>KL MAST NA SPALENINY, 100G</t>
  </si>
  <si>
    <t>921135</t>
  </si>
  <si>
    <t>KL UNG.ICHT.2G,CaCO3 10G,ZnO 6G,VAS.LEN. AA AD</t>
  </si>
  <si>
    <t>100G, 2% ichtamolu</t>
  </si>
  <si>
    <t>845827</t>
  </si>
  <si>
    <t>Recugel oční gel 10g</t>
  </si>
  <si>
    <t>844735</t>
  </si>
  <si>
    <t>115527</t>
  </si>
  <si>
    <t>URALYT U</t>
  </si>
  <si>
    <t>POR GRA 1X280GM</t>
  </si>
  <si>
    <t>850608</t>
  </si>
  <si>
    <t>169303</t>
  </si>
  <si>
    <t>ARTEOPTIC 2%</t>
  </si>
  <si>
    <t>OPH GTT SOL 3X5ML</t>
  </si>
  <si>
    <t>842703</t>
  </si>
  <si>
    <t>Hypromeloza -P 10ml</t>
  </si>
  <si>
    <t>176954</t>
  </si>
  <si>
    <t>ALGIFEN NEO</t>
  </si>
  <si>
    <t>POR GTT SOL 1X50ML</t>
  </si>
  <si>
    <t>397238</t>
  </si>
  <si>
    <t>KL ETHANOLUM BENZ.DENAT. 500ml /400g/</t>
  </si>
  <si>
    <t>UN 1170</t>
  </si>
  <si>
    <t>116287</t>
  </si>
  <si>
    <t>16287</t>
  </si>
  <si>
    <t>FASTUM GEL</t>
  </si>
  <si>
    <t>DRM GEL 1X100GM</t>
  </si>
  <si>
    <t>182977</t>
  </si>
  <si>
    <t>CEFTRIAXON MEDOPHARM 1 G</t>
  </si>
  <si>
    <t>INJ+INF PLV SOL 10X1GM</t>
  </si>
  <si>
    <t>186204</t>
  </si>
  <si>
    <t>ISOPTIN 80 MG</t>
  </si>
  <si>
    <t>POR TBL FLM 50X80MG</t>
  </si>
  <si>
    <t>136126</t>
  </si>
  <si>
    <t>NICORETTE INVISIPATCH 25 MG/16 H</t>
  </si>
  <si>
    <t>DRM EMP TDR 7X25MG</t>
  </si>
  <si>
    <t>136129</t>
  </si>
  <si>
    <t>NICORETTE INVISIPATCH 15 MG/16 H</t>
  </si>
  <si>
    <t>DRM EMP TDR 7X15MG</t>
  </si>
  <si>
    <t>23987</t>
  </si>
  <si>
    <t>DZ OCTENISEPT drm. sol. 250 ml</t>
  </si>
  <si>
    <t>DRM SOL 1X250ML</t>
  </si>
  <si>
    <t>168650</t>
  </si>
  <si>
    <t>DEXDOR</t>
  </si>
  <si>
    <t>INF CNC SOL 5X2ML</t>
  </si>
  <si>
    <t>920235</t>
  </si>
  <si>
    <t>15880</t>
  </si>
  <si>
    <t>DZ BRAUNOL 500 ML</t>
  </si>
  <si>
    <t>137275</t>
  </si>
  <si>
    <t>CALCIUM RESONIUM</t>
  </si>
  <si>
    <t>POR+RCT PLV SUS 300GM</t>
  </si>
  <si>
    <t>190963</t>
  </si>
  <si>
    <t>TRIPLIXAM 5 MG/1,25 MG/10 MG</t>
  </si>
  <si>
    <t>POR TBL FLM 30</t>
  </si>
  <si>
    <t>150660</t>
  </si>
  <si>
    <t>CEREBROLYSIN</t>
  </si>
  <si>
    <t>INJ SOL 5X10ML</t>
  </si>
  <si>
    <t>203092</t>
  </si>
  <si>
    <t>LIDOCAIN EGIS 10 %</t>
  </si>
  <si>
    <t>DRM SPR SOL 1X38GM</t>
  </si>
  <si>
    <t>843072</t>
  </si>
  <si>
    <t>Artelac CL 10ml</t>
  </si>
  <si>
    <t>990413</t>
  </si>
  <si>
    <t>Catapresan inj.10x1ml/0.15mg</t>
  </si>
  <si>
    <t>161371</t>
  </si>
  <si>
    <t>SUXAMETHONIUM CHLORID VUAB 100 MG</t>
  </si>
  <si>
    <t>134824</t>
  </si>
  <si>
    <t>ISOLYTE BP - PLAST. LÁHEV</t>
  </si>
  <si>
    <t xml:space="preserve">INF SOL 10X1000ML KP </t>
  </si>
  <si>
    <t>134821</t>
  </si>
  <si>
    <t>ISOLYTE  FFX - VAK</t>
  </si>
  <si>
    <t>INF SOL 10X1000ML Freeflex</t>
  </si>
  <si>
    <t>215473</t>
  </si>
  <si>
    <t>EBRANTIL I.V. 25</t>
  </si>
  <si>
    <t>INJ SOL 5X5ML/25MG</t>
  </si>
  <si>
    <t>214616</t>
  </si>
  <si>
    <t>TRENTAL</t>
  </si>
  <si>
    <t>INF SOL 5X5ML/100MG</t>
  </si>
  <si>
    <t>185625</t>
  </si>
  <si>
    <t>BRUFEN 400</t>
  </si>
  <si>
    <t>POR TBL FLM 30X400MG</t>
  </si>
  <si>
    <t>197323</t>
  </si>
  <si>
    <t>ADDAVEN</t>
  </si>
  <si>
    <t>IVN INF CNC SOL 20X10ML</t>
  </si>
  <si>
    <t>216900</t>
  </si>
  <si>
    <t>NORADRENALIN LÉČIVA</t>
  </si>
  <si>
    <t>IVN INF CNC SOL 5X5ML</t>
  </si>
  <si>
    <t>215851</t>
  </si>
  <si>
    <t>TRANSMETIL 500 MG TABLETY</t>
  </si>
  <si>
    <t>POR TBL ENT 10X500MG</t>
  </si>
  <si>
    <t>147251</t>
  </si>
  <si>
    <t>0,9 % SODIUM CHLORIDE KABI</t>
  </si>
  <si>
    <t>1x1000 ml FFlx</t>
  </si>
  <si>
    <t>501736</t>
  </si>
  <si>
    <t>KL MAST NA SPALENINY+ BETADINE , 100G</t>
  </si>
  <si>
    <t>P</t>
  </si>
  <si>
    <t>107981</t>
  </si>
  <si>
    <t>7981</t>
  </si>
  <si>
    <t>NOVALGIN</t>
  </si>
  <si>
    <t>INJ 10X2ML/1000MG</t>
  </si>
  <si>
    <t>109709</t>
  </si>
  <si>
    <t>9709</t>
  </si>
  <si>
    <t>SOLU-MEDROL</t>
  </si>
  <si>
    <t>INJ SIC 1X40MG+1ML</t>
  </si>
  <si>
    <t>113767</t>
  </si>
  <si>
    <t>13767</t>
  </si>
  <si>
    <t>CORDARONE</t>
  </si>
  <si>
    <t>POR TBL NOB30X200MG</t>
  </si>
  <si>
    <t>147740</t>
  </si>
  <si>
    <t>47740</t>
  </si>
  <si>
    <t>RIVOCOR 5</t>
  </si>
  <si>
    <t>POR TBL FLM 30X5MG</t>
  </si>
  <si>
    <t>155823</t>
  </si>
  <si>
    <t>55823</t>
  </si>
  <si>
    <t>TBL OBD 20X500MG</t>
  </si>
  <si>
    <t>158380</t>
  </si>
  <si>
    <t>58380</t>
  </si>
  <si>
    <t>VENTOLIN ROZTOK K INHALACI</t>
  </si>
  <si>
    <t>INH SOL1X20ML/120MG</t>
  </si>
  <si>
    <t>844651</t>
  </si>
  <si>
    <t>101205</t>
  </si>
  <si>
    <t>PRESTARIUM NEO</t>
  </si>
  <si>
    <t>845220</t>
  </si>
  <si>
    <t>101211</t>
  </si>
  <si>
    <t>POR TBL FLM 90X5MG</t>
  </si>
  <si>
    <t>846338</t>
  </si>
  <si>
    <t>122685</t>
  </si>
  <si>
    <t>PRESTARIUM NEO COMBI 5mg/1,25mg</t>
  </si>
  <si>
    <t>848765</t>
  </si>
  <si>
    <t>107938</t>
  </si>
  <si>
    <t>INJ SOL 6X3ML/150MG</t>
  </si>
  <si>
    <t>849990</t>
  </si>
  <si>
    <t>102596</t>
  </si>
  <si>
    <t>CARVESAN 6,25</t>
  </si>
  <si>
    <t>POR TBL NOB 30X6,25MG</t>
  </si>
  <si>
    <t>126786</t>
  </si>
  <si>
    <t>26786</t>
  </si>
  <si>
    <t>NOVORAPID 100 U/ML</t>
  </si>
  <si>
    <t>INJ SOL 1X10ML</t>
  </si>
  <si>
    <t>194882</t>
  </si>
  <si>
    <t>94882</t>
  </si>
  <si>
    <t>INJ SIC 1X250MG+4ML</t>
  </si>
  <si>
    <t>112354</t>
  </si>
  <si>
    <t>12354</t>
  </si>
  <si>
    <t>SIOFOR 500</t>
  </si>
  <si>
    <t>POR TBL FLM 120X500MG</t>
  </si>
  <si>
    <t>117431</t>
  </si>
  <si>
    <t>17431</t>
  </si>
  <si>
    <t>CITALEC 20 ZENTIVA</t>
  </si>
  <si>
    <t>POR TBL FLM30X20MG</t>
  </si>
  <si>
    <t>115245</t>
  </si>
  <si>
    <t>15245</t>
  </si>
  <si>
    <t>SANDOSTATIN 0.1 MG/ML</t>
  </si>
  <si>
    <t>INJ SOL 5X1ML/0.1MG</t>
  </si>
  <si>
    <t>850729</t>
  </si>
  <si>
    <t>157875</t>
  </si>
  <si>
    <t>PARACETAMOL KABI 10MG/ML</t>
  </si>
  <si>
    <t>INF SOL 10X100ML/1000MG</t>
  </si>
  <si>
    <t>121088</t>
  </si>
  <si>
    <t>21088</t>
  </si>
  <si>
    <t>SUFENTANIL TORREX 50 MCG/ML</t>
  </si>
  <si>
    <t>INJ SOL 5X5ML/250RG</t>
  </si>
  <si>
    <t>847134</t>
  </si>
  <si>
    <t>151050</t>
  </si>
  <si>
    <t>DEPAKINE</t>
  </si>
  <si>
    <t>INJ PSO LQF 4X4ML/400MG</t>
  </si>
  <si>
    <t>184095</t>
  </si>
  <si>
    <t>MIDAZOLAM ACCORD 5 MG/ML</t>
  </si>
  <si>
    <t>INJ+INF SOL 10X10ML</t>
  </si>
  <si>
    <t>180081</t>
  </si>
  <si>
    <t>SYMBICORT TURBUHALER 400 MIKROGRAMŮ/12 MIKROGRAMŮ/</t>
  </si>
  <si>
    <t>INH PLV 1X60DÁV</t>
  </si>
  <si>
    <t>146071</t>
  </si>
  <si>
    <t>MIRTAZAPIN MYLAN 30 MG</t>
  </si>
  <si>
    <t>POR TBL DIS 30X30MG</t>
  </si>
  <si>
    <t>987473</t>
  </si>
  <si>
    <t>146894</t>
  </si>
  <si>
    <t>ZOLPIDEM MYLAN</t>
  </si>
  <si>
    <t>187425</t>
  </si>
  <si>
    <t>LETROX 50</t>
  </si>
  <si>
    <t>POR TBL NOB 100X50RG II</t>
  </si>
  <si>
    <t>29449</t>
  </si>
  <si>
    <t>NOVOSEVEN 100 KIU (2 MG)</t>
  </si>
  <si>
    <t>INJ PSO LQF 2MG</t>
  </si>
  <si>
    <t>161623</t>
  </si>
  <si>
    <t>PRENEWEL 8 MG/2,5 MG</t>
  </si>
  <si>
    <t>POR TBL NOB 30</t>
  </si>
  <si>
    <t>187158</t>
  </si>
  <si>
    <t>ANESIA 10 MG/ML INJ/INF EML.</t>
  </si>
  <si>
    <t>INJ+INF EML 5X20ML/200MG</t>
  </si>
  <si>
    <t>187607</t>
  </si>
  <si>
    <t>ONDANSETRON B. BRAUN 2 MG/ML</t>
  </si>
  <si>
    <t>INJ SOL 20X4ML/8MG LDPE</t>
  </si>
  <si>
    <t>213477</t>
  </si>
  <si>
    <t>FRAXIPARIN MULTI</t>
  </si>
  <si>
    <t>INJ 10X5ML/47.5KU</t>
  </si>
  <si>
    <t>214427</t>
  </si>
  <si>
    <t>CONTROLOC I.V.</t>
  </si>
  <si>
    <t>INJ PLV SOL 1X40MG</t>
  </si>
  <si>
    <t>187427</t>
  </si>
  <si>
    <t>LETROX 100</t>
  </si>
  <si>
    <t>POR TBL NOB 100X100RG II</t>
  </si>
  <si>
    <t>187156</t>
  </si>
  <si>
    <t>ANESIA 10 MG/ML INJEKČNÍ/INFUZNÍ EMULZE</t>
  </si>
  <si>
    <t>IVN INJ+INF EML 10X50ML</t>
  </si>
  <si>
    <t>127736</t>
  </si>
  <si>
    <t>MIDAZOLAM ACCORD 1 MG/ML</t>
  </si>
  <si>
    <t>INJ+INF SOL 10X5MLX1MG/ML</t>
  </si>
  <si>
    <t>127737</t>
  </si>
  <si>
    <t>INJ+INF SOL 10X1MLX5MG/ML</t>
  </si>
  <si>
    <t>127738</t>
  </si>
  <si>
    <t>INJ+INF SOL 10X3MLX5MG/ML</t>
  </si>
  <si>
    <t>187159</t>
  </si>
  <si>
    <t>ANESIA 20 MG/ML INJEKČNÍ/INFUZNÍ EMULZE</t>
  </si>
  <si>
    <t>INJ+INF EML 10X50MLX20MG/ML</t>
  </si>
  <si>
    <t>215715</t>
  </si>
  <si>
    <t>DUPHALAC</t>
  </si>
  <si>
    <t>667MG/ML POR SOL 1X500ML HDP</t>
  </si>
  <si>
    <t>201082</t>
  </si>
  <si>
    <t>VERTIBETIS 16MG</t>
  </si>
  <si>
    <t>TBL NOB 60</t>
  </si>
  <si>
    <t>50113006</t>
  </si>
  <si>
    <t>841569</t>
  </si>
  <si>
    <t>Fresubin hepa 15x500ml</t>
  </si>
  <si>
    <t>846016</t>
  </si>
  <si>
    <t>Nutrison Advanced Protison 500ml</t>
  </si>
  <si>
    <t>1X500ML</t>
  </si>
  <si>
    <t>988740</t>
  </si>
  <si>
    <t>Nutrison Advanced Diason 1000ml</t>
  </si>
  <si>
    <t>990223</t>
  </si>
  <si>
    <t>NEPRO HP 500ml vanilková</t>
  </si>
  <si>
    <t>991356</t>
  </si>
  <si>
    <t>Calogen Neutral 4x200ml</t>
  </si>
  <si>
    <t>217054</t>
  </si>
  <si>
    <t>NUTRISON</t>
  </si>
  <si>
    <t>POR SOL 8X1000ML</t>
  </si>
  <si>
    <t>217058</t>
  </si>
  <si>
    <t>NUTRISON PROTEIN PLUS MULTI FIBRE</t>
  </si>
  <si>
    <t>POR SOL 8X500ML</t>
  </si>
  <si>
    <t>33788</t>
  </si>
  <si>
    <t>ENSURE PLUS ADVANCE BANÁN</t>
  </si>
  <si>
    <t>POR SOL 1X220ML</t>
  </si>
  <si>
    <t>33790</t>
  </si>
  <si>
    <t>ENSURE PLUS ADVANCE VANILKA</t>
  </si>
  <si>
    <t>133339</t>
  </si>
  <si>
    <t>33339</t>
  </si>
  <si>
    <t>DIASIP S PŘÍCHUTÍ JAHODOVOU</t>
  </si>
  <si>
    <t>POR SOL 1X200ML</t>
  </si>
  <si>
    <t>133340</t>
  </si>
  <si>
    <t>33340</t>
  </si>
  <si>
    <t>DIASIP S PŘÍCHUTÍ VANILKOVOU</t>
  </si>
  <si>
    <t>133341</t>
  </si>
  <si>
    <t>33341</t>
  </si>
  <si>
    <t>CUBITAN S PŘÍCHUTÍ VANILKOVOU (SOL)</t>
  </si>
  <si>
    <t>133343</t>
  </si>
  <si>
    <t>33343</t>
  </si>
  <si>
    <t>CUBITAN S PŘÍCHUTÍ JAHODOVOU (SOL)</t>
  </si>
  <si>
    <t>848250</t>
  </si>
  <si>
    <t>33423</t>
  </si>
  <si>
    <t>NUTRISON ADVANCED PEPTISORB</t>
  </si>
  <si>
    <t xml:space="preserve">POR SOL 1X1000ML </t>
  </si>
  <si>
    <t>33750</t>
  </si>
  <si>
    <t>NUTRIDRINK CREME S PŘÍCHUTÍ VANILKOVOU</t>
  </si>
  <si>
    <t>POR SOL 4X125GM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</si>
  <si>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</si>
  <si>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</si>
  <si>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</si>
  <si>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</si>
  <si>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</si>
  <si>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</si>
  <si>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987792</t>
  </si>
  <si>
    <t>33749</t>
  </si>
  <si>
    <t>NUTRIDRINK CREME S PŘÍCHUTÍ BANÁNOVOU</t>
  </si>
  <si>
    <t>33848</t>
  </si>
  <si>
    <t>NUTRIDRINK S PŘÍCHUTÍ ČOKOLÁDOVOU</t>
  </si>
  <si>
    <t>POR SOL 4X200ML</t>
  </si>
  <si>
    <t>33847</t>
  </si>
  <si>
    <t>NUTRIDRINK S PŘÍCHUTÍ VANILKOVOU</t>
  </si>
  <si>
    <t>33859</t>
  </si>
  <si>
    <t>NUTRIDRINK JUICE STYLE S PŘÍCHUTÍ JABLEČNOU</t>
  </si>
  <si>
    <t>33858</t>
  </si>
  <si>
    <t>NUTRIDRINK JUICE STYLE S PŘÍCHUTÍ JAHODOVOU</t>
  </si>
  <si>
    <t>990352</t>
  </si>
  <si>
    <t>33935</t>
  </si>
  <si>
    <t>NUTRIDRINK S PŘÍCHUTÍ JAHODOVOU</t>
  </si>
  <si>
    <t>50113013</t>
  </si>
  <si>
    <t>201030</t>
  </si>
  <si>
    <t>SEFOTAK 1 G</t>
  </si>
  <si>
    <t>INJ PLV SOL 1X1GM</t>
  </si>
  <si>
    <t>203855</t>
  </si>
  <si>
    <t>CEFOTAXIME LEK 1 G PRÁŠEK PRO INJEKČNÍ ROZTOK</t>
  </si>
  <si>
    <t>IMS+IVN INJ PLV SOL 10X1GM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</si>
  <si>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</si>
  <si>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</si>
  <si>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</si>
  <si>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</si>
  <si>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</si>
  <si>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</si>
  <si>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</si>
  <si>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101076</t>
  </si>
  <si>
    <t>1076</t>
  </si>
  <si>
    <t>OPHTHALMO-FRAMYKOIN</t>
  </si>
  <si>
    <t>103708</t>
  </si>
  <si>
    <t>3708</t>
  </si>
  <si>
    <t>ZYVOXID</t>
  </si>
  <si>
    <t>INF SOL 10X300ML</t>
  </si>
  <si>
    <t>106264</t>
  </si>
  <si>
    <t>6264</t>
  </si>
  <si>
    <t>SUMETROLIM</t>
  </si>
  <si>
    <t>TBL 20X480MG</t>
  </si>
  <si>
    <t>116600</t>
  </si>
  <si>
    <t>16600</t>
  </si>
  <si>
    <t>UNASYN</t>
  </si>
  <si>
    <t>INJ PLV SOL 1X1.5GM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</si>
  <si>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</si>
  <si>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</si>
  <si>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</si>
  <si>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</si>
  <si>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</si>
  <si>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</si>
  <si>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</si>
  <si>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172972</t>
  </si>
  <si>
    <t>72972</t>
  </si>
  <si>
    <t>AMOKSIKLAV 1.2GM</t>
  </si>
  <si>
    <t>INJ SIC 5X1.2GM</t>
  </si>
  <si>
    <t>193922</t>
  </si>
  <si>
    <t>93922</t>
  </si>
  <si>
    <t>BENEMICIN 300 MG</t>
  </si>
  <si>
    <t>CPS 100X300MG</t>
  </si>
  <si>
    <t>847476</t>
  </si>
  <si>
    <t>112782</t>
  </si>
  <si>
    <t xml:space="preserve">GENTAMICIN B.BRAUN 3 MG/ML INFUZNÍ ROZTOK </t>
  </si>
  <si>
    <t>INF SOL 20X80ML</t>
  </si>
  <si>
    <t>131656</t>
  </si>
  <si>
    <t>CEFTAZIDIM KABI 2 GM</t>
  </si>
  <si>
    <t>INJ+INF PLV SOL 10X2GM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</si>
  <si>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</si>
  <si>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</si>
  <si>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</si>
  <si>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</si>
  <si>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</si>
  <si>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</si>
  <si>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</si>
  <si>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183926</t>
  </si>
  <si>
    <t>AZEPO 1 G</t>
  </si>
  <si>
    <t>151458</t>
  </si>
  <si>
    <t>CEFUROXIM KABI 1500 MG</t>
  </si>
  <si>
    <t>INJ+INF PLV SOL 10X1.5GM</t>
  </si>
  <si>
    <t>162187</t>
  </si>
  <si>
    <t>CIPROFLOXACIN KABI 400 MG/200 ML INFUZNÍ ROZTOK</t>
  </si>
  <si>
    <t>INF SOL 10X400MG/200ML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</si>
  <si>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</si>
  <si>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</si>
  <si>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</si>
  <si>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</si>
  <si>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</si>
  <si>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</si>
  <si>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</si>
  <si>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201961</t>
  </si>
  <si>
    <t>AMPICILIN 1,0 BIOTIKA</t>
  </si>
  <si>
    <t>INJ PLV SOL 10X1000MG</t>
  </si>
  <si>
    <t>195147</t>
  </si>
  <si>
    <t>AMIKACIN MEDOPHARM 500 MG/2 ML</t>
  </si>
  <si>
    <t>INJ+INF SOL 10X2ML/500MG</t>
  </si>
  <si>
    <t>216183</t>
  </si>
  <si>
    <t>KLACID I.V.</t>
  </si>
  <si>
    <t>INF PLV SOL 1X500MG</t>
  </si>
  <si>
    <t>194155</t>
  </si>
  <si>
    <t>94155</t>
  </si>
  <si>
    <t>ABAKTAL</t>
  </si>
  <si>
    <t>INJ 10X5ML/400MG</t>
  </si>
  <si>
    <t>197000</t>
  </si>
  <si>
    <t>97000</t>
  </si>
  <si>
    <t>METRONIDAZOLE 0.5% POLFA</t>
  </si>
  <si>
    <t>INJ 1X100ML 5MG/1ML</t>
  </si>
  <si>
    <t>126127</t>
  </si>
  <si>
    <t>26127</t>
  </si>
  <si>
    <t>TYGACIL 50 MG</t>
  </si>
  <si>
    <t>INF PLV SOL 10X50MG/5ML</t>
  </si>
  <si>
    <t>166265</t>
  </si>
  <si>
    <t>VANCOMYCIN MYLAN 500 MG</t>
  </si>
  <si>
    <t>166269</t>
  </si>
  <si>
    <t>VANCOMYCIN MYLAN 1000 MG</t>
  </si>
  <si>
    <t>INF PLV SOL 1X1GM</t>
  </si>
  <si>
    <t>183817</t>
  </si>
  <si>
    <t>ARCHIFAR 1 G</t>
  </si>
  <si>
    <t>50113014</t>
  </si>
  <si>
    <t>116895</t>
  </si>
  <si>
    <t>16895</t>
  </si>
  <si>
    <t>IMAZOL KRÉMPASTA</t>
  </si>
  <si>
    <t>DRM PST 1X30GM</t>
  </si>
  <si>
    <t>850734</t>
  </si>
  <si>
    <t>149384</t>
  </si>
  <si>
    <t>ECALTA 100 MG</t>
  </si>
  <si>
    <t>INF PLV CSL 100MG+30ML</t>
  </si>
  <si>
    <t>129428</t>
  </si>
  <si>
    <t>500720</t>
  </si>
  <si>
    <t>MYCAMINE 100 MG</t>
  </si>
  <si>
    <t>INF PLV SOL 1X100MG</t>
  </si>
  <si>
    <t>164401</t>
  </si>
  <si>
    <t>FLUCONAZOL KABI 2 MG/ML</t>
  </si>
  <si>
    <t>INF SOL 10X100ML/200MG</t>
  </si>
  <si>
    <t>164407</t>
  </si>
  <si>
    <t>INF SOL 10X200ML/400MG</t>
  </si>
  <si>
    <t>196852</t>
  </si>
  <si>
    <t>VORIKONAZOL SANDOZ 200 MG PRÁŠEK PRO INFUZNÍ ROZTO</t>
  </si>
  <si>
    <t>INF PLV SOL 1X200MG</t>
  </si>
  <si>
    <t>50113008</t>
  </si>
  <si>
    <t>0062464</t>
  </si>
  <si>
    <t>Haemocomplettan P 1000mg</t>
  </si>
  <si>
    <t>0138455</t>
  </si>
  <si>
    <t>ALBUNORM 20%</t>
  </si>
  <si>
    <t>200G/L INF SOL 1X100ML</t>
  </si>
  <si>
    <t>6480</t>
  </si>
  <si>
    <t>Ocplex 20ml 500 I.U. Phoenix</t>
  </si>
  <si>
    <t>0129056</t>
  </si>
  <si>
    <t>ATENATIV 500 I.U. Phoenix</t>
  </si>
  <si>
    <t>0129057</t>
  </si>
  <si>
    <t>ATENATIV</t>
  </si>
  <si>
    <t>50IU/ML INF PSO LQF 1+1X20ML</t>
  </si>
  <si>
    <t>50113002</t>
  </si>
  <si>
    <t>118735</t>
  </si>
  <si>
    <t>18735</t>
  </si>
  <si>
    <t>SMOFLIPID</t>
  </si>
  <si>
    <t>INF EML 10X500ML</t>
  </si>
  <si>
    <t>195947</t>
  </si>
  <si>
    <t>95947</t>
  </si>
  <si>
    <t>AMINOMIX 2 NOVUM</t>
  </si>
  <si>
    <t>INF SOL4X2000ML</t>
  </si>
  <si>
    <t>158628</t>
  </si>
  <si>
    <t>58628</t>
  </si>
  <si>
    <t>NUTRAMIN VLI</t>
  </si>
  <si>
    <t>INF 1X500ML</t>
  </si>
  <si>
    <t>103414</t>
  </si>
  <si>
    <t>3414</t>
  </si>
  <si>
    <t>NUTRIFLEX PERI</t>
  </si>
  <si>
    <t>INF SOL 5X2000ML</t>
  </si>
  <si>
    <t>142003</t>
  </si>
  <si>
    <t>NEPHROTECT</t>
  </si>
  <si>
    <t>INF SOL 10X500ML</t>
  </si>
  <si>
    <t>149415</t>
  </si>
  <si>
    <t>49415</t>
  </si>
  <si>
    <t>AMINOPLASMAL B.BRAUN 10%</t>
  </si>
  <si>
    <t>149409</t>
  </si>
  <si>
    <t>49409</t>
  </si>
  <si>
    <t>AMINOPLASMAL B.BRAUN 5% E</t>
  </si>
  <si>
    <t>116337</t>
  </si>
  <si>
    <t>16337</t>
  </si>
  <si>
    <t>LIPOPLUS 20%</t>
  </si>
  <si>
    <t>INFEML10X250ML-SKLO</t>
  </si>
  <si>
    <t>165317</t>
  </si>
  <si>
    <t>65317</t>
  </si>
  <si>
    <t>ELOTRACE I.V.</t>
  </si>
  <si>
    <t>INF 10X100ML</t>
  </si>
  <si>
    <t>116338</t>
  </si>
  <si>
    <t>16338</t>
  </si>
  <si>
    <t>INFEML10X500ML-SKLO</t>
  </si>
  <si>
    <t>396914</t>
  </si>
  <si>
    <t>52301</t>
  </si>
  <si>
    <t>AMINOPLASMAL HEPA-10%</t>
  </si>
  <si>
    <t>INF 10X500ML</t>
  </si>
  <si>
    <t>Oddělení int. péče chirurg. oborů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</si>
  <si>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</si>
  <si>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</si>
  <si>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</si>
  <si>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</si>
  <si>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</si>
  <si>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Lékárna - parenter. výživa</t>
  </si>
  <si>
    <t>5931 - IPCHO: JIP 51</t>
  </si>
  <si>
    <t>N01AH03 - SUFENTANYL</t>
  </si>
  <si>
    <t>J01DD01 - CEFOTAXIM</t>
  </si>
  <si>
    <t>N03AX16 - PREGABALIN</t>
  </si>
  <si>
    <t>N05CD08 - MIDAZOLAM</t>
  </si>
  <si>
    <t>C09AA05 - RAMIPRIL</t>
  </si>
  <si>
    <t>A06AD11 - LAKTULÓZA</t>
  </si>
  <si>
    <t>M01AX17 - NIMESULID</t>
  </si>
  <si>
    <t>B01AC04 - KLOPIDOGREL</t>
  </si>
  <si>
    <t>N02BE01 - PARACETAMOL</t>
  </si>
  <si>
    <t>B02BD08 - EPTAKOG ALFA (AKTIVOVANÝ)</t>
  </si>
  <si>
    <t>N05CF02 - ZOLPIDEM</t>
  </si>
  <si>
    <t>C01BD01 - AMIODARON</t>
  </si>
  <si>
    <t>J02AC01 - FLUKONAZOL</t>
  </si>
  <si>
    <t>C07AB07 - BISOPROLOL</t>
  </si>
  <si>
    <t>N01AX10 - PROPOFOL</t>
  </si>
  <si>
    <t>C07AG02 - KARVEDILOL</t>
  </si>
  <si>
    <t>A10BA02 - METFORMIN</t>
  </si>
  <si>
    <t>C09AA04 - PERINDOPRIL</t>
  </si>
  <si>
    <t>N06AX11 - MIRTAZAPIN</t>
  </si>
  <si>
    <t>A10AB05 - INZULIN ASPART</t>
  </si>
  <si>
    <t>J01XD01 - METRONIDAZOL</t>
  </si>
  <si>
    <t>C09BA04 - PERINDOPRIL A DIURETIKA</t>
  </si>
  <si>
    <t>J02AC03 - VORIKONAZOL</t>
  </si>
  <si>
    <t>H01CB02 - OKTREOTID</t>
  </si>
  <si>
    <t>A04AA01 - ONDANSETRON</t>
  </si>
  <si>
    <t>H02AB04 - METHYLPREDNISOLON</t>
  </si>
  <si>
    <t>N02BB02 - SODNÁ SŮL METAMIZOLU</t>
  </si>
  <si>
    <t>H03AA01 - LEVOTHYROXIN, SODNÁ SŮL</t>
  </si>
  <si>
    <t>N03AG01 - KYSELINA VALPROOVÁ</t>
  </si>
  <si>
    <t>J01AA12 - TIGECYKLIN</t>
  </si>
  <si>
    <t>B01AB06 - NADROPARIN</t>
  </si>
  <si>
    <t>R03AK07 - FORMOTEROL A BUDESONID</t>
  </si>
  <si>
    <t>N06AB04 - CITALOPRAM</t>
  </si>
  <si>
    <t>V06XX - POTRAVINY PRO ZVLÁŠTNÍ LÉKAŘSKÉ ÚČELY (PZLÚ)</t>
  </si>
  <si>
    <t>R03AC02 - SALBUTAMOL</t>
  </si>
  <si>
    <t>J01MA03 - PEFLOXACIN</t>
  </si>
  <si>
    <t>J01XA01 - VANKOMYCIN</t>
  </si>
  <si>
    <t>A02BC02 - PANTOPRAZOL</t>
  </si>
  <si>
    <t>J01DH02 - MEROPENEM</t>
  </si>
  <si>
    <t>A02BC02</t>
  </si>
  <si>
    <t>40MG INJ PLV SOL 1</t>
  </si>
  <si>
    <t>A04AA01</t>
  </si>
  <si>
    <t>ONDANSETRON B. BRAUN</t>
  </si>
  <si>
    <t>2MG/ML INJ SOL 20X4ML II</t>
  </si>
  <si>
    <t>A06AD11</t>
  </si>
  <si>
    <t>667MG/ML SIR 500ML</t>
  </si>
  <si>
    <t>667G/L POR SOL 1X500ML HDP</t>
  </si>
  <si>
    <t>A10AB05</t>
  </si>
  <si>
    <t>NOVORAPID</t>
  </si>
  <si>
    <t>100U/ML INJ SOL 1X10ML</t>
  </si>
  <si>
    <t>A10BA02</t>
  </si>
  <si>
    <t>500MG TBL FLM 120 I</t>
  </si>
  <si>
    <t>B01AB06</t>
  </si>
  <si>
    <t>9500IU/ML INJ SOL 10X5ML</t>
  </si>
  <si>
    <t>B01AC04</t>
  </si>
  <si>
    <t>TROMBEX</t>
  </si>
  <si>
    <t>75MG TBL FLM 30</t>
  </si>
  <si>
    <t>B02BD08</t>
  </si>
  <si>
    <t>NOVOSEVEN</t>
  </si>
  <si>
    <t>2MG(100KIU) INJ PSO LQF 1+1X2,1ML II</t>
  </si>
  <si>
    <t>C01BD01</t>
  </si>
  <si>
    <t>150MG/3ML INJ SOL 6X3ML</t>
  </si>
  <si>
    <t>200MG TBL NOB 30</t>
  </si>
  <si>
    <t>C07AB07</t>
  </si>
  <si>
    <t>5MG TBL FLM 30</t>
  </si>
  <si>
    <t>C07AG02</t>
  </si>
  <si>
    <t>6,25MG TBL NOB 30</t>
  </si>
  <si>
    <t>C09AA04</t>
  </si>
  <si>
    <t>5MG TBL FLM 90</t>
  </si>
  <si>
    <t>C09AA05</t>
  </si>
  <si>
    <t>5MG TBL NOB 90</t>
  </si>
  <si>
    <t>C09BA04</t>
  </si>
  <si>
    <t>PRESTARIUM NEO COMBI</t>
  </si>
  <si>
    <t>5MG/1,25MG TBL FLM 30</t>
  </si>
  <si>
    <t>PRENEWEL</t>
  </si>
  <si>
    <t>8MG/2,5MG TBL NOB 30</t>
  </si>
  <si>
    <t>H01CB02</t>
  </si>
  <si>
    <t>SANDOSTATIN</t>
  </si>
  <si>
    <t>0,1MG/ML INJ+INF SOL 5X1ML</t>
  </si>
  <si>
    <t>H02AB04</t>
  </si>
  <si>
    <t>62,5MG/ML INJ PSO LQF 250MG+4ML</t>
  </si>
  <si>
    <t>40MG/ML INJ PSO LQF 40MG+1ML</t>
  </si>
  <si>
    <t>H03AA01</t>
  </si>
  <si>
    <t>50MCG TBL NOB 100 II</t>
  </si>
  <si>
    <t>100MCG TBL NOB 100 II</t>
  </si>
  <si>
    <t>J01AA12</t>
  </si>
  <si>
    <t>TYGACIL</t>
  </si>
  <si>
    <t>50MG INF PLV SOL 10</t>
  </si>
  <si>
    <t>J01DD01</t>
  </si>
  <si>
    <t>SEFOTAK</t>
  </si>
  <si>
    <t>1G INJ PLV SOL 1</t>
  </si>
  <si>
    <t>CEFOTAXIME LEK</t>
  </si>
  <si>
    <t>1G INJ PLV SOL 10</t>
  </si>
  <si>
    <t>J01DH02</t>
  </si>
  <si>
    <t>ARCHIFAR</t>
  </si>
  <si>
    <t>1G INJ+INF PLV SOL 10</t>
  </si>
  <si>
    <t>J01MA03</t>
  </si>
  <si>
    <t>400MG/5ML INF SOL 10X5ML</t>
  </si>
  <si>
    <t>J01XA01</t>
  </si>
  <si>
    <t>VANCOMYCIN MYLAN</t>
  </si>
  <si>
    <t>500MG INF PLV SOL 1</t>
  </si>
  <si>
    <t>1000MG INF PLV SOL 1</t>
  </si>
  <si>
    <t>J01XD01</t>
  </si>
  <si>
    <t>METRONIDAZOLE 0,5%-POLPHARMA</t>
  </si>
  <si>
    <t>5MG/ML INF SOL 1X100ML</t>
  </si>
  <si>
    <t>J02AC01</t>
  </si>
  <si>
    <t>FLUCONAZOL KABI</t>
  </si>
  <si>
    <t>2MG/ML INF SOL 10X100ML</t>
  </si>
  <si>
    <t>2MG/ML INF SOL 10X200ML</t>
  </si>
  <si>
    <t>J02AC03</t>
  </si>
  <si>
    <t>VORIKONAZOL SANDOZ</t>
  </si>
  <si>
    <t>200MG INF PLV SOL 1</t>
  </si>
  <si>
    <t>M01AX17</t>
  </si>
  <si>
    <t>100MG TBL NOB 30</t>
  </si>
  <si>
    <t>N01AH03</t>
  </si>
  <si>
    <t>SUFENTANIL TORREX</t>
  </si>
  <si>
    <t>50MCG/ML INJ SOL 5X5ML</t>
  </si>
  <si>
    <t>SUFENTA FORTE</t>
  </si>
  <si>
    <t>50MCG/ML INJ SOL 5X1ML</t>
  </si>
  <si>
    <t>N01AX10</t>
  </si>
  <si>
    <t>ANESIA</t>
  </si>
  <si>
    <t>10MG/ML INJ+INF EML 10X50ML</t>
  </si>
  <si>
    <t>10MG/ML INJ+INF EML 5X20ML</t>
  </si>
  <si>
    <t>20MG/ML INJ+INF EML 10X50ML</t>
  </si>
  <si>
    <t>N02BB02</t>
  </si>
  <si>
    <t>NOVALGIN TABLETY</t>
  </si>
  <si>
    <t>500MG TBL FLM 20</t>
  </si>
  <si>
    <t>NOVALGIN INJEKCE</t>
  </si>
  <si>
    <t>500MG/ML INJ SOL 10X2ML</t>
  </si>
  <si>
    <t>N02BE01</t>
  </si>
  <si>
    <t>PARACETAMOL KABI</t>
  </si>
  <si>
    <t>10MG/ML INF SOL 10X100ML</t>
  </si>
  <si>
    <t>N03AG01</t>
  </si>
  <si>
    <t>400MG/4ML INJ PSO LQF 4+4X4ML</t>
  </si>
  <si>
    <t>N03AX16</t>
  </si>
  <si>
    <t>LYRICA</t>
  </si>
  <si>
    <t>75MG CPS DUR 14</t>
  </si>
  <si>
    <t>75MG CPS DUR 56</t>
  </si>
  <si>
    <t>150MG CPS DUR 14</t>
  </si>
  <si>
    <t>N05CD08</t>
  </si>
  <si>
    <t>MIDAZOLAM ACCORD</t>
  </si>
  <si>
    <t>1MG/ML INJ+INF SOL 10X5ML</t>
  </si>
  <si>
    <t>5MG/ML INJ+INF SOL 10X1ML</t>
  </si>
  <si>
    <t>5MG/ML INJ+INF SOL 10X3ML</t>
  </si>
  <si>
    <t>5MG/ML INJ+INF SOL 10X10ML</t>
  </si>
  <si>
    <t>MIDAZOLAM B. BRAUN</t>
  </si>
  <si>
    <t>1MG/ML INJ+INF+RCT SOL 10X50ML</t>
  </si>
  <si>
    <t>N05CF02</t>
  </si>
  <si>
    <t>10MG TBL FLM 20</t>
  </si>
  <si>
    <t>N06AB04</t>
  </si>
  <si>
    <t>20MG TBL FLM 30</t>
  </si>
  <si>
    <t>N06AX11</t>
  </si>
  <si>
    <t>MIRTAZAPIN MYLAN</t>
  </si>
  <si>
    <t>30MG POR TBL DIS 30</t>
  </si>
  <si>
    <t>R03AC02</t>
  </si>
  <si>
    <t>VENTOLIN</t>
  </si>
  <si>
    <t>5MG/ML INH SOL 1X20ML</t>
  </si>
  <si>
    <t>R03AK07</t>
  </si>
  <si>
    <t>SYMBICORT TURBUHALER 400 MIKROGRAMŮ/12 MIKROGRAMŮ/INHALACE</t>
  </si>
  <si>
    <t>320MCG/9MCG INH PLV 1X60DÁV</t>
  </si>
  <si>
    <t>V06XX</t>
  </si>
  <si>
    <t>CUBITAN S PŘÍCHUTÍ VANILKOVOU</t>
  </si>
  <si>
    <t>CUBITAN S PŘÍCHUTÍ JAHODOVOU</t>
  </si>
  <si>
    <t>POR SOL 1X1000ML</t>
  </si>
  <si>
    <t>POR SOL 4X125G</t>
  </si>
  <si>
    <t>NUTRIDRINK CREME S PŘÍCHUTÍ LESNÍHO OVOCE</t>
  </si>
  <si>
    <t>Přehled plnění pozitivního listu - spotřeba léčivých přípravků - orientační přehled</t>
  </si>
  <si>
    <t>59 - Oddělení intenzivní péče chirurgických oborů</t>
  </si>
  <si>
    <t>5931 - JIP 51</t>
  </si>
  <si>
    <t>ZA008</t>
  </si>
  <si>
    <t>Obvaz elastický síťový pruban č. 10 427310</t>
  </si>
  <si>
    <t>ZA318</t>
  </si>
  <si>
    <t>Náplast transpore 1,25 cm x 9,14 m 1527-0</t>
  </si>
  <si>
    <t>ZA324</t>
  </si>
  <si>
    <t>Krytí tegaderm 10,0 cm x 12,0 cm bal. á 50 ks 1626W</t>
  </si>
  <si>
    <t>ZA325</t>
  </si>
  <si>
    <t>Krytí hypro-sorb R 65 x 55 mm 002 - již se nevyrábí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</si>
  <si>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</si>
  <si>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</si>
  <si>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</si>
  <si>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</si>
  <si>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</si>
  <si>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</si>
  <si>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ZA418</t>
  </si>
  <si>
    <t>Náplast metaline pod TS 8 x 9 cm 23094</t>
  </si>
  <si>
    <t>ZA444</t>
  </si>
  <si>
    <t>Tampon nesterilní stáčený 20 x 19 cm bez RTG nití bal. á 100 ks 1320300404</t>
  </si>
  <si>
    <t>ZA446</t>
  </si>
  <si>
    <t>Vata buničitá přířezy 20 x 30 cm 1230200129</t>
  </si>
  <si>
    <t>ZA451</t>
  </si>
  <si>
    <t>Náplast omniplast 5,0 cm x 9,2 m 9004540 (900429)</t>
  </si>
  <si>
    <t>ZA454</t>
  </si>
  <si>
    <t>Kompresa AB 10 x 10 cm/1 ks sterilní NT savá 1230114011</t>
  </si>
  <si>
    <t>ZA459</t>
  </si>
  <si>
    <t>Kompresa AB 10 x 20 cm/1 ks sterilní NT savá 1230114021</t>
  </si>
  <si>
    <t>ZA463</t>
  </si>
  <si>
    <t>Kompresa NT 10 x 20 cm/2 ks sterilní 26620</t>
  </si>
  <si>
    <t>ZA464</t>
  </si>
  <si>
    <t>Kompresa NT 10 x 10 cm/2 ks sterilní 26520</t>
  </si>
  <si>
    <t>ZA466</t>
  </si>
  <si>
    <t>Tyčinka vatová sterilní 14 cm bal. á 200 ks 9679501</t>
  </si>
  <si>
    <t>ZA478</t>
  </si>
  <si>
    <t>Krytí actisorb plus 10,5 x 10,5 cm bal. á 10 ks s aktivním uhlím SYSMAP105EE</t>
  </si>
  <si>
    <t>ZA530</t>
  </si>
  <si>
    <t>Vložky hygienické samu 7162212</t>
  </si>
  <si>
    <t>ZA537</t>
  </si>
  <si>
    <t>Krytí mepilex heel 13 x 20 cm bal. á 5 ks 288100-01</t>
  </si>
  <si>
    <t>ZA539</t>
  </si>
  <si>
    <t>Kompresa NT 10 x 10 cm nesterilní 06103</t>
  </si>
  <si>
    <t>ZA544</t>
  </si>
  <si>
    <t>Krytí inadine nepřilnavé 5,0 x 5,0 cm 1/10 SYS01481EE</t>
  </si>
  <si>
    <t>ZA547</t>
  </si>
  <si>
    <t>Krytí inadine nepřilnavé 9,5 x 9,5 cm 1/10 SYS01512EE</t>
  </si>
  <si>
    <t>ZA550</t>
  </si>
  <si>
    <t>Krytí hydrogelové nu-gel 25 g bal. á 6 ks MNG425</t>
  </si>
  <si>
    <t>ZA558</t>
  </si>
  <si>
    <t>Tampon-gazin sterilní bal. á 125 ks 14962</t>
  </si>
  <si>
    <t>ZA561</t>
  </si>
  <si>
    <t>Kompresa AB 20 x 40 cm/1 ks sterilní NT savá 1230114051</t>
  </si>
  <si>
    <t>ZA562</t>
  </si>
  <si>
    <t>Náplast cosmopor i. v. 6 x 8 cm bal. á 50 ks 9008054</t>
  </si>
  <si>
    <t>ZA617</t>
  </si>
  <si>
    <t>Tampon TC-OC k ošetření dutiny ústní á 250 ks 12240</t>
  </si>
  <si>
    <t>ZA643</t>
  </si>
  <si>
    <t>Kompresa vliwasoft 10 x 20 nesterilní á 100 ks 12070</t>
  </si>
  <si>
    <t>ZA664</t>
  </si>
  <si>
    <t>Krytí gelové hydrokoloidní Flamigel 250 ml 1002-C</t>
  </si>
  <si>
    <t>ZB084</t>
  </si>
  <si>
    <t>Náplast transpore 2,50 cm x 9,14 m 1527-1</t>
  </si>
  <si>
    <t>ZC100</t>
  </si>
  <si>
    <t>Vata buničitá dělená 2 role / 500 ks 40 x 50 mm 1230200310</t>
  </si>
  <si>
    <t>ZC506</t>
  </si>
  <si>
    <t>Kompresa NT 10 x 10 cm/5 ks sterilní 1325020275</t>
  </si>
  <si>
    <t>ZC702</t>
  </si>
  <si>
    <t>Krytí tegaderm 6,0 cm x 7,0 cm bal. á 100 ks 1624W</t>
  </si>
  <si>
    <t>ZC845</t>
  </si>
  <si>
    <t>Kompresa NT 10 x 20 cm/5 ks sterilní 26621</t>
  </si>
  <si>
    <t>ZC846</t>
  </si>
  <si>
    <t>Kompresa AB 15 x 25 cm/1 ks sterilní NT savá 1230114031</t>
  </si>
  <si>
    <t>ZC885</t>
  </si>
  <si>
    <t>Náplast omnifix E 10 cm x 10 m 900650</t>
  </si>
  <si>
    <t>ZD631</t>
  </si>
  <si>
    <t>Krytí pharmafoam-trach. s výřezem 8 x 8 cm bal. á 10 ks P-Tracheo 808</t>
  </si>
  <si>
    <t>ZD633</t>
  </si>
  <si>
    <t>Krytí mepilex border sacrum 18 x 18 cm bal. á 5 ks 282000-01</t>
  </si>
  <si>
    <t>ZD668</t>
  </si>
  <si>
    <t>Kompresa gáza 10 x 10 cm/5 ks sterilní 1325019275</t>
  </si>
  <si>
    <t>ZH012</t>
  </si>
  <si>
    <t>Náplast micropore 2,50 cm x 9,10 m 840W-1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</si>
  <si>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</si>
  <si>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</si>
  <si>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</si>
  <si>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</si>
  <si>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</si>
  <si>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</si>
  <si>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</si>
  <si>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</si>
  <si>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ZK404</t>
  </si>
  <si>
    <t>Krytí prontosan roztok 350 ml 400416</t>
  </si>
  <si>
    <t>ZA437</t>
  </si>
  <si>
    <t>Obvaz elastický síťový pruban č. 14 427314</t>
  </si>
  <si>
    <t>ZA442</t>
  </si>
  <si>
    <t>Steh náplasťový Steri-strip 6 x 75 mm bal. á 50 ks R1541</t>
  </si>
  <si>
    <t>ZL664</t>
  </si>
  <si>
    <t>Krytí mastný tyl pharmatull 10 x 20 cm bal. á 10 ks P-Tull1020</t>
  </si>
  <si>
    <t>ZK087</t>
  </si>
  <si>
    <t>Krém cavilon ochranný bariérový á 28 g bal. á 12 ks 3391E</t>
  </si>
  <si>
    <t>ZL975</t>
  </si>
  <si>
    <t>Pěna renasys-F malý set (S) 66800794</t>
  </si>
  <si>
    <t>ZL973</t>
  </si>
  <si>
    <t>Pěna renasys-F střední set (M) 66800795</t>
  </si>
  <si>
    <t>ZF042</t>
  </si>
  <si>
    <t>Krytí mastný tyl jelonet 10 x 10 cm á 10 ks 7404</t>
  </si>
  <si>
    <t>ZD819</t>
  </si>
  <si>
    <t>Krytí debrisoft 10 x 10 cm bal. á 5 ks 31222</t>
  </si>
  <si>
    <t>ZF749</t>
  </si>
  <si>
    <t>Fixace nosních katetrů nasofix niko střední S+M, bal. á 100 ks 49-625-S-M</t>
  </si>
  <si>
    <t>ZA066</t>
  </si>
  <si>
    <t>Verba č. 4 - břišní pás 95 - 105 cm 932534</t>
  </si>
  <si>
    <t>ZM769</t>
  </si>
  <si>
    <t>Ubrousky cavilon pro péči při inkontinenci 8 ubrousků 20 x 30 cm bal. á 96 ks 9274 DH888843488</t>
  </si>
  <si>
    <t>ZD632</t>
  </si>
  <si>
    <t>Krytí pharmapore silver-polšt. se stříbrem 8 x 10 cm bal. á 100 ks P8010S</t>
  </si>
  <si>
    <t>ZN477</t>
  </si>
  <si>
    <t>Obinadlo elastické universal 12 cm x 5 m 1323100314</t>
  </si>
  <si>
    <t>ZN476</t>
  </si>
  <si>
    <t>Obinadlo elastické universal 15 cm x 5 m 1323100315</t>
  </si>
  <si>
    <t>ZA479</t>
  </si>
  <si>
    <t>Krytí tielle pěnové 11 x 11 cm bal. á 10 ks SYS MTL101 EE</t>
  </si>
  <si>
    <t>ZA428</t>
  </si>
  <si>
    <t>Systém odsávací uzavřený 14F jednocestný 57 cm 72 hod. bal. á 20 ks Z110-14</t>
  </si>
  <si>
    <t>ZA688</t>
  </si>
  <si>
    <t>Sáček močový curity s hod. diurézou 400 ml hadička 150 cm 8150</t>
  </si>
  <si>
    <t>ZA713</t>
  </si>
  <si>
    <t>Měřič žilního tlaku 01 646992</t>
  </si>
  <si>
    <t>ZA728</t>
  </si>
  <si>
    <t>Lopatka ústní dřevěná lékařská nesterilní bal. á 100 ks 1320100655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</si>
  <si>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</si>
  <si>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</si>
  <si>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</si>
  <si>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</si>
  <si>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</si>
  <si>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</si>
  <si>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</si>
  <si>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</si>
  <si>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</si>
  <si>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</si>
  <si>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</si>
  <si>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</si>
  <si>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ZA883</t>
  </si>
  <si>
    <t>Rourka rektální CH18 délka 40 cm 19-18.100</t>
  </si>
  <si>
    <t>ZA964</t>
  </si>
  <si>
    <t>Stříkačka janett 3-dílná 60 ml sterilní vyplachovací 050ML3CZ-CEW (MRG564)</t>
  </si>
  <si>
    <t>ZA967</t>
  </si>
  <si>
    <t>Set flocare 800 Pack Transition nový pro enter. vaky ( APA 3227171) 586511</t>
  </si>
  <si>
    <t>ZB103</t>
  </si>
  <si>
    <t>Láhev k odsávačce flovac 2l hadice 1,8 m 000-036-021</t>
  </si>
  <si>
    <t>ZB249</t>
  </si>
  <si>
    <t>Sáček močový s křížovou výpustí 2000 ml ZAR-TNU201601</t>
  </si>
  <si>
    <t>ZB314</t>
  </si>
  <si>
    <t>Kanyla TS 8,0 s manžetou bal. á 2 ks 100/523/080</t>
  </si>
  <si>
    <t>ZB361</t>
  </si>
  <si>
    <t>Láhev respiflo 1000 ml 21000</t>
  </si>
  <si>
    <t>ZB477</t>
  </si>
  <si>
    <t>Kohout trojcestný lopez valve AA-011-M9000 S</t>
  </si>
  <si>
    <t>ZB488</t>
  </si>
  <si>
    <t>Sprej cavilon 28 ml bal. á 12 ks 3346E</t>
  </si>
  <si>
    <t>ZB543</t>
  </si>
  <si>
    <t>Souprava odběrová tracheální na odběr sekretu G05206</t>
  </si>
  <si>
    <t>ZB621</t>
  </si>
  <si>
    <t>Adaptér respiflo MN 1072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</si>
  <si>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</si>
  <si>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</si>
  <si>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</si>
  <si>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</si>
  <si>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</si>
  <si>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</si>
  <si>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</si>
  <si>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</si>
  <si>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</si>
  <si>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</si>
  <si>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ZB770</t>
  </si>
  <si>
    <t>Držák jehly excentrický Holdex 450263</t>
  </si>
  <si>
    <t>ZB771</t>
  </si>
  <si>
    <t>Držák jehly základní 450201</t>
  </si>
  <si>
    <t>ZB774</t>
  </si>
  <si>
    <t>Zkumavka červená 5 ml gel 456071</t>
  </si>
  <si>
    <t>ZB775</t>
  </si>
  <si>
    <t>Zkumavka koagulace 4 ml modrá 454329</t>
  </si>
  <si>
    <t>ZB777</t>
  </si>
  <si>
    <t>Zkumavka červená 4 ml gel 454071</t>
  </si>
  <si>
    <t>ZB780</t>
  </si>
  <si>
    <t>Kontejner 120 ml sterilní á 50 ks FLME25035</t>
  </si>
  <si>
    <t>ZB804</t>
  </si>
  <si>
    <t>Regulátor průtoku infúze dosicair DF 100</t>
  </si>
  <si>
    <t>ZB893</t>
  </si>
  <si>
    <t>Stříkačka inzulinová omnican 0,5 ml 100j s jehlou 30 G 9151125S</t>
  </si>
  <si>
    <t>ZB948</t>
  </si>
  <si>
    <t>Mikronebulizér MicroMist bal. á 50 ks 41891</t>
  </si>
  <si>
    <t>ZB949</t>
  </si>
  <si>
    <t>Pinzeta UH sterilní HAR478 165 (HAR999565)</t>
  </si>
  <si>
    <t>ZC059</t>
  </si>
  <si>
    <t>Láhev redon drenofast 400 ml-kompletní bal. á 40 ks 28 400</t>
  </si>
  <si>
    <t>ZC648</t>
  </si>
  <si>
    <t>Elektroda EKG pěnová pr. 55 mm pro dospělé H-108002</t>
  </si>
  <si>
    <t>ZC738</t>
  </si>
  <si>
    <t>Husí krk Expandi-flex bal. á 25 ks 22362</t>
  </si>
  <si>
    <t>ZC906</t>
  </si>
  <si>
    <t>Škrtidlo se sponou pro dospělé 25 x 500 mm KVS25500</t>
  </si>
  <si>
    <t>ZC948</t>
  </si>
  <si>
    <t>Páska bepa clip pro TS kanylu s háčky 31-43 cm á 12 ks NKS:200443</t>
  </si>
  <si>
    <t>ZD190</t>
  </si>
  <si>
    <t>Kyveta CO2 pro dospělé á 10 ks MP01062</t>
  </si>
  <si>
    <t>ZD650</t>
  </si>
  <si>
    <t>Aquapak - sterilní voda 340 ml s adaptérem bal. á 20 ks 400340</t>
  </si>
  <si>
    <t>ZD809</t>
  </si>
  <si>
    <t>Kanyla vasofix 20G růžová safety 4269110S-01</t>
  </si>
  <si>
    <t>ZD962</t>
  </si>
  <si>
    <t>Systém hrudní drenážní altitude bal. á 5 ks 8888571370</t>
  </si>
  <si>
    <t>ZE146</t>
  </si>
  <si>
    <t>Souprava nebulizační uzavřená In-Line-Neb Tee Kit  bal. á 50 ks 41745</t>
  </si>
  <si>
    <t>ZE159</t>
  </si>
  <si>
    <t>Nádoba na kontaminovaný odpad 2 l 15-0003</t>
  </si>
  <si>
    <t>ZF018</t>
  </si>
  <si>
    <t>Kanyla vasofix 16G šedá safety 4269179S-01</t>
  </si>
  <si>
    <t>ZG515</t>
  </si>
  <si>
    <t>Zkumavka močová vacuette 10,5 ml bal. á 50 ks 455007</t>
  </si>
  <si>
    <t>ZH168</t>
  </si>
  <si>
    <t>Stříkačka injekční 3-dílná 1 ml L tuberculin s jehlou KD-JECT III 26G x 1/2" 0,45 x 12 mm 831786</t>
  </si>
  <si>
    <t>ZH491</t>
  </si>
  <si>
    <t>Stříkačka injekční 3-dílná 50 - 60 ml LL MRG00711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</si>
  <si>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</si>
  <si>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</si>
  <si>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</si>
  <si>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</si>
  <si>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</si>
  <si>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</si>
  <si>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ZJ310</t>
  </si>
  <si>
    <t>Katetr močový foley CH12 180605-000120</t>
  </si>
  <si>
    <t>ZJ659</t>
  </si>
  <si>
    <t>Kohout trojcestný s bezjehlovým konektorem Discofix C bal. á 100 ks 16494CSF</t>
  </si>
  <si>
    <t>ZK435</t>
  </si>
  <si>
    <t>Rampa 5 kohoutů discofix bal. á 40 ks 16608C (4085450)</t>
  </si>
  <si>
    <t>ZK798</t>
  </si>
  <si>
    <t>Zátka combi modrá 4495152</t>
  </si>
  <si>
    <t>ZK799</t>
  </si>
  <si>
    <t>Zátka combi červená 4495101</t>
  </si>
  <si>
    <t>ZK884</t>
  </si>
  <si>
    <t>Kohout trojcestný discofix modrý 4095111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</si>
  <si>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</si>
  <si>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</si>
  <si>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</si>
  <si>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</si>
  <si>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</si>
  <si>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</si>
  <si>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</si>
  <si>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</si>
  <si>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ZA725</t>
  </si>
  <si>
    <t>Kanyla TS 8,0 s manžetou bal. á 10 ks 100/860/080</t>
  </si>
  <si>
    <t>ZB038</t>
  </si>
  <si>
    <t>Medisize hydrovent S filt./HM</t>
  </si>
  <si>
    <t>ZB056</t>
  </si>
  <si>
    <t>Kanyla TS 8,5 s manžetou bal. á 10 ks 100/800/085</t>
  </si>
  <si>
    <t>ZC490</t>
  </si>
  <si>
    <t>Kartáček zubní s odsáváním P2220</t>
  </si>
  <si>
    <t>ZF512</t>
  </si>
  <si>
    <t>Páska bepa clip vario pro TS kanylu 30/V á 6 ks NKS:200602</t>
  </si>
  <si>
    <t>ZI347</t>
  </si>
  <si>
    <t>Podložka natura flexibilní 57 mm bal. á 5 ks 0086766 125903</t>
  </si>
  <si>
    <t>ZL688</t>
  </si>
  <si>
    <t>Proužky Accu-Check Inform IIStrip 50 EU1 á 50 ks 05942861041</t>
  </si>
  <si>
    <t>ZL689</t>
  </si>
  <si>
    <t>Roztok Accu-Check Performa Int´l Controls 1+2 level 04861736</t>
  </si>
  <si>
    <t>ZL952</t>
  </si>
  <si>
    <t>Stříkačka injekční 50 ml LL light protected bal.á 60 ks 2022920A</t>
  </si>
  <si>
    <t>ZL951</t>
  </si>
  <si>
    <t>Hadička prodlužovací PVC 150 cm pro světlocitlivé léky NO DOP bal. á 20  ks V686423-ND</t>
  </si>
  <si>
    <t>ZL954</t>
  </si>
  <si>
    <t>Rampa 5 cestná - 5 x konektor s BV NO PVC V696425</t>
  </si>
  <si>
    <t>ZB505</t>
  </si>
  <si>
    <t>Tubo-fix pro ET rourky á 8 ks komplet NKS:20-10</t>
  </si>
  <si>
    <t>ZI346</t>
  </si>
  <si>
    <t>Podložka natura flexibilní 70 mm bal. á 5 ks 0086767 125904</t>
  </si>
  <si>
    <t>ZB985</t>
  </si>
  <si>
    <t>Zkumavka močová urin-monovette s pístem 10 ml sterilní bal. á 100 ks 10.252.020</t>
  </si>
  <si>
    <t>ZB507</t>
  </si>
  <si>
    <t>Páska fixační SOFT FIX, set-4druhy, 9 rolí NKS:30-05</t>
  </si>
  <si>
    <t>ZM513</t>
  </si>
  <si>
    <t>Konektor ventil jednocestný back check valve 8502802</t>
  </si>
  <si>
    <t>ZJ194</t>
  </si>
  <si>
    <t>Sáček výpustný natura 57 mm průhledný urostomický bal. á 10 ks 401536</t>
  </si>
  <si>
    <t>ZL953</t>
  </si>
  <si>
    <t>Rampa 3 cestná - 3 x konektor s BV NO PVC V696423</t>
  </si>
  <si>
    <t>ZA978</t>
  </si>
  <si>
    <t>Houbička odsávací s reg. vakua 2201</t>
  </si>
  <si>
    <t>ZA799</t>
  </si>
  <si>
    <t>Trokar hrudní redax F20 s ostrým koncem bal. á 10 ks 11220</t>
  </si>
  <si>
    <t>ZN296</t>
  </si>
  <si>
    <t>Hadička spojovací Gamaplus 1,8 x 450 UNIV NO DOP 606306-ND</t>
  </si>
  <si>
    <t>ZN297</t>
  </si>
  <si>
    <t>Hadička spojovací Gamaplus 1,8 x 450 LL NO DOP 606301-ND</t>
  </si>
  <si>
    <t>ZN298</t>
  </si>
  <si>
    <t>Hadička spojovací Gamaplus 1,8 x 1800 LL NO DOP 606304-ND</t>
  </si>
  <si>
    <t>ZN410</t>
  </si>
  <si>
    <t>Katetr močový nelaton 16CH Silasil balónkový 28 dní bal. á 10 ks 186005-000160</t>
  </si>
  <si>
    <t>ZI789</t>
  </si>
  <si>
    <t>Sáček výpustný natura urostomický průhledný standard 45 mm á 10 ks 401535</t>
  </si>
  <si>
    <t>ZN598</t>
  </si>
  <si>
    <t>Set odsávací jednorázový starset vak 2000 ml odsávací hadice 180 cm přerušovač sání bal. á 25 ks ZMF 160 203 PS</t>
  </si>
  <si>
    <t>ZN618</t>
  </si>
  <si>
    <t>Brýle kyslíkové pro dospělé bal. á 100 ks A0100</t>
  </si>
  <si>
    <t>ZF911</t>
  </si>
  <si>
    <t>Nůžky oční rovné 105 mm B397113920043</t>
  </si>
  <si>
    <t>ZN854</t>
  </si>
  <si>
    <t>Stříkačka injekční arteriální 3 ml bez jehly s heparinem bal. á 100 ks safePICO Aspirator 956-622</t>
  </si>
  <si>
    <t>ZA364</t>
  </si>
  <si>
    <t>Sáček kolostomický draina S mini 75 mm á 30 ks H08560U</t>
  </si>
  <si>
    <t>ZB548</t>
  </si>
  <si>
    <t>Kanyla TS 9,0 s manžetou bal. á 10 ks 100/800/090</t>
  </si>
  <si>
    <t>ZB656</t>
  </si>
  <si>
    <t>Senzor flotrac set 152 cm MHD6R</t>
  </si>
  <si>
    <t>ZO372</t>
  </si>
  <si>
    <t>Konektor bezjehlový OptiSyte JIM:JSM4001</t>
  </si>
  <si>
    <t>ZH299</t>
  </si>
  <si>
    <t>Lžíce laryngoskopická 3 bal. á 10 ks 670150-100030</t>
  </si>
  <si>
    <t>ZH300</t>
  </si>
  <si>
    <t>Lžíce laryngoskopická 4 bal. á 10 ks 670150-100040</t>
  </si>
  <si>
    <t>ZD730</t>
  </si>
  <si>
    <t>Kanyla ET 7,5 s manžetou bal. á 10 ks 112482-000075</t>
  </si>
  <si>
    <t>ZO932</t>
  </si>
  <si>
    <t>Zkumavka 13 ml PP 101/16,5 mm bílý uzávěr sterilní 60.540.012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</si>
  <si>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</si>
  <si>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</si>
  <si>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</si>
  <si>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</si>
  <si>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ZA696</t>
  </si>
  <si>
    <t>Elektroda EKG ARBO H92 31.1925.21</t>
  </si>
  <si>
    <t>ZD880</t>
  </si>
  <si>
    <t>Pasta vyplňovací stomahesive 30 g 0002708 149730</t>
  </si>
  <si>
    <t>ZD963</t>
  </si>
  <si>
    <t>Systém hrudní drenážní altitude 8888571371</t>
  </si>
  <si>
    <t>ZP077</t>
  </si>
  <si>
    <t>Zkumavka 15 ml PP 101/16,5 mm bílý šroubový uzávěr sterilní jednotlivě balená 10362/MO/SG/CS</t>
  </si>
  <si>
    <t>ZC943</t>
  </si>
  <si>
    <t>Kanyla ET 7,0 s manžetou bal. á 10 ks 112482-000070</t>
  </si>
  <si>
    <t>ZB054</t>
  </si>
  <si>
    <t>Láhev 2,00 l šroubový uzávěr 000-030-000 (111-888-200)</t>
  </si>
  <si>
    <t>ZH335</t>
  </si>
  <si>
    <t>Kanyla TS 7,0 s manžetou bal. á 2 ks 100/523/070</t>
  </si>
  <si>
    <t>ZG893</t>
  </si>
  <si>
    <t>Rouška prošívaná na popáleniny 40 x 60 cm karton á 30 ks 28510</t>
  </si>
  <si>
    <t>ZN044</t>
  </si>
  <si>
    <t>Hadička spojovací PE červená 2,0 x 2000 mm LL bal. á 200 ks 12003200E</t>
  </si>
  <si>
    <t>ZC052</t>
  </si>
  <si>
    <t>Tlouček drsný 24 x 115 mm JIZE213A/1</t>
  </si>
  <si>
    <t>ZC048</t>
  </si>
  <si>
    <t>Miska třecí drsná 211a/0 6,0 cm JIZE211A/0</t>
  </si>
  <si>
    <t>ZD933</t>
  </si>
  <si>
    <t>Listerine 1,0 l 450669</t>
  </si>
  <si>
    <t>ZC637</t>
  </si>
  <si>
    <t>Arteriofix bal. á 20 ks 20G 5206324</t>
  </si>
  <si>
    <t>ZD827</t>
  </si>
  <si>
    <t>Katetr CVC 3 lumen 7 Fr x 20 cm certofix trio SB720 bal. á 10 ks 4163206E</t>
  </si>
  <si>
    <t>ZD909</t>
  </si>
  <si>
    <t>Katetr CVC 2 lumen 7 Fr x 20 cm certofix duo ECO 720 á 10 ks 4162200E</t>
  </si>
  <si>
    <t>ZA715</t>
  </si>
  <si>
    <t>Set infuzní intrafix primeline classic 150 cm 4062957</t>
  </si>
  <si>
    <t>ZB715</t>
  </si>
  <si>
    <t>Set kangaro univ. pro enterální výživu bal. á 30 ks  S777403</t>
  </si>
  <si>
    <t>ZE079</t>
  </si>
  <si>
    <t>Set transfúzní non PVC s odvzdušněním a bakteriálním filtrem ZAR-I-TS</t>
  </si>
  <si>
    <t>ZB161</t>
  </si>
  <si>
    <t>Set ohřívací s Y portem DI-50</t>
  </si>
  <si>
    <t>ZB220</t>
  </si>
  <si>
    <t>Šití safil fialový 3/0 (2) bal. á 36 ks C1048046</t>
  </si>
  <si>
    <t>ZB834</t>
  </si>
  <si>
    <t>Šití nurolon bk 2-0 bal. á 36 ks EH6604H</t>
  </si>
  <si>
    <t>ZC135</t>
  </si>
  <si>
    <t>Šití safil fialový 2/0 (3) bal. á 36 ks C1048031</t>
  </si>
  <si>
    <t>ZF937</t>
  </si>
  <si>
    <t>Šití premicron zelený 3/0 (2) bal. á 36 ks C0026553</t>
  </si>
  <si>
    <t>ZA911</t>
  </si>
  <si>
    <t>Šití dafilon modrý 2/0 (3) bal. á 36 ks C0932477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</si>
  <si>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</si>
  <si>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</si>
  <si>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</si>
  <si>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</si>
  <si>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</si>
  <si>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</si>
  <si>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</si>
  <si>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</si>
  <si>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ZA836</t>
  </si>
  <si>
    <t>Jehla injekční 0,9 x 70 mm žlutá 4665791</t>
  </si>
  <si>
    <t>ZB168</t>
  </si>
  <si>
    <t>Jehla chirurgická 0,9 x 36 B10</t>
  </si>
  <si>
    <t>ZB556</t>
  </si>
  <si>
    <t>Jehla injekční 1,2 x 40 mm růžová 4665120</t>
  </si>
  <si>
    <t>ZM292</t>
  </si>
  <si>
    <t>Rukavice nitril sempercare bez p. M bal. á 200 ks 30803</t>
  </si>
  <si>
    <t>ZM294</t>
  </si>
  <si>
    <t>Rukavice nitril sempercare bez p. XL bal. á 180 ks 30818</t>
  </si>
  <si>
    <t>ZM293</t>
  </si>
  <si>
    <t>Rukavice nitril sempercare bez p. L bal. á 200 ks 30804</t>
  </si>
  <si>
    <t>ZN041</t>
  </si>
  <si>
    <t>Rukavice operační gammex latex PF bez pudru 6,5 330048065</t>
  </si>
  <si>
    <t>ZN126</t>
  </si>
  <si>
    <t>Rukavice operační gammex latex PF bez pudru 7,0 330048070</t>
  </si>
  <si>
    <t>ZN108</t>
  </si>
  <si>
    <t>Rukavice operační gammex latex PF bez pudru 8,0 330048080</t>
  </si>
  <si>
    <t>ZN125</t>
  </si>
  <si>
    <t>Rukavice operační gammex latex PF bez pudru 7,5 330048075</t>
  </si>
  <si>
    <t>ZK792</t>
  </si>
  <si>
    <t>Rukavice operační gammex PFXP cytostatické vel. 7,5 latex chemo bal. á 50 párů 330054075</t>
  </si>
  <si>
    <t>DG382</t>
  </si>
  <si>
    <t>Bactec Plus Aerobic</t>
  </si>
  <si>
    <t>DG385</t>
  </si>
  <si>
    <t>Bactec Plus Anaerobic</t>
  </si>
  <si>
    <t>DA002</t>
  </si>
  <si>
    <t>PROUZKY TETRAPHAN DIA  KATALOGO</t>
  </si>
  <si>
    <t>DG395</t>
  </si>
  <si>
    <t>Diagnostická souprava AB0 set monoklonální na 30</t>
  </si>
  <si>
    <t>DC320</t>
  </si>
  <si>
    <t>AUTOCHECK TM5+/LEVEL3/S7755</t>
  </si>
  <si>
    <t>DF171</t>
  </si>
  <si>
    <t>KALIBRAČNÍ ROZTOK 1  S1820 (ABL 825)</t>
  </si>
  <si>
    <t>DF169</t>
  </si>
  <si>
    <t>PROPLACHOVACÍ ROZTOK 600 ml S4980 (ABL 825)</t>
  </si>
  <si>
    <t>DC319</t>
  </si>
  <si>
    <t>AUTOCHECK TM5+/LEVEL1/S7735</t>
  </si>
  <si>
    <t>DC402</t>
  </si>
  <si>
    <t>AUTOCHECK TM5+/LEVEL2/S7745</t>
  </si>
  <si>
    <t>DB437</t>
  </si>
  <si>
    <t>KALIBRACNI PLYN 1(10 bar)</t>
  </si>
  <si>
    <t>DF170</t>
  </si>
  <si>
    <t>NOVÝ ČISTÍCÍ ROZTOK s aditivem, S8375 (ABL 825)</t>
  </si>
  <si>
    <t>DC853</t>
  </si>
  <si>
    <t>KALIBRACNI PLYN 2</t>
  </si>
  <si>
    <t>DF166</t>
  </si>
  <si>
    <t>KALIBRAČNÍ ROZTOK 2  S1830 (ABL 825)</t>
  </si>
  <si>
    <t>DF445</t>
  </si>
  <si>
    <t>Odpadni nadoba D512 600 ml</t>
  </si>
  <si>
    <t>DD309</t>
  </si>
  <si>
    <t>Laktátová membránová souprava</t>
  </si>
  <si>
    <t>DH594</t>
  </si>
  <si>
    <t>Cartridge complete</t>
  </si>
  <si>
    <t>DH758</t>
  </si>
  <si>
    <t>Bactec Plus Aerobic-plastic</t>
  </si>
  <si>
    <t>DH759</t>
  </si>
  <si>
    <t>Bactec Lytic/ 10 Anaerobic- plastic</t>
  </si>
  <si>
    <t>ZB750</t>
  </si>
  <si>
    <t>Hadice vrapovaná metráž dělitelná po 400 mm á 50 m 1574000/W</t>
  </si>
  <si>
    <t>ZB751</t>
  </si>
  <si>
    <t>Hadice PVC 8/12 á 30 m P00468</t>
  </si>
  <si>
    <t>ZC366</t>
  </si>
  <si>
    <t>Převodník tlakový PX260 150 cm 1 linka bal. á 10 ks (T100209A) T100209B</t>
  </si>
  <si>
    <t>ZC367</t>
  </si>
  <si>
    <t>Převodník tlakový dvoukomorový 150 cm set 2 linky bal. á 10 ks T001650A</t>
  </si>
  <si>
    <t>ZD534</t>
  </si>
  <si>
    <t>Okruh dýchací compact II 2,0 m 2151000</t>
  </si>
  <si>
    <t>ZN620</t>
  </si>
  <si>
    <t>Maska kyslíková dospělá s nebulizací a hadičkou 2 m bal. á 100 ks A0400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</si>
  <si>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</si>
  <si>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</si>
  <si>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</si>
  <si>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</si>
  <si>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</si>
  <si>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</si>
  <si>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</si>
  <si>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</si>
  <si>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50115070</t>
  </si>
  <si>
    <t>513 SZM katetry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</si>
  <si>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</si>
  <si>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</si>
  <si>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</si>
  <si>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</si>
  <si>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</si>
  <si>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</si>
  <si>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</si>
  <si>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</si>
  <si>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</si>
  <si>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Lékárna - SZM diagnostika</t>
  </si>
  <si>
    <t>50115079</t>
  </si>
  <si>
    <t>542 SZM Intenzivní péče (112 02 100)</t>
  </si>
  <si>
    <t>Spotřeba zdravotnického materiálu - orientační přehled</t>
  </si>
  <si>
    <t>ON Data</t>
  </si>
  <si>
    <t>07 - Klinika anesteziologie, resuscitace a intenzivní medicíny</t>
  </si>
  <si>
    <t>07</t>
  </si>
  <si>
    <t>5T1</t>
  </si>
  <si>
    <t>V</t>
  </si>
  <si>
    <t>51021</t>
  </si>
  <si>
    <t>KOMPLEXNÍ VYŠETŘENÍ CHIRURGEM</t>
  </si>
  <si>
    <t>5F1</t>
  </si>
  <si>
    <t>51343</t>
  </si>
  <si>
    <t>LOKÁLNÍ EXCIZE JATER NEBO OŠETŘENÍ MALÉ TRHLINY JA</t>
  </si>
  <si>
    <t>51349</t>
  </si>
  <si>
    <t>OTEVŘENÁ DRENÁŽ ABSCESU JATER, CYSTY JATER NEBO SU</t>
  </si>
  <si>
    <t>51353</t>
  </si>
  <si>
    <t>PUNKCE, ODSÁTÍ TENKÉHO STŘEVA, MANIPULACE SE STŘEV</t>
  </si>
  <si>
    <t>51359</t>
  </si>
  <si>
    <t>RESEKCE A ANASTOMÓZA TLUSTÉHO STŘEVA NEBO REKTOSIG</t>
  </si>
  <si>
    <t>51379</t>
  </si>
  <si>
    <t>CHOLEDOCHOTOMIE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</si>
  <si>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</si>
  <si>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</si>
  <si>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</si>
  <si>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</si>
  <si>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</si>
  <si>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</si>
  <si>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</si>
  <si>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</si>
  <si>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51623</t>
  </si>
  <si>
    <t>POUŽITÍ ULTRAZVUKOVÉHO SKALPELU</t>
  </si>
  <si>
    <t>51713</t>
  </si>
  <si>
    <t>DIAGNOSTICKÁ VIDEOLAPAROSKOPIE A VIDEOTORAKOSKOPIE</t>
  </si>
  <si>
    <t>63589</t>
  </si>
  <si>
    <t>SALPINGEKTOMIE NEBO ADNEXEKTOMIE A NEBO RESEKCE OV</t>
  </si>
  <si>
    <t>71717</t>
  </si>
  <si>
    <t>TRACHEOTOMIE</t>
  </si>
  <si>
    <t>07546</t>
  </si>
  <si>
    <t>(DRG) OTEVŘENÝ PŘÍSTUP</t>
  </si>
  <si>
    <t>07422</t>
  </si>
  <si>
    <t>(VZP) EMBOLECTOMIE A. FEMORALIS COMMUNIS</t>
  </si>
  <si>
    <t>07531</t>
  </si>
  <si>
    <t>(VZP) ARTERIOGRAFIE PEROPERAČNÍ</t>
  </si>
  <si>
    <t>07545</t>
  </si>
  <si>
    <t>(DRG) DRUHÁ A DALŠÍ REOPERACE</t>
  </si>
  <si>
    <t>07416</t>
  </si>
  <si>
    <t>(VZP) JINÉ REKONSTRUKCE V OBLASTI STEHNA</t>
  </si>
  <si>
    <t>07565</t>
  </si>
  <si>
    <t>(DRG) KATASTROFICKÁ OPERACE KVCH</t>
  </si>
  <si>
    <t>07335</t>
  </si>
  <si>
    <t>(VZP) BYPASS AORTO - ILICKÝ NEBO NÁHRADA OBOUSTRAN</t>
  </si>
  <si>
    <t>07543</t>
  </si>
  <si>
    <t>(DRG) PRIMOOPERACE</t>
  </si>
  <si>
    <t>51396</t>
  </si>
  <si>
    <t>PUNKCE DUTINY BŘIŠNÍ S DRENÁŽÍ EV. LAVAŽÍ</t>
  </si>
  <si>
    <t>54810</t>
  </si>
  <si>
    <t>PEROPERAČNÍ ANGIOGRAFIE</t>
  </si>
  <si>
    <t>54190</t>
  </si>
  <si>
    <t>OSTATNÍ REKONSTRUKCE TEPEN A BY-PASSY</t>
  </si>
  <si>
    <t>51825</t>
  </si>
  <si>
    <t>SEKUNDÁRNÍ SUTURA RÁNY</t>
  </si>
  <si>
    <t>51850</t>
  </si>
  <si>
    <t>PŘEVAZ RÁNY METODOU V. A. C. (VACUUM ASISTED CLOSU</t>
  </si>
  <si>
    <t>51386</t>
  </si>
  <si>
    <t>SUTURA EV. EXCIZE A SUTURA LÉZE STĚNY ŽALUDKU NEBO</t>
  </si>
  <si>
    <t>51821</t>
  </si>
  <si>
    <t>CHIRURGICKÉ ODSTRANĚNÍ CIZÍHO TĚLESA</t>
  </si>
  <si>
    <t>51827</t>
  </si>
  <si>
    <t>MULTIORGÁNOVÝ ODBĚR</t>
  </si>
  <si>
    <t>54120</t>
  </si>
  <si>
    <t>ANEURYSMA BŘIŠNÍ AORTY (NÁHRADA BIFURKAČNÍ PROTÉZO</t>
  </si>
  <si>
    <t>07564</t>
  </si>
  <si>
    <t>(DRG) EMERGENTNÍ OPERACE KVCH</t>
  </si>
  <si>
    <t>07552</t>
  </si>
  <si>
    <t>(DRG) OPERAČNÍ VÝKON BEZ MIMOTĚLNÍHO OBĚHU</t>
  </si>
  <si>
    <t>66851</t>
  </si>
  <si>
    <t>AMPUTACE DLOUHÉ KOSTI / EXARTIKULACE VELKÉHO KLOUB</t>
  </si>
  <si>
    <t>51357</t>
  </si>
  <si>
    <t>JEJUNOSTOMIE, ILEOSTOMIE NEBO KOLOSTOMIE, ANTEPOZI</t>
  </si>
  <si>
    <t>51321</t>
  </si>
  <si>
    <t>LEVOSTRANNÁ PANKREATEKTOMIE SE SPLENEKTOMIÍ</t>
  </si>
  <si>
    <t>07423</t>
  </si>
  <si>
    <t>(VZP) EMBOLECTOMIE A. FEMORALIS PROFUNDA</t>
  </si>
  <si>
    <t>07563</t>
  </si>
  <si>
    <t>(DRG) URGENTNÍ OPERACE KVCH</t>
  </si>
  <si>
    <t>07544</t>
  </si>
  <si>
    <t>(DRG) PRVNÍ REOPERACE</t>
  </si>
  <si>
    <t>54340</t>
  </si>
  <si>
    <t>TEPENNÁ EMBOLEKTOMIE, TROMBEKTOMIE</t>
  </si>
  <si>
    <t>57235</t>
  </si>
  <si>
    <t>TORAKOTOMIE PROSTÁ NEBO S BIOPSIÍ, EVAKUACÍ HEMATO</t>
  </si>
  <si>
    <t>51355</t>
  </si>
  <si>
    <t>DVOJ - A VÍCENÁSOBNÁ RESEKCE A (NEBO) ANASTOMÓZA T</t>
  </si>
  <si>
    <t>07418</t>
  </si>
  <si>
    <t>(VZP) TROMBECTOMIE  A. FEMORALIS A JEJÍCH VĚTVÍ</t>
  </si>
  <si>
    <t>54310</t>
  </si>
  <si>
    <t>AORTOILICKÝ ÚSEK - ENDARTEREKTOMIE</t>
  </si>
  <si>
    <t>51326</t>
  </si>
  <si>
    <t>DRENÁŽNÍ OPERACE PŘI AKUTNÍ PANKEATITIDĚ, DRENÁŽ A</t>
  </si>
  <si>
    <t>07388</t>
  </si>
  <si>
    <t>(VZP) ENDARTERECTOMIE  A.ILIACA</t>
  </si>
  <si>
    <t>51361</t>
  </si>
  <si>
    <t>KOLEKTOMIE SUBTOTÁLNÍ S ILEOSTOMIÍ A UZÁVĚREM REKT</t>
  </si>
  <si>
    <t>07387</t>
  </si>
  <si>
    <t>(VZP) JINÉ REKONSTRUKCE V OBLASTI PÁNEVNÍCH TEPEN</t>
  </si>
  <si>
    <t>5F3</t>
  </si>
  <si>
    <t>51819</t>
  </si>
  <si>
    <t>OŠETŘENÍ A OBVAZ ROZSÁHLÉ RÁNY V CELKOVÉ ANESTEZII</t>
  </si>
  <si>
    <t>51859</t>
  </si>
  <si>
    <t>FIXAČNÍ SÁDROVÁ DLAHA - NOHA, BÉREC</t>
  </si>
  <si>
    <t>53159</t>
  </si>
  <si>
    <t>OTEVŘENÁ REPOZICE A OSTEOSYNTÉZA ZLOMENIN OBOU KOS</t>
  </si>
  <si>
    <t>53459</t>
  </si>
  <si>
    <t>OTEVŘENÁ REPOZICE NITROKLOUBNÍCH LUXAČNÍCH ZLOMENI</t>
  </si>
  <si>
    <t>53469</t>
  </si>
  <si>
    <t>ZLOMENINA DIAFÝZY A SUPRAKONDYLICKÉ OBLASTI FEMURU</t>
  </si>
  <si>
    <t>66819</t>
  </si>
  <si>
    <t>APLIKACE ZEVNÍHO FIXATÉRU</t>
  </si>
  <si>
    <t>66823</t>
  </si>
  <si>
    <t>ODSTRANĚNÍ ZEVNÍHO FIXATÉRU</t>
  </si>
  <si>
    <t>53457</t>
  </si>
  <si>
    <t>ZLOMENINY DOLNÍHO KONCE BÉRCE A HLEZNA S NITROKLOU</t>
  </si>
  <si>
    <t>66127</t>
  </si>
  <si>
    <t>MANIPULACE V CELKOVÉ NEBO LOKÁLNÍ ANESTÉZII</t>
  </si>
  <si>
    <t>51855</t>
  </si>
  <si>
    <t>FIXAČNÍ SÁDROVÁ DLAHA CELÉ HORNÍ KONČETINY</t>
  </si>
  <si>
    <t>53471</t>
  </si>
  <si>
    <t>ZLOMENINA HORNÍHO KONCE FEMURU - REPOZICE OTEVŘENÁ</t>
  </si>
  <si>
    <t>53467</t>
  </si>
  <si>
    <t>ZLOMENINY TIBIÁLNÍHO NEBO FIBULÁRNÍHO PLATEAU TIBI</t>
  </si>
  <si>
    <t>53485</t>
  </si>
  <si>
    <t>ZLOMENINY PÁNEVNÍHO KRUHU - NESTABILNÍ - S OPERAČN</t>
  </si>
  <si>
    <t>66821</t>
  </si>
  <si>
    <t>PERKUTÁNNÍ FIXACE K-DRÁTEM</t>
  </si>
  <si>
    <t>66825</t>
  </si>
  <si>
    <t>UPRAVENÍ ZEVNÍHO FIXATÉRU</t>
  </si>
  <si>
    <t>53455</t>
  </si>
  <si>
    <t>OTEVŘENÁ REPOZICE ZLOMENINY KOSTI PATNÍ</t>
  </si>
  <si>
    <t>66415</t>
  </si>
  <si>
    <t>AMPUTACE - RUKA</t>
  </si>
  <si>
    <t>5F5</t>
  </si>
  <si>
    <t>07550</t>
  </si>
  <si>
    <t>(DRG) ENDOVASKULÁRNÍ PŘÍSTUP PERKUTÁNNÍ NEBO S?PRE</t>
  </si>
  <si>
    <t>07258</t>
  </si>
  <si>
    <t>(DRG) ZAVEDENÍ ECMO, PERIFERNÍ KANYLACE</t>
  </si>
  <si>
    <t>07554</t>
  </si>
  <si>
    <t>(DRG) OPERAČNÍ VÝKON S MIMOTĚLNÍM OBĚHEM, PERIFERN</t>
  </si>
  <si>
    <t>55227</t>
  </si>
  <si>
    <t>5F6</t>
  </si>
  <si>
    <t>56119</t>
  </si>
  <si>
    <t>DEKOMPRESIVNÍ KRANIEKTOMIE</t>
  </si>
  <si>
    <t>56163</t>
  </si>
  <si>
    <t>ZEVNÍ KOMOROVÁ DRENÁŽ NEBO ZAVEDENÍ ČIDLA NA MĚŘEN</t>
  </si>
  <si>
    <t>65513</t>
  </si>
  <si>
    <t>PŘÍPRAVA FASCIÁLNÍHO A PERIKRANIÁLNÍHO LALOKU K RE</t>
  </si>
  <si>
    <t>56151</t>
  </si>
  <si>
    <t>TREPANACE PRO EXTRACEREBRÁLNÍ HEMATOM NEBO KRANIOT</t>
  </si>
  <si>
    <t>56117</t>
  </si>
  <si>
    <t>INTRAKRANIÁLNÍ REKONSTRUKČNÍ OPERACE PŘI LIKVOREI</t>
  </si>
  <si>
    <t>1</t>
  </si>
  <si>
    <t>0003708</t>
  </si>
  <si>
    <t>0003952</t>
  </si>
  <si>
    <t>AMIKIN 500 MG</t>
  </si>
  <si>
    <t>0006480</t>
  </si>
  <si>
    <t>OCPLEX</t>
  </si>
  <si>
    <t>0008807</t>
  </si>
  <si>
    <t>DALACIN C</t>
  </si>
  <si>
    <t>0011592</t>
  </si>
  <si>
    <t>METRONIDAZOL B. BRAUN</t>
  </si>
  <si>
    <t>0011785</t>
  </si>
  <si>
    <t>AMIKIN 1 G</t>
  </si>
  <si>
    <t>0016600</t>
  </si>
  <si>
    <t>0020605</t>
  </si>
  <si>
    <t>COLOMYCIN INJEKCE 1 000 000 MEZINÁRODNÍCH JEDNOTEK</t>
  </si>
  <si>
    <t>0026127</t>
  </si>
  <si>
    <t>0026902</t>
  </si>
  <si>
    <t>VFEND</t>
  </si>
  <si>
    <t>0045123</t>
  </si>
  <si>
    <t>VISIPAQUE 320 MG I/ML</t>
  </si>
  <si>
    <t>0053922</t>
  </si>
  <si>
    <t>CIPHIN PRO INFUSIONE 200 MG/100 ML</t>
  </si>
  <si>
    <t>0058092</t>
  </si>
  <si>
    <t>CEFAZOLIN SANDOZ</t>
  </si>
  <si>
    <t>HAEMOCOMPLETTAN P</t>
  </si>
  <si>
    <t>0065989</t>
  </si>
  <si>
    <t>MYCOMAX INF</t>
  </si>
  <si>
    <t>0066137</t>
  </si>
  <si>
    <t>OFLOXIN INF</t>
  </si>
  <si>
    <t>0072972</t>
  </si>
  <si>
    <t>AMOKSIKLAV 1,2 G</t>
  </si>
  <si>
    <t>0072973</t>
  </si>
  <si>
    <t>AMOKSIKLAV 600 MG</t>
  </si>
  <si>
    <t>0075634</t>
  </si>
  <si>
    <t>PROTHROMPLEX TOTAL NF</t>
  </si>
  <si>
    <t>0076360</t>
  </si>
  <si>
    <t>ZINACEF</t>
  </si>
  <si>
    <t>0077018</t>
  </si>
  <si>
    <t>ULTRAVIST 370</t>
  </si>
  <si>
    <t>0083417</t>
  </si>
  <si>
    <t>MERONEM</t>
  </si>
  <si>
    <t>0089028</t>
  </si>
  <si>
    <t>IMMUNATE STIM PLUS 500</t>
  </si>
  <si>
    <t>0091148</t>
  </si>
  <si>
    <t>VULMIZOLIN 1,0</t>
  </si>
  <si>
    <t>0092289</t>
  </si>
  <si>
    <t>EDICIN</t>
  </si>
  <si>
    <t>0092290</t>
  </si>
  <si>
    <t>0094155</t>
  </si>
  <si>
    <t>ABAKTAL 400 MG/5 ML</t>
  </si>
  <si>
    <t>0094176</t>
  </si>
  <si>
    <t>0096414</t>
  </si>
  <si>
    <t>0097000</t>
  </si>
  <si>
    <t>0097910</t>
  </si>
  <si>
    <t>HUMAN ALBUMIN GRIFOLS 20%</t>
  </si>
  <si>
    <t>0112782</t>
  </si>
  <si>
    <t>GENTAMICIN B.BRAUN</t>
  </si>
  <si>
    <t>0112786</t>
  </si>
  <si>
    <t>0121238</t>
  </si>
  <si>
    <t>CEFTRIAXON KABI</t>
  </si>
  <si>
    <t>0131654</t>
  </si>
  <si>
    <t>CEFTAZIDIM KABI</t>
  </si>
  <si>
    <t>0131656</t>
  </si>
  <si>
    <t>0137484</t>
  </si>
  <si>
    <t>ANBINEX</t>
  </si>
  <si>
    <t>0142077</t>
  </si>
  <si>
    <t>0151458</t>
  </si>
  <si>
    <t>CEFUROXIM KABI</t>
  </si>
  <si>
    <t>0155939</t>
  </si>
  <si>
    <t>HERPESIN 250</t>
  </si>
  <si>
    <t>0162180</t>
  </si>
  <si>
    <t>CIPROFLOXACIN KABI 200 MG/100 ML INFUZNÍ ROZTOK</t>
  </si>
  <si>
    <t>0162187</t>
  </si>
  <si>
    <t>0162809</t>
  </si>
  <si>
    <t>AVELOX 400 MG/250 ML INFUZNÍ ROZTOK</t>
  </si>
  <si>
    <t>0164350</t>
  </si>
  <si>
    <t>TAZOCIN 4 G/0,5 G</t>
  </si>
  <si>
    <t>0164401</t>
  </si>
  <si>
    <t>0166269</t>
  </si>
  <si>
    <t>0500720</t>
  </si>
  <si>
    <t>MYCAMINE</t>
  </si>
  <si>
    <t>0164407</t>
  </si>
  <si>
    <t>0198192</t>
  </si>
  <si>
    <t>0137483</t>
  </si>
  <si>
    <t>0162496</t>
  </si>
  <si>
    <t>TAZIP</t>
  </si>
  <si>
    <t>0134595</t>
  </si>
  <si>
    <t>MEDOCLAV</t>
  </si>
  <si>
    <t>0113453</t>
  </si>
  <si>
    <t>PIPERACILLIN/TAZOBACTAM KABI</t>
  </si>
  <si>
    <t>0149384</t>
  </si>
  <si>
    <t>ECALTA</t>
  </si>
  <si>
    <t>0156835</t>
  </si>
  <si>
    <t>MEROPENEM KABI</t>
  </si>
  <si>
    <t>0151460</t>
  </si>
  <si>
    <t>0129834</t>
  </si>
  <si>
    <t>CLINDAMYCIN KABI</t>
  </si>
  <si>
    <t>0129836</t>
  </si>
  <si>
    <t>0147977</t>
  </si>
  <si>
    <t>MEROPENEM HOSPIRA</t>
  </si>
  <si>
    <t>0166265</t>
  </si>
  <si>
    <t>0183926</t>
  </si>
  <si>
    <t>AZEPO</t>
  </si>
  <si>
    <t>0195147</t>
  </si>
  <si>
    <t>0183817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</si>
  <si>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</si>
  <si>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</si>
  <si>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</si>
  <si>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</si>
  <si>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</si>
  <si>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</si>
  <si>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</si>
  <si>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</si>
  <si>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</si>
  <si>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</si>
  <si>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</si>
  <si>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</si>
  <si>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</si>
  <si>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</si>
  <si>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</si>
  <si>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0007964</t>
  </si>
  <si>
    <t>Erytrocyty z aferézy deleukotizované</t>
  </si>
  <si>
    <t>3</t>
  </si>
  <si>
    <t>0001018</t>
  </si>
  <si>
    <t>ŠROUB SAMOŘEZNÝ KORTIKÁLNÍ MALÝ FRAGMENTY OCEL</t>
  </si>
  <si>
    <t>0001027</t>
  </si>
  <si>
    <t>0001739</t>
  </si>
  <si>
    <t>DRÁT KIRSCHNERŮV OCEL</t>
  </si>
  <si>
    <t>0002264</t>
  </si>
  <si>
    <t>FIXÁTOR ZEVNÍ TRUBKOVÝ, SYNTHES</t>
  </si>
  <si>
    <t>0002425</t>
  </si>
  <si>
    <t>FIXÁTOR ZEVNÍ JEDNOROVINNÝ/DVOUROVINNÝ TRUBKOVÝ, S</t>
  </si>
  <si>
    <t>0004073</t>
  </si>
  <si>
    <t>ŠROUB LCP A VA-LCP SAMOŘEZNÝ MALÝ FRAGMENT OCEL</t>
  </si>
  <si>
    <t>0004077</t>
  </si>
  <si>
    <t>0010484</t>
  </si>
  <si>
    <t>ČEP SAMOŘEZNÝ JISTÍCÍ OCEL</t>
  </si>
  <si>
    <t>0010767</t>
  </si>
  <si>
    <t>0013002</t>
  </si>
  <si>
    <t>STAPLER LINEÁRNÍ - TL60; TLH60 (S PZT 0013006)</t>
  </si>
  <si>
    <t>0013004</t>
  </si>
  <si>
    <t>STAPLER LINEÁRNÍ - TX60B; TX60G (S PZT 0053770)</t>
  </si>
  <si>
    <t>0013010</t>
  </si>
  <si>
    <t xml:space="preserve">STAPLER LINEÁRNÍ S NOŽEM - TCT75; TLC75; TCD75 (S </t>
  </si>
  <si>
    <t>0017333</t>
  </si>
  <si>
    <t>DLAHA MALÝ FRAGMENT OCEL</t>
  </si>
  <si>
    <t>0017413</t>
  </si>
  <si>
    <t>ŠROUB SPONGIOZNÍ MALÝ FRAGMENT OCEL</t>
  </si>
  <si>
    <t>0017749</t>
  </si>
  <si>
    <t>0028338</t>
  </si>
  <si>
    <t>SET RENÁLNÍ A NEFROSTOMICKÝ RE400740,400840,400940</t>
  </si>
  <si>
    <t>0028382</t>
  </si>
  <si>
    <t>SET RENÁLNÍ A NEFROSTOMICKÝ RE 440720</t>
  </si>
  <si>
    <t>0028411</t>
  </si>
  <si>
    <t>SET RENÁLNÍ A NEFROSTOMICKÝ RE 450105..106..110</t>
  </si>
  <si>
    <t>0030409</t>
  </si>
  <si>
    <t>ŠROUB LCP SAMOŘEZNÝ VELKÝ FRAGMENT OCEL</t>
  </si>
  <si>
    <t>0030415</t>
  </si>
  <si>
    <t>0030494</t>
  </si>
  <si>
    <t>ŠROUB LCP SAMOŘEZNÝ VELKÝ FRAGMENT TITAN</t>
  </si>
  <si>
    <t>0030501</t>
  </si>
  <si>
    <t>0030509</t>
  </si>
  <si>
    <t>0030617</t>
  </si>
  <si>
    <t>STAPLER KOŽNÍ ROYAL - 35W</t>
  </si>
  <si>
    <t>0030705</t>
  </si>
  <si>
    <t>0030724</t>
  </si>
  <si>
    <t>DLAHA LCP PATNÍ OCEL MALÝ FRAGMENT TITAN</t>
  </si>
  <si>
    <t>0031495</t>
  </si>
  <si>
    <t>DLAHA LCP FEMUR DISTÁLNÍ VELKÝ FRAGMENT OCEL TITAN</t>
  </si>
  <si>
    <t>0034884</t>
  </si>
  <si>
    <t>ŠROUB STARDRIVE ZAJIŠŤOVACÍ TITAN</t>
  </si>
  <si>
    <t>0037145</t>
  </si>
  <si>
    <t>PROTÉZA GORE-TEX CÉVNÍ - PRUŽNÁ TENKOSTĚNNÁ</t>
  </si>
  <si>
    <t>0043984</t>
  </si>
  <si>
    <t>ČIDLO PRO MĚŘENÍ NITROLEBNÍHO TLAKU NEUROVENT</t>
  </si>
  <si>
    <t>0046612</t>
  </si>
  <si>
    <t>DRÁT VODÍCÍ LUNDERQUIST RE-420780..180..380</t>
  </si>
  <si>
    <t>0046898</t>
  </si>
  <si>
    <t>PROTÉZA CÉVNÍ BIF.GELSOFT PLUS DÉLKA 45CM</t>
  </si>
  <si>
    <t>0051334</t>
  </si>
  <si>
    <t>KATETR URETERÁLNÍ,POLLACK,FLEXI-TIP U-021305</t>
  </si>
  <si>
    <t>0051607</t>
  </si>
  <si>
    <t>SADA GASTROSTOMICKÁ - PEG</t>
  </si>
  <si>
    <t>0053772</t>
  </si>
  <si>
    <t>STAPLER LINEÁRNÍ S NOŽEM - TCT10; TLC10 (S PZT 005</t>
  </si>
  <si>
    <t>0053801</t>
  </si>
  <si>
    <t>ECMO - OXYGENÁTOR,PLS-SYSTÉM DLOUHODOBÉ ŽIVOTNÍ PO</t>
  </si>
  <si>
    <t>0054525</t>
  </si>
  <si>
    <t>DRÁT VODÍCÍ</t>
  </si>
  <si>
    <t>0056291</t>
  </si>
  <si>
    <t>KATETR BALÓNKOVÝ FOGARTY EMBOLEKTOMICKÝ - 120804F</t>
  </si>
  <si>
    <t>0056292</t>
  </si>
  <si>
    <t>KATETR BALÓNKOVÝ FOGARTY EMBOLEKTOMICKÝ - 120805F</t>
  </si>
  <si>
    <t>0056306</t>
  </si>
  <si>
    <t>KATETR BALÓNKOVÝ FOGARTY OKLUZNÍ - 620405F</t>
  </si>
  <si>
    <t>0058622</t>
  </si>
  <si>
    <t>STENT PERIFERNÍ URETERÁLNÍ WHITE STAR STENOSIS</t>
  </si>
  <si>
    <t>0058756</t>
  </si>
  <si>
    <t>VODIČ DRÁTĚNÝ ROADRUNNER</t>
  </si>
  <si>
    <t>0069500</t>
  </si>
  <si>
    <t>KANYLA TRACHEOSTOMICKÁ  S NÍZKOTLAKOU  MANŽETOU</t>
  </si>
  <si>
    <t>0070958</t>
  </si>
  <si>
    <t>ŠROUB NOSNÝ FEMUR PROXIMÁLNÍ OCEL</t>
  </si>
  <si>
    <t>0070959</t>
  </si>
  <si>
    <t>HŘEB FEMUR PROXIMÁLNÍ DLOUHÝ OCEL</t>
  </si>
  <si>
    <t>0070964</t>
  </si>
  <si>
    <t>ŠROUB SAMOŘEZNÝ ANTIROTAČNÍ FEMUR PROXIMÁLNÍ OCEL</t>
  </si>
  <si>
    <t>0071596</t>
  </si>
  <si>
    <t>FIXÁTOR HYBRIDNÍ KRUHOVÝ</t>
  </si>
  <si>
    <t>0071602</t>
  </si>
  <si>
    <t>FIXÁTOR ZEVNÍ JEDNOROVINNÝ/DVOUROVINNÝ TRUBKOVÝ SY</t>
  </si>
  <si>
    <t>0073660</t>
  </si>
  <si>
    <t>0073679</t>
  </si>
  <si>
    <t>0074314</t>
  </si>
  <si>
    <t>ŠROUB ZAJIŠŤOVACÍ  TITANOVÝ TARGON</t>
  </si>
  <si>
    <t>0074722</t>
  </si>
  <si>
    <t>HŘEB FEMORÁLNÍ PROXIMÁLNÍ TITANOVÝ KRÁTKÝ TARGON P</t>
  </si>
  <si>
    <t>0074723</t>
  </si>
  <si>
    <t>ŠROUB ZAJIŠŤOVACÍ, SAMOŘEZNÝ, UZAMYKATELNÝ TI TARG</t>
  </si>
  <si>
    <t>0082079</t>
  </si>
  <si>
    <t>KRYTÍ COM 30 OBVAZOVÁ TEXTÍLIE KOMBINOVANÁ</t>
  </si>
  <si>
    <t>0083205</t>
  </si>
  <si>
    <t>DLAHA LCP PÁNEV SYMFÝZA OCEL</t>
  </si>
  <si>
    <t>0092078</t>
  </si>
  <si>
    <t>STAPLER LINEÁRNÍ S NOŽEM - CONTOUR; ZAHNUTÝ, NÍZKÁ</t>
  </si>
  <si>
    <t>0092079</t>
  </si>
  <si>
    <t>ZÁSOBNÍK PRO LINEÁRNÍ STAPLER - CR40B,CR40G (PRO P</t>
  </si>
  <si>
    <t>0097876</t>
  </si>
  <si>
    <t>PODLOŽKA MALÝ FRAGMENT TITAN</t>
  </si>
  <si>
    <t>0098656</t>
  </si>
  <si>
    <t>ŠROUB KANYLOVANÝ TI T-DRIVE</t>
  </si>
  <si>
    <t>0098685</t>
  </si>
  <si>
    <t>PODLOŽKA TI</t>
  </si>
  <si>
    <t>0099076</t>
  </si>
  <si>
    <t>HŘEB FEMORÁLNÍ PROXIMÁLNÍ, TI</t>
  </si>
  <si>
    <t>0099081</t>
  </si>
  <si>
    <t>ŠROUB KOTVÍCÍ, TI</t>
  </si>
  <si>
    <t>0099484</t>
  </si>
  <si>
    <t>ŠROUB ZAJIŠŤ.,PLNÝ ZÁVIT,PR. 5MM, TI</t>
  </si>
  <si>
    <t>0099754</t>
  </si>
  <si>
    <t>ZASLEPOVACÍ HLAVA TIBIE ÚHLOVĚ STABILNÍ TITAN</t>
  </si>
  <si>
    <t>0099756</t>
  </si>
  <si>
    <t>HŘEB KANYLOVANÝ FEMUR LATERÁLNÍ TITAN</t>
  </si>
  <si>
    <t>0099934</t>
  </si>
  <si>
    <t>ŠROUB SAMOVRTNÝ KANYLOVANÝ VELKÝ FRAGMENT TITAN</t>
  </si>
  <si>
    <t>0163241</t>
  </si>
  <si>
    <t xml:space="preserve">IMPLANTÁT MAXILLOFACIÁLNÍ STŘEDNÍ OBLIČEJOVÁ ETÁŽ </t>
  </si>
  <si>
    <t>0163243</t>
  </si>
  <si>
    <t>0163251</t>
  </si>
  <si>
    <t>0163261</t>
  </si>
  <si>
    <t>0163266</t>
  </si>
  <si>
    <t>0013054</t>
  </si>
  <si>
    <t>STAPLER KOŽNÍ, 35 NEREZ.OCEL. NÁPLNÍ PMW35,PMR35</t>
  </si>
  <si>
    <t>0048555</t>
  </si>
  <si>
    <t>SÍŤKA BIODEGRADABILNÍ ČTYŘVRSTEVNÁ SURGISIS</t>
  </si>
  <si>
    <t>0031490</t>
  </si>
  <si>
    <t>DLAHA LCP TIBIE PROXIMÁLNÍ VELKÝ FRAGMENT OCEL TIT</t>
  </si>
  <si>
    <t>0097835</t>
  </si>
  <si>
    <t>0081995</t>
  </si>
  <si>
    <t>NPWT-RENASYS EZ SBĚRNÁ NÁDOBA VELKÁ</t>
  </si>
  <si>
    <t>0046895</t>
  </si>
  <si>
    <t>PROTÉZA CÉVNÍ GELSOFT PLUS DÉLKA 25 CM</t>
  </si>
  <si>
    <t>0083886</t>
  </si>
  <si>
    <t>PROXIMÁLNÍ KOMPRESNÍ ŠROUB, PRO RADIUS / ULNU</t>
  </si>
  <si>
    <t>0083885</t>
  </si>
  <si>
    <t>ŠROUB ZAJIŠŤOVACÍ DISTÁLNÍ, PRO RADIUS / ULNU, MON</t>
  </si>
  <si>
    <t>0083884</t>
  </si>
  <si>
    <t>ŠROUB ZAJIŠŤOVACÍ PROXIMÁLNÍ, PRO RADIUS / ULNU</t>
  </si>
  <si>
    <t>0083883</t>
  </si>
  <si>
    <t>HŘEB PRO RADIUS / ULNU, TITANOVÝ</t>
  </si>
  <si>
    <t>0082142</t>
  </si>
  <si>
    <t>NPWT-RENASYS F PŘEVAZOVÝ SET STŘEDNÍ M</t>
  </si>
  <si>
    <t>0054443</t>
  </si>
  <si>
    <t>OBĚH MIMOTĚLNÍ - OXYGENÁTOR-SADA PŘÍSLUŠENSTVÍ,ECM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</si>
  <si>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</si>
  <si>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</si>
  <si>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</si>
  <si>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</si>
  <si>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</si>
  <si>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</si>
  <si>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0049999</t>
  </si>
  <si>
    <t>EXTRAKTOR KOŽNÍCH SVOREK - PROXIMATE</t>
  </si>
  <si>
    <t>0043968</t>
  </si>
  <si>
    <t>0002263</t>
  </si>
  <si>
    <t>FIXÁTOR ZEVNÍ JEDNOROVINNÝ TUBULÁRNÍ,SYNTHES</t>
  </si>
  <si>
    <t>00655</t>
  </si>
  <si>
    <t>OD TYPU 55 - PRO NEMOCNICE TYPU 3, (KATEGORIE 6) -</t>
  </si>
  <si>
    <t>11505</t>
  </si>
  <si>
    <t>SPECIÁLNÍ PARENTERÁLNÍ VÝŽIVA</t>
  </si>
  <si>
    <t>11506</t>
  </si>
  <si>
    <t>PLNOHODNOTNÁ PARENTERÁLNÍ VÝŽIVA</t>
  </si>
  <si>
    <t>51022</t>
  </si>
  <si>
    <t>CÍLENÉ VYŠETŘENÍ CHIRURGEM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</si>
  <si>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</si>
  <si>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</si>
  <si>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</si>
  <si>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</si>
  <si>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</si>
  <si>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</si>
  <si>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</si>
  <si>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</si>
  <si>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</si>
  <si>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</si>
  <si>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</si>
  <si>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</si>
  <si>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</si>
  <si>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</si>
  <si>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</si>
  <si>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</si>
  <si>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</si>
  <si>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</si>
  <si>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</si>
  <si>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</si>
  <si>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78880</t>
  </si>
  <si>
    <t xml:space="preserve">PÉČE O DÁRCE ORGÁNU, SPOLUPRÁCE S TRANSPLANTAČNÍM </t>
  </si>
  <si>
    <t>99980</t>
  </si>
  <si>
    <t>(VZP) PACIENT S DIAGNOSTIKOVANÝM POLYTRAUMATEM S I</t>
  </si>
  <si>
    <t>78310</t>
  </si>
  <si>
    <t xml:space="preserve">NEODKLADNÁ KARDIOPULMONÁLNÍ RESUSCITACE ROZŠÍŘENÁ </t>
  </si>
  <si>
    <t>90905</t>
  </si>
  <si>
    <t>6F1</t>
  </si>
  <si>
    <t>61113</t>
  </si>
  <si>
    <t xml:space="preserve">REVIZE, EXCIZE A SUTURA PORANĚNÍ KŮŽE A PODKOŽÍ A </t>
  </si>
  <si>
    <t>61115</t>
  </si>
  <si>
    <t>61151</t>
  </si>
  <si>
    <t>UZAVŘENÍ DEFEKTU KOŽNÍM LALOKEM MÍSTNÍM NAD 20 CM^</t>
  </si>
  <si>
    <t>6F3</t>
  </si>
  <si>
    <t>6F5</t>
  </si>
  <si>
    <t>04801</t>
  </si>
  <si>
    <t>ZEVNÍ INCISE</t>
  </si>
  <si>
    <t>04860</t>
  </si>
  <si>
    <t>IMOBILIZACE ČELISTÍ</t>
  </si>
  <si>
    <t>65219</t>
  </si>
  <si>
    <t>KOMPLEXNÍ OŠETŘENÍ VĚTŠÍCH OBLIČEJOVÝCH DEFEKTŮ</t>
  </si>
  <si>
    <t>65613</t>
  </si>
  <si>
    <t>EXCIZE LÉZE V ÚSTNÍ DUTINĚ - OD 2 CM DO 4 CM</t>
  </si>
  <si>
    <t>65949</t>
  </si>
  <si>
    <t>OŠETŘENÍ KOLEMČELISTNÍHO ZÁNĚTU A DRENÁŽ</t>
  </si>
  <si>
    <t>65211</t>
  </si>
  <si>
    <t>OŠETŘENÍ ZLOMENINY ČELISTI DESTIČKOVOU ŠROUBOVANOU</t>
  </si>
  <si>
    <t>65935</t>
  </si>
  <si>
    <t xml:space="preserve">REPOZICE A FIXACE ZLOMENINY ZYGOMATIKOMAXILÁRNÍHO </t>
  </si>
  <si>
    <t>6F6</t>
  </si>
  <si>
    <t>66829</t>
  </si>
  <si>
    <t>ZAVEDENÍ PROPLACHOVÉ LAVÁŽE</t>
  </si>
  <si>
    <t>66919</t>
  </si>
  <si>
    <t>SEKVESTROTOMIE</t>
  </si>
  <si>
    <t>66877</t>
  </si>
  <si>
    <t>TREPANACE A DRENÁŽ KOSTI</t>
  </si>
  <si>
    <t>7F1</t>
  </si>
  <si>
    <t>71751</t>
  </si>
  <si>
    <t>EXENTERACE KRČNÍCH UZLIN JEDNOSTRANNÁ</t>
  </si>
  <si>
    <t>71811</t>
  </si>
  <si>
    <t>LIGATURA A. CAROTIS EXT.</t>
  </si>
  <si>
    <t>71719</t>
  </si>
  <si>
    <t>VÝMĚNA TRACHEOSTOMICKÉ KANYLY</t>
  </si>
  <si>
    <t>76801</t>
  </si>
  <si>
    <t>POUŽITÍ TELEVIZNÍHO ŘETĚZCE PŘI ENDOSKOPICKÉM VÝKO</t>
  </si>
  <si>
    <t>71639</t>
  </si>
  <si>
    <t>ENDOSKOPICKÁ OPERACE V NOSNÍ DUTINĚ</t>
  </si>
  <si>
    <t>71315</t>
  </si>
  <si>
    <t>LARYNGOSKOPIE NEBO EPIFARYNGOSKOPIE FLEXIBILNÍ OPT</t>
  </si>
  <si>
    <t>71665</t>
  </si>
  <si>
    <t>FENESTRACE ČELNÍ DUTINY</t>
  </si>
  <si>
    <t>7F6</t>
  </si>
  <si>
    <t>76121</t>
  </si>
  <si>
    <t>NEFROSTOMOGRAM (JEN KLINICKÝ VÝKON)</t>
  </si>
  <si>
    <t>76531</t>
  </si>
  <si>
    <t>CYSTOURETROSKOPIE</t>
  </si>
  <si>
    <t>76215</t>
  </si>
  <si>
    <t>KATETRIZACE URETERU, NEBO EXTRAKCE KONKREMENTU Z M</t>
  </si>
  <si>
    <t>76565</t>
  </si>
  <si>
    <t>BIOPSIE EV. EXTRAKCE Z MĚCHÝŘE - CIZÍ TĚLESO, KONK</t>
  </si>
  <si>
    <t>809</t>
  </si>
  <si>
    <t>89198</t>
  </si>
  <si>
    <t>SKIASKOPIE</t>
  </si>
  <si>
    <t>89313</t>
  </si>
  <si>
    <t xml:space="preserve">PERKUTÁNNÍ PUNKCE NEBO BIOPSIE ŘÍZENÁ RDG METODOU </t>
  </si>
  <si>
    <t>89327</t>
  </si>
  <si>
    <t>KONTROLNÍ NÁSTŘIK DRENÁŽNÍHO KATÉTRU</t>
  </si>
  <si>
    <t>89455</t>
  </si>
  <si>
    <t>PERKUTÁNNÍ NEFROSTOMIE JEDNOSTRANNÁ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</si>
  <si>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</si>
  <si>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</si>
  <si>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</si>
  <si>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</si>
  <si>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</si>
  <si>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                                       </t>
  </si>
  <si>
    <t>00122</t>
  </si>
  <si>
    <t xml:space="preserve">DLOUHODOBÁ MECHANICKÁ VENTILACE &gt; 240 HODIN (11-21 DNÍ) S EKO                                       </t>
  </si>
  <si>
    <t>00123</t>
  </si>
  <si>
    <t>00132</t>
  </si>
  <si>
    <t xml:space="preserve">DLOUHODOBÁ MECHANICKÁ VENTILACE &gt; 96 HODIN (5-10 DNÍ) S EKONO                                       </t>
  </si>
  <si>
    <t>00133</t>
  </si>
  <si>
    <t>01013</t>
  </si>
  <si>
    <t xml:space="preserve">KRANIOTOMIE S MCC                                                                                   </t>
  </si>
  <si>
    <t>01333</t>
  </si>
  <si>
    <t xml:space="preserve">NETRAUMATICKÉ INTRAKRANIÁLNÍ KRVÁCENÍ S MCC                                                         </t>
  </si>
  <si>
    <t>01353</t>
  </si>
  <si>
    <t xml:space="preserve">NESPECIFICKÁ CÉVNÍ MOZKOVÁ PŘÍHODA A PRECEREBRÁLNÍ OKLUZE BEZ                                       </t>
  </si>
  <si>
    <t>03302</t>
  </si>
  <si>
    <t xml:space="preserve">MALIGNÍ ONEMOCNĚNÍ UCHA, NOSU, ÚST A HRDLA S CC                                                     </t>
  </si>
  <si>
    <t>04310</t>
  </si>
  <si>
    <t xml:space="preserve">RESPIRAČNÍ SELHÁNÍ                                                                                  </t>
  </si>
  <si>
    <t>05093</t>
  </si>
  <si>
    <t xml:space="preserve">VELKÉ ABDOMINÁLNÍ VASKULÁRNÍ VÝKONY S MCC                                                           </t>
  </si>
  <si>
    <t>05142</t>
  </si>
  <si>
    <t xml:space="preserve">JINÉ VASKULÁRNÍ VÝKONY S CC                                                                         </t>
  </si>
  <si>
    <t>05233</t>
  </si>
  <si>
    <t xml:space="preserve">PERKUTÁNNÍ KORONÁRNÍ ANGIOPLASTIKA, &lt;=2 POTAHOVANÉ STENTY PŘI                                       </t>
  </si>
  <si>
    <t>05371</t>
  </si>
  <si>
    <t xml:space="preserve">NEOBJASNĚNÁ SRDEČNÍ ZÁSTAVA BEZ CC                                                                  </t>
  </si>
  <si>
    <t>05382</t>
  </si>
  <si>
    <t xml:space="preserve">PERIFERNÍ A JINÉ VASKULÁRNÍ PORUCHY S CC                                                            </t>
  </si>
  <si>
    <t>05481</t>
  </si>
  <si>
    <t xml:space="preserve">ENDOVASKULÁRNÍ VÝKONY PRO AKUTNÍ ISCHÉMII V OBLASTI PERIFERNÍ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</si>
  <si>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</si>
  <si>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</si>
  <si>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</si>
  <si>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</si>
  <si>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06083</t>
  </si>
  <si>
    <t xml:space="preserve">LAPAROTOMICKÉ VÝKONY PŘI TŘÍSELNÉ, STEHENNÍ, UMBILIKÁLNÍ NEBO                                       </t>
  </si>
  <si>
    <t>06322</t>
  </si>
  <si>
    <t xml:space="preserve">PORUCHY JÍCNU S CC                                                                                  </t>
  </si>
  <si>
    <t>07303</t>
  </si>
  <si>
    <t xml:space="preserve">CIRHÓZA A ALKOHOLICKÁ HEPATITIDA S MCC                                                              </t>
  </si>
  <si>
    <t>08152</t>
  </si>
  <si>
    <t xml:space="preserve">VÝKONY NA HORNÍCH KONČETINÁCH S CC                                                                  </t>
  </si>
  <si>
    <t>08411</t>
  </si>
  <si>
    <t xml:space="preserve">JINÉ PORUCHY MUSKULOSKELETÁLNÍHO SYSTÉMU A POJIVOVÉ TKÁNĚ BEZ                                       </t>
  </si>
  <si>
    <t>10053</t>
  </si>
  <si>
    <t xml:space="preserve">VÝKONY NA ŠTÍTNÉ A PŘÍŠTITNÉ ŽLÁZE, THYROGLOSSÁLNÍ VÝKONY S M                                       </t>
  </si>
  <si>
    <t>11032</t>
  </si>
  <si>
    <t xml:space="preserve">VELKÉ VÝKONY NA LEDVINÁCH A MOČOVÝCH CESTÁCH S CC                                                   </t>
  </si>
  <si>
    <t>11083</t>
  </si>
  <si>
    <t xml:space="preserve">JINÉ VÝKONY PŘI PORUCHÁCH A ONEMOCNĚNÍCH LEDVIN A MOČOVÝCH CE                                       </t>
  </si>
  <si>
    <t>11301</t>
  </si>
  <si>
    <t xml:space="preserve">MALIGNÍ ONEMOCNĚNÍ LEDVIN A MOČOVÝCH CEST A LEDVINOVÉ SELHÁNÍ                                       </t>
  </si>
  <si>
    <t>11302</t>
  </si>
  <si>
    <t>11303</t>
  </si>
  <si>
    <t>13301</t>
  </si>
  <si>
    <t xml:space="preserve">MALIGNÍ ONEMOCNĚNÍ ŽENSKÉHO REPRODUKČNÍHO SYSTÉMU BEZ CC                                            </t>
  </si>
  <si>
    <t>16023</t>
  </si>
  <si>
    <t xml:space="preserve">JINÉ VÝKONY PRO KREVNÍ ONEMOCNĚNÍ A NA KRVETVORNÝCH ORGÁNECH                                        </t>
  </si>
  <si>
    <t>18013</t>
  </si>
  <si>
    <t xml:space="preserve">VÝKONY PRO INFEKČNÍ A PARAZITÁRNÍ NEMOCI S MCC                                                      </t>
  </si>
  <si>
    <t>18301</t>
  </si>
  <si>
    <t xml:space="preserve">SEPTIKÉMIE BEZ CC                                                                                   </t>
  </si>
  <si>
    <t>18302</t>
  </si>
  <si>
    <t xml:space="preserve">SEPTIKÉMIE S CC                                                                                     </t>
  </si>
  <si>
    <t>20333</t>
  </si>
  <si>
    <t xml:space="preserve">ŠKODLIVÉ UŽÍVÁNÍ A ZÁVISLOST NA ALKOHOLU S MCC                                                      </t>
  </si>
  <si>
    <t>21301</t>
  </si>
  <si>
    <t xml:space="preserve">PORANĚNÍ NA NESPECIFIKOVANÉM MÍSTĚ NEBO NA VÍCE MÍSTECH BEZ C                                       </t>
  </si>
  <si>
    <t>23013</t>
  </si>
  <si>
    <t xml:space="preserve">OPERAČNÍ VÝKON S DIAGNÓZOU JINÉHO KONTAKTU SE ZDRAVOTNICKÝMI                                        </t>
  </si>
  <si>
    <t>23323</t>
  </si>
  <si>
    <t xml:space="preserve">JINÉ FAKTORY OVLIVŇUJÍCÍ ZDRAVOTNÍ STAV S MCC                                                       </t>
  </si>
  <si>
    <t>25370</t>
  </si>
  <si>
    <t xml:space="preserve">ÚMRTÍ DO 5 DNÍ OD PŘÍJMU PŘI POLYTRAUMATU                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</si>
  <si>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</si>
  <si>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</si>
  <si>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</si>
  <si>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</si>
  <si>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Porovnání jednotlivých IR DRG skupin</t>
  </si>
  <si>
    <t>12 - Urologická klinika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</si>
  <si>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</si>
  <si>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</si>
  <si>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</si>
  <si>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</si>
  <si>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</si>
  <si>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</si>
  <si>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</si>
  <si>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</si>
  <si>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12</t>
  </si>
  <si>
    <t>89173</t>
  </si>
  <si>
    <t>ANTEGRÁDNÍ PYELOGRAFIE JEDNOSTRANNÁ</t>
  </si>
  <si>
    <t>89165</t>
  </si>
  <si>
    <t>RETROGRÁDNÍ PYELOGRAFIE JEDNOSTRANNÁ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</si>
  <si>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</si>
  <si>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</si>
  <si>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</si>
  <si>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</si>
  <si>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</si>
  <si>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</si>
  <si>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</si>
  <si>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</si>
  <si>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</si>
  <si>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</si>
  <si>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</si>
  <si>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</si>
  <si>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</si>
  <si>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</si>
  <si>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</si>
  <si>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</si>
  <si>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</si>
  <si>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</si>
  <si>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</si>
  <si>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</si>
  <si>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</si>
  <si>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</si>
  <si>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</si>
  <si>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</si>
  <si>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</si>
  <si>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</si>
  <si>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</si>
  <si>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</si>
  <si>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</si>
  <si>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</si>
  <si>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</si>
  <si>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</si>
  <si>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96249</t>
  </si>
  <si>
    <t>AGREGACE TROMBOCYTŮ INDUKOVANÁ OSTATNÍMI INDUKTORY</t>
  </si>
  <si>
    <t>96889</t>
  </si>
  <si>
    <t>TROMBIN GENERAČNÍ ČAS</t>
  </si>
  <si>
    <t>96891</t>
  </si>
  <si>
    <t>TROMBELASTOGRAM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</si>
  <si>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</si>
  <si>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</si>
  <si>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</si>
  <si>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</si>
  <si>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</si>
  <si>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</si>
  <si>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</si>
  <si>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</si>
  <si>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</si>
  <si>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</si>
  <si>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</si>
  <si>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</si>
  <si>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</si>
  <si>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</si>
  <si>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</si>
  <si>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</si>
  <si>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</si>
  <si>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</si>
  <si>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</si>
  <si>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</si>
  <si>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</si>
  <si>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</si>
  <si>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</si>
  <si>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</si>
  <si>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</si>
  <si>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</si>
  <si>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</si>
  <si>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</si>
  <si>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</si>
  <si>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</si>
  <si>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</si>
  <si>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</si>
  <si>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</si>
  <si>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</si>
  <si>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</si>
  <si>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</si>
  <si>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</si>
  <si>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</si>
  <si>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</si>
  <si>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</si>
  <si>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</si>
  <si>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</si>
  <si>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</si>
  <si>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</si>
  <si>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</si>
  <si>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</si>
  <si>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</si>
  <si>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</si>
  <si>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</si>
  <si>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</si>
  <si>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</si>
  <si>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</si>
  <si>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</si>
  <si>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</si>
  <si>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</si>
  <si>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</si>
  <si>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</si>
  <si>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</si>
  <si>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</si>
  <si>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</si>
  <si>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</si>
  <si>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</si>
  <si>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93187</t>
  </si>
  <si>
    <t>TYROXIN CELKOVÝ (TT4)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</si>
  <si>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</si>
  <si>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</si>
  <si>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</si>
  <si>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</si>
  <si>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</si>
  <si>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</si>
  <si>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</si>
  <si>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</si>
  <si>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</si>
  <si>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</si>
  <si>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</si>
  <si>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</si>
  <si>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</si>
  <si>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</si>
  <si>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</si>
  <si>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</si>
  <si>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</si>
  <si>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</si>
  <si>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</si>
  <si>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</si>
  <si>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</si>
  <si>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</si>
  <si>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</si>
  <si>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</si>
  <si>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</si>
  <si>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</si>
  <si>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</si>
  <si>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</si>
  <si>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</si>
  <si>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</si>
  <si>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</si>
  <si>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</si>
  <si>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</si>
  <si>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</si>
  <si>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</si>
  <si>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</si>
  <si>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</si>
  <si>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</si>
  <si>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</si>
  <si>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</si>
  <si>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</si>
  <si>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</si>
  <si>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</si>
  <si>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</si>
  <si>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</si>
  <si>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</si>
  <si>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</si>
  <si>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</si>
  <si>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</si>
  <si>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</si>
  <si>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</si>
  <si>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</si>
  <si>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</si>
  <si>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</si>
  <si>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</si>
  <si>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</si>
  <si>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</si>
  <si>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</si>
  <si>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</si>
  <si>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</si>
  <si>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</si>
  <si>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</si>
  <si>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</si>
  <si>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</si>
  <si>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</si>
  <si>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</si>
  <si>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91133</t>
  </si>
  <si>
    <t>STANOVENÍ IgM</t>
  </si>
  <si>
    <t>81533</t>
  </si>
  <si>
    <t>LIPÁZA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</si>
  <si>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</si>
  <si>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</si>
  <si>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</si>
  <si>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</si>
  <si>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</si>
  <si>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</si>
  <si>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</si>
  <si>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</si>
  <si>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</si>
  <si>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</si>
  <si>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91145</t>
  </si>
  <si>
    <t>STANOVENÍ HAPTOGLOBINU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</si>
  <si>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</si>
  <si>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</si>
  <si>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</si>
  <si>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</si>
  <si>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</si>
  <si>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</si>
  <si>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93185</t>
  </si>
  <si>
    <t>TRIJODTYRONIN CELKOVÝ (TT3)</t>
  </si>
  <si>
    <t>93135</t>
  </si>
  <si>
    <t>MYOGLOBIN V SÉRII</t>
  </si>
  <si>
    <t>81165</t>
  </si>
  <si>
    <t>KREATINKINÁZA (CK) STATIM</t>
  </si>
  <si>
    <t>93223</t>
  </si>
  <si>
    <t>NÁDOROVÉ ANTIGENY CA - TYPU</t>
  </si>
  <si>
    <t>81129</t>
  </si>
  <si>
    <t>BÍLKOVINA KVANTITATIVNĚ (MOČ, VÝPOTEK, CSF) STATIM</t>
  </si>
  <si>
    <t>81159</t>
  </si>
  <si>
    <t>CHOLINESTERÁZA STATIM</t>
  </si>
  <si>
    <t>93139</t>
  </si>
  <si>
    <t>ADRENOKORTIKOTROPIN (ACTH)</t>
  </si>
  <si>
    <t>91151</t>
  </si>
  <si>
    <t>STANOVENÍ OROSOMUKOIDU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</si>
  <si>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</si>
  <si>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</si>
  <si>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</si>
  <si>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</si>
  <si>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</si>
  <si>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</si>
  <si>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81765</t>
  </si>
  <si>
    <t>CHROMOGRANIN A - STANOVENÍ KONCENTRACE V SÉRU NEBO</t>
  </si>
  <si>
    <t>81739</t>
  </si>
  <si>
    <t>STANOVENÍ PLACENTÁRNÍHO RŮSTOVÉHO FAKTORU (PIGF) V</t>
  </si>
  <si>
    <t>81741</t>
  </si>
  <si>
    <t>STANOVENÍ KONCENTRACE SOLUBILNÍHO FAKTORU PODOBNÉH</t>
  </si>
  <si>
    <t>81753</t>
  </si>
  <si>
    <t>VYŠETŘENÍ AKTIVITY BIOTINIDÁZY V RÁMCI NOVOROZENEC</t>
  </si>
  <si>
    <t>813</t>
  </si>
  <si>
    <t>91197</t>
  </si>
  <si>
    <t>STANOVENÍ CYTOKINU ELISA</t>
  </si>
  <si>
    <t>34</t>
  </si>
  <si>
    <t>0017039</t>
  </si>
  <si>
    <t>0022075</t>
  </si>
  <si>
    <t>IOMERON 400</t>
  </si>
  <si>
    <t>0042433</t>
  </si>
  <si>
    <t>0077019</t>
  </si>
  <si>
    <t>0077024</t>
  </si>
  <si>
    <t>ULTRAVIST 300</t>
  </si>
  <si>
    <t>0093626</t>
  </si>
  <si>
    <t>0095607</t>
  </si>
  <si>
    <t>MICROPAQUE</t>
  </si>
  <si>
    <t>0095609</t>
  </si>
  <si>
    <t>MICROPAQUE CT</t>
  </si>
  <si>
    <t>0151208</t>
  </si>
  <si>
    <t>0034038</t>
  </si>
  <si>
    <t>JEHLA BIOPTICKÁ ASPIRAČNÍ, CHIBA,ECHOTIP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</si>
  <si>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</si>
  <si>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</si>
  <si>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</si>
  <si>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</si>
  <si>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</si>
  <si>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</si>
  <si>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</si>
  <si>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</si>
  <si>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</si>
  <si>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</si>
  <si>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0047480</t>
  </si>
  <si>
    <t>KATETR BALÓNKOVÝ PTCA</t>
  </si>
  <si>
    <t>0048523</t>
  </si>
  <si>
    <t>VODIČ INTERVENČNÍ SELECTIVA DO 145CM</t>
  </si>
  <si>
    <t>0048668</t>
  </si>
  <si>
    <t>DRÁT VODÍCÍ NITINOL</t>
  </si>
  <si>
    <t>0052140</t>
  </si>
  <si>
    <t>KATETR BALÓNKOVÝ PTA - WANDA; SMASH</t>
  </si>
  <si>
    <t>0052704</t>
  </si>
  <si>
    <t>KATETR DRENÁŽNÍ</t>
  </si>
  <si>
    <t>0053563</t>
  </si>
  <si>
    <t>KATETR DIAGNOSTICKÝ TEMPO4F,5F</t>
  </si>
  <si>
    <t>0053643</t>
  </si>
  <si>
    <t>KATETR BALÓNKOVÝ PTA - QUADRIMATRIX/MARS</t>
  </si>
  <si>
    <t>0053936</t>
  </si>
  <si>
    <t>SYSTÉM ZAVÁDĚCÍ ACCUSTICK II 20-705</t>
  </si>
  <si>
    <t>0054358</t>
  </si>
  <si>
    <t>KATETR DIAGNOSTICKÝ SUPER TORQUE 5F,6F 533525-686</t>
  </si>
  <si>
    <t>0056361</t>
  </si>
  <si>
    <t>ZAVADĚČ FLEXOR BALKIN RADIOOPÁKNÍ ZNAČKA</t>
  </si>
  <si>
    <t>0057769</t>
  </si>
  <si>
    <t>DILATÁTOR COPE-SADDEKNI SFA ACCESS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</si>
  <si>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</si>
  <si>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</si>
  <si>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</si>
  <si>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</si>
  <si>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</si>
  <si>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0057840</t>
  </si>
  <si>
    <t>TĚLÍSKO EMBOLIZAČNÍ IMWCE</t>
  </si>
  <si>
    <t>0057844</t>
  </si>
  <si>
    <t>TĚLÍSKO EMBOLIZAČNÍ TORNADO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</si>
  <si>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</si>
  <si>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</si>
  <si>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</si>
  <si>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</si>
  <si>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</si>
  <si>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</si>
  <si>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0059795</t>
  </si>
  <si>
    <t>DRÁT VODÍCÍ ANGIODYN J3 FC-FS 150-0,35</t>
  </si>
  <si>
    <t>0092125</t>
  </si>
  <si>
    <t>MIKROKATETR PROGREAT PC2411-2813, PP27111-27131</t>
  </si>
  <si>
    <t>0092127</t>
  </si>
  <si>
    <t>ČÁSTICE EMBOLIZAČNÍ - EMBOSFÉRY EB2S103-912</t>
  </si>
  <si>
    <t>0092128</t>
  </si>
  <si>
    <t>SOUPRAVA ZAVÁDĚCÍ DESTINATION - 45CM</t>
  </si>
  <si>
    <t>0092284</t>
  </si>
  <si>
    <t>STENT PERIFERNÍ VASKULÁRNÍ - ASTRON; SAMOEXPAND; N</t>
  </si>
  <si>
    <t>0092559</t>
  </si>
  <si>
    <t>SADA AG - SYSTÉM PRO UZAVÍRÁNÍ CÉV - FEMORÁLNÍ - S</t>
  </si>
  <si>
    <t>0092932</t>
  </si>
  <si>
    <t>SADA DRENÁŽNÍ</t>
  </si>
  <si>
    <t>0141907</t>
  </si>
  <si>
    <t>STENT JÍC.BILIÁRNÍ,KOLOREK.DUODEN.TRACH.BRONCH.SX-</t>
  </si>
  <si>
    <t>0051244</t>
  </si>
  <si>
    <t>KATETR VODÍCÍ GUIDER</t>
  </si>
  <si>
    <t>0111638</t>
  </si>
  <si>
    <t>STENT PERIFERNÍ VASKUL. - ISTHMUS LOGIC CARBOSTENT</t>
  </si>
  <si>
    <t>0059796</t>
  </si>
  <si>
    <t>DRÁT VODÍCÍ ANGIODYN J3 SFC-FS 150-0,35</t>
  </si>
  <si>
    <t>0092131</t>
  </si>
  <si>
    <t>KATETR BALÓNKOVÝ PTA - RX MUSO</t>
  </si>
  <si>
    <t>0059986</t>
  </si>
  <si>
    <t>SYSTÉM BALÓN UZÁVĚROVÝ EQUINOX 104-4011..104-4470</t>
  </si>
  <si>
    <t>0049005</t>
  </si>
  <si>
    <t>KATETR TROMBEKTOMICKÝ - ROTAREX-ANTEGRADNÍ(KATETR,</t>
  </si>
  <si>
    <t>0034083</t>
  </si>
  <si>
    <t>JEHLA BIOPTICKÁ ASPIRAČNÍ PLICNÍ, FRANSEENOVA,ECHO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</si>
  <si>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</si>
  <si>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</si>
  <si>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</si>
  <si>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</si>
  <si>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</si>
  <si>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</si>
  <si>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</si>
  <si>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</si>
  <si>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</si>
  <si>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</si>
  <si>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</si>
  <si>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</si>
  <si>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89147</t>
  </si>
  <si>
    <t>RTG ŽALUDKU A DUODENA</t>
  </si>
  <si>
    <t>89323</t>
  </si>
  <si>
    <t>TERAPEUTICKÁ EMBOLIZACE V CÉVNÍM ŘEČIŠTI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</si>
  <si>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</si>
  <si>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</si>
  <si>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</si>
  <si>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</si>
  <si>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</si>
  <si>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</si>
  <si>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</si>
  <si>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</si>
  <si>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</si>
  <si>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</si>
  <si>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</si>
  <si>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</si>
  <si>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</si>
  <si>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</si>
  <si>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</si>
  <si>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</si>
  <si>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</si>
  <si>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</si>
  <si>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</si>
  <si>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</si>
  <si>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</si>
  <si>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</si>
  <si>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</si>
  <si>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</si>
  <si>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</si>
  <si>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</si>
  <si>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</si>
  <si>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</si>
  <si>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</si>
  <si>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</si>
  <si>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</si>
  <si>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</si>
  <si>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</si>
  <si>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</si>
  <si>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</si>
  <si>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</si>
  <si>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</si>
  <si>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</si>
  <si>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</si>
  <si>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</si>
  <si>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</si>
  <si>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</si>
  <si>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</si>
  <si>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</si>
  <si>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</si>
  <si>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</si>
  <si>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</si>
  <si>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</si>
  <si>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</si>
  <si>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</si>
  <si>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</si>
  <si>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</si>
  <si>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</si>
  <si>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</si>
  <si>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</si>
  <si>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</si>
  <si>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</si>
  <si>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</si>
  <si>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</si>
  <si>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</si>
  <si>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</si>
  <si>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</si>
  <si>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</si>
  <si>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</si>
  <si>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</si>
  <si>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</si>
  <si>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</si>
  <si>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</si>
  <si>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</si>
  <si>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</si>
  <si>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</si>
  <si>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</si>
  <si>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</si>
  <si>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</si>
  <si>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</si>
  <si>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</si>
  <si>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</si>
  <si>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</si>
  <si>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</si>
  <si>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</si>
  <si>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</si>
  <si>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</si>
  <si>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</si>
  <si>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</si>
  <si>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</si>
  <si>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</si>
  <si>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</si>
  <si>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</si>
  <si>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</si>
  <si>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</si>
  <si>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</si>
  <si>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</si>
  <si>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</si>
  <si>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</si>
  <si>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</si>
  <si>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</si>
  <si>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</si>
  <si>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</si>
  <si>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</si>
  <si>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</si>
  <si>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</si>
  <si>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</si>
  <si>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</si>
  <si>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</si>
  <si>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</si>
  <si>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</si>
  <si>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</si>
  <si>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</si>
  <si>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</si>
  <si>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</si>
  <si>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</si>
  <si>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</si>
  <si>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</si>
  <si>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</si>
  <si>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</si>
  <si>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</si>
  <si>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</si>
  <si>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</si>
  <si>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</si>
  <si>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</si>
  <si>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</si>
  <si>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</si>
  <si>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</si>
  <si>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</si>
  <si>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</si>
  <si>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</si>
  <si>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</si>
  <si>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</si>
  <si>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</si>
  <si>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</si>
  <si>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</si>
  <si>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</si>
  <si>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</si>
  <si>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</si>
  <si>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</si>
  <si>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</si>
  <si>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</si>
  <si>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</si>
  <si>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</si>
  <si>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</si>
  <si>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</si>
  <si>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</si>
  <si>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</si>
  <si>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</si>
  <si>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</si>
  <si>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</si>
  <si>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</si>
  <si>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</si>
  <si>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</si>
  <si>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</si>
  <si>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</si>
  <si>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</si>
  <si>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</si>
  <si>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</si>
  <si>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</si>
  <si>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</si>
  <si>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</si>
  <si>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</si>
  <si>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</si>
  <si>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</si>
  <si>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</si>
  <si>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</si>
  <si>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</si>
  <si>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</si>
  <si>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</si>
  <si>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</si>
  <si>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</si>
  <si>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</si>
  <si>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</si>
  <si>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</si>
  <si>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</si>
  <si>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</si>
  <si>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</si>
  <si>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</si>
  <si>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</si>
  <si>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</si>
  <si>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</si>
  <si>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</si>
  <si>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</si>
  <si>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</si>
  <si>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</si>
  <si>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</si>
  <si>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</si>
  <si>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</si>
  <si>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</si>
  <si>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</si>
  <si>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</si>
  <si>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</si>
  <si>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</si>
  <si>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</si>
  <si>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</si>
  <si>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91399</t>
  </si>
  <si>
    <t>CHARAKTERISTIKA ANTIGENŮ A PROTILÁTEK ELEKTROFORÉZ</t>
  </si>
  <si>
    <t>82083</t>
  </si>
  <si>
    <t>PRŮKAZ BAKTERIÁLNÍHO TOXINU BIOLOGICKÝM POKUSEM NA</t>
  </si>
  <si>
    <t>82123</t>
  </si>
  <si>
    <t>PRŮKAZ  BAKTERIÁLNÍHO, VIROVÉHO, PARAZITÁRNÍHO EV.</t>
  </si>
  <si>
    <t>41</t>
  </si>
  <si>
    <t>82241</t>
  </si>
  <si>
    <t>IN VITRO STIMULACE T LYMFOCYTŮ SPECIFICKÝMI ANTIGE</t>
  </si>
  <si>
    <t>86413</t>
  </si>
  <si>
    <t>SCREENING PROTILÁTEK NA PANELU 30TI DÁRCŮ</t>
  </si>
  <si>
    <t>91131</t>
  </si>
  <si>
    <t>STANOVENÍ IgA</t>
  </si>
  <si>
    <t>91161</t>
  </si>
  <si>
    <t>STANOVENÍ C4 SLOŽKY KOMPLEMENTU</t>
  </si>
  <si>
    <t>91439</t>
  </si>
  <si>
    <t>IMUNOFENOTYPIZACE BUNĚČNÝCH SUBPOPULACÍ DLE POVRCH</t>
  </si>
  <si>
    <t>91355</t>
  </si>
  <si>
    <t>STANOVENÍ CIK METODOU PEG-IKEM</t>
  </si>
  <si>
    <t>91189</t>
  </si>
  <si>
    <t>STANOVENÍ IgE</t>
  </si>
  <si>
    <t>91159</t>
  </si>
  <si>
    <t>STANOVENÍ C3 SLOŽKY KOMPLEMENTU</t>
  </si>
  <si>
    <t>22217</t>
  </si>
  <si>
    <t xml:space="preserve">SCREENINGOVÉ VYŠETŘENÍ TROMBOCYTÁRNÍCH PROTILÁTEK </t>
  </si>
  <si>
    <t>44</t>
  </si>
  <si>
    <t>816</t>
  </si>
  <si>
    <t>91431</t>
  </si>
  <si>
    <t>ZVLÁŠTĚ NÁROČNÉ IZOLACE BUNĚK GRADIENTOVOU CENTRIF</t>
  </si>
  <si>
    <t>94211</t>
  </si>
  <si>
    <t>DLOUHODOBÁ KULTIVACE BUNĚK RŮZNÝCH TKÁNÍ Z PRENATÁ</t>
  </si>
  <si>
    <t>94115</t>
  </si>
  <si>
    <t>IN SITU HYBRIDIZACE LIDSKÉ DNA SE ZNAČENOU SONDOU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</si>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</sst>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47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1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1" fontId="31" fillId="3" borderId="30" xfId="81" applyNumberFormat="1" applyFont="1" applyFill="1" applyBorder="1"/>
    <xf numFmtId="171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0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0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4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48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7" xfId="26" applyNumberFormat="1" applyFont="1" applyFill="1" applyBorder="1"/>
    <xf numFmtId="9" fontId="32" fillId="0" borderId="28" xfId="26" applyNumberFormat="1" applyFont="1" applyFill="1" applyBorder="1"/>
    <xf numFmtId="170" fontId="32" fillId="0" borderId="45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9" xfId="26" applyNumberFormat="1" applyFont="1" applyFill="1" applyBorder="1"/>
    <xf numFmtId="170" fontId="32" fillId="0" borderId="24" xfId="26" applyNumberFormat="1" applyFont="1" applyFill="1" applyBorder="1"/>
    <xf numFmtId="9" fontId="32" fillId="0" borderId="25" xfId="26" applyNumberFormat="1" applyFont="1" applyFill="1" applyBorder="1"/>
    <xf numFmtId="170" fontId="32" fillId="0" borderId="47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59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58" xfId="78" applyNumberFormat="1" applyFont="1" applyFill="1" applyBorder="1"/>
    <xf numFmtId="0" fontId="3" fillId="2" borderId="62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2" borderId="21" xfId="26" applyNumberFormat="1" applyFont="1" applyFill="1" applyBorder="1"/>
    <xf numFmtId="3" fontId="34" fillId="4" borderId="22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7" fontId="34" fillId="2" borderId="23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7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7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7" fontId="34" fillId="3" borderId="23" xfId="86" applyNumberFormat="1" applyFont="1" applyFill="1" applyBorder="1" applyAlignment="1">
      <alignment horizontal="right"/>
    </xf>
    <xf numFmtId="167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7" fontId="34" fillId="4" borderId="23" xfId="26" applyNumberFormat="1" applyFont="1" applyFill="1" applyBorder="1" applyAlignment="1">
      <alignment horizontal="center"/>
    </xf>
    <xf numFmtId="3" fontId="34" fillId="4" borderId="30" xfId="26" applyNumberFormat="1" applyFont="1" applyFill="1" applyBorder="1"/>
    <xf numFmtId="167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7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4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46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59" xfId="33" applyFont="1" applyFill="1" applyBorder="1" applyAlignment="1">
      <alignment horizontal="center" vertical="center"/>
    </xf>
    <xf numFmtId="9" fontId="3" fillId="0" borderId="63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0" xfId="0" applyFont="1" applyFill="1" applyBorder="1"/>
    <xf numFmtId="0" fontId="35" fillId="5" borderId="48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62" xfId="53" applyFont="1" applyFill="1" applyBorder="1" applyAlignment="1">
      <alignment horizontal="right"/>
    </xf>
    <xf numFmtId="164" fontId="34" fillId="0" borderId="67" xfId="53" applyNumberFormat="1" applyFont="1" applyFill="1" applyBorder="1"/>
    <xf numFmtId="164" fontId="34" fillId="0" borderId="68" xfId="53" applyNumberFormat="1" applyFont="1" applyFill="1" applyBorder="1"/>
    <xf numFmtId="9" fontId="34" fillId="0" borderId="69" xfId="83" applyNumberFormat="1" applyFont="1" applyFill="1" applyBorder="1"/>
    <xf numFmtId="3" fontId="34" fillId="0" borderId="69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48" xfId="26" applyFont="1" applyFill="1" applyBorder="1" applyAlignment="1">
      <alignment horizontal="right"/>
    </xf>
    <xf numFmtId="170" fontId="32" fillId="0" borderId="44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46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3" fontId="3" fillId="0" borderId="63" xfId="53" applyNumberFormat="1" applyFont="1" applyFill="1" applyBorder="1"/>
    <xf numFmtId="3" fontId="3" fillId="0" borderId="64" xfId="53" applyNumberFormat="1" applyFont="1" applyFill="1" applyBorder="1"/>
    <xf numFmtId="3" fontId="3" fillId="0" borderId="65" xfId="53" applyNumberFormat="1" applyFont="1" applyFill="1" applyBorder="1"/>
    <xf numFmtId="0" fontId="34" fillId="2" borderId="48" xfId="0" applyNumberFormat="1" applyFont="1" applyFill="1" applyBorder="1" applyAlignment="1">
      <alignment horizontal="center"/>
    </xf>
    <xf numFmtId="3" fontId="3" fillId="0" borderId="66" xfId="53" applyNumberFormat="1" applyFont="1" applyFill="1" applyBorder="1"/>
    <xf numFmtId="3" fontId="3" fillId="0" borderId="71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4" xfId="74" applyFont="1" applyFill="1" applyBorder="1" applyAlignment="1">
      <alignment horizontal="center"/>
    </xf>
    <xf numFmtId="0" fontId="30" fillId="5" borderId="40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3" fontId="32" fillId="7" borderId="73" xfId="26" applyNumberFormat="1" applyFont="1" applyFill="1" applyBorder="1"/>
    <xf numFmtId="3" fontId="32" fillId="7" borderId="56" xfId="26" applyNumberFormat="1" applyFont="1" applyFill="1" applyBorder="1"/>
    <xf numFmtId="167" fontId="34" fillId="7" borderId="61" xfId="86" applyNumberFormat="1" applyFont="1" applyFill="1" applyBorder="1" applyAlignment="1">
      <alignment horizontal="right"/>
    </xf>
    <xf numFmtId="3" fontId="32" fillId="7" borderId="74" xfId="26" applyNumberFormat="1" applyFont="1" applyFill="1" applyBorder="1"/>
    <xf numFmtId="167" fontId="34" fillId="7" borderId="61" xfId="86" applyNumberFormat="1" applyFont="1" applyFill="1" applyBorder="1"/>
    <xf numFmtId="3" fontId="32" fillId="0" borderId="73" xfId="26" applyNumberFormat="1" applyFont="1" applyFill="1" applyBorder="1" applyAlignment="1">
      <alignment horizontal="center"/>
    </xf>
    <xf numFmtId="3" fontId="32" fillId="0" borderId="61" xfId="26" applyNumberFormat="1" applyFont="1" applyFill="1" applyBorder="1" applyAlignment="1">
      <alignment horizontal="center"/>
    </xf>
    <xf numFmtId="3" fontId="32" fillId="7" borderId="73" xfId="26" applyNumberFormat="1" applyFont="1" applyFill="1" applyBorder="1" applyAlignment="1">
      <alignment horizontal="center"/>
    </xf>
    <xf numFmtId="3" fontId="32" fillId="7" borderId="61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48" xfId="0" applyFont="1" applyFill="1" applyBorder="1" applyAlignment="1"/>
    <xf numFmtId="0" fontId="35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7" xfId="53" applyNumberFormat="1" applyFont="1" applyFill="1" applyBorder="1" applyAlignment="1">
      <alignment horizontal="righ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7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1" xfId="0" applyNumberFormat="1" applyFont="1" applyFill="1" applyBorder="1"/>
    <xf numFmtId="3" fontId="42" fillId="2" borderId="53" xfId="0" applyNumberFormat="1" applyFont="1" applyFill="1" applyBorder="1"/>
    <xf numFmtId="9" fontId="42" fillId="2" borderId="58" xfId="0" applyNumberFormat="1" applyFont="1" applyFill="1" applyBorder="1"/>
    <xf numFmtId="0" fontId="53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55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0" xfId="0" applyFont="1" applyFill="1" applyBorder="1" applyAlignment="1">
      <alignment horizontal="left" indent="2"/>
    </xf>
    <xf numFmtId="0" fontId="35" fillId="0" borderId="40" xfId="0" applyFont="1" applyBorder="1" applyAlignment="1"/>
    <xf numFmtId="3" fontId="35" fillId="0" borderId="40" xfId="0" applyNumberFormat="1" applyFont="1" applyBorder="1" applyAlignment="1"/>
    <xf numFmtId="9" fontId="35" fillId="0" borderId="40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3" fillId="4" borderId="55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5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48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0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2" fillId="2" borderId="29" xfId="0" applyFont="1" applyFill="1" applyBorder="1" applyAlignment="1">
      <alignment horizontal="right"/>
    </xf>
    <xf numFmtId="16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69" fontId="42" fillId="0" borderId="31" xfId="0" applyNumberFormat="1" applyFont="1" applyFill="1" applyBorder="1" applyAlignment="1"/>
    <xf numFmtId="9" fontId="42" fillId="0" borderId="50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48" xfId="0" applyNumberFormat="1" applyFont="1" applyFill="1" applyBorder="1" applyAlignment="1"/>
    <xf numFmtId="9" fontId="35" fillId="0" borderId="48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0" xfId="26" applyFont="1" applyFill="1" applyBorder="1" applyAlignment="1">
      <alignment vertical="center"/>
    </xf>
    <xf numFmtId="168" fontId="3" fillId="0" borderId="40" xfId="26" applyNumberFormat="1" applyFont="1" applyFill="1" applyBorder="1" applyAlignment="1">
      <alignment vertical="center"/>
    </xf>
    <xf numFmtId="166" fontId="3" fillId="0" borderId="40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75" xfId="0" applyNumberFormat="1" applyFont="1" applyFill="1" applyBorder="1"/>
    <xf numFmtId="3" fontId="59" fillId="9" borderId="76" xfId="0" applyNumberFormat="1" applyFont="1" applyFill="1" applyBorder="1"/>
    <xf numFmtId="3" fontId="59" fillId="9" borderId="75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42" fillId="2" borderId="80" xfId="0" applyFont="1" applyFill="1" applyBorder="1" applyAlignment="1">
      <alignment horizontal="center" vertical="center"/>
    </xf>
    <xf numFmtId="0" fontId="61" fillId="2" borderId="83" xfId="0" applyFont="1" applyFill="1" applyBorder="1" applyAlignment="1">
      <alignment horizontal="center" vertical="center" wrapText="1"/>
    </xf>
    <xf numFmtId="0" fontId="42" fillId="2" borderId="85" xfId="0" applyFont="1" applyFill="1" applyBorder="1" applyAlignment="1"/>
    <xf numFmtId="0" fontId="42" fillId="2" borderId="87" xfId="0" applyFont="1" applyFill="1" applyBorder="1" applyAlignment="1">
      <alignment horizontal="left" indent="1"/>
    </xf>
    <xf numFmtId="0" fontId="42" fillId="2" borderId="93" xfId="0" applyFont="1" applyFill="1" applyBorder="1" applyAlignment="1">
      <alignment horizontal="left" indent="1"/>
    </xf>
    <xf numFmtId="0" fontId="42" fillId="4" borderId="85" xfId="0" applyFont="1" applyFill="1" applyBorder="1" applyAlignment="1"/>
    <xf numFmtId="0" fontId="42" fillId="4" borderId="87" xfId="0" applyFont="1" applyFill="1" applyBorder="1" applyAlignment="1">
      <alignment horizontal="left" indent="1"/>
    </xf>
    <xf numFmtId="0" fontId="42" fillId="4" borderId="98" xfId="0" applyFont="1" applyFill="1" applyBorder="1" applyAlignment="1">
      <alignment horizontal="left" indent="1"/>
    </xf>
    <xf numFmtId="0" fontId="35" fillId="2" borderId="87" xfId="0" quotePrefix="1" applyFont="1" applyFill="1" applyBorder="1" applyAlignment="1">
      <alignment horizontal="left" indent="2"/>
    </xf>
    <xf numFmtId="0" fontId="35" fillId="2" borderId="93" xfId="0" quotePrefix="1" applyFont="1" applyFill="1" applyBorder="1" applyAlignment="1">
      <alignment horizontal="left" indent="2"/>
    </xf>
    <xf numFmtId="0" fontId="42" fillId="2" borderId="85" xfId="0" applyFont="1" applyFill="1" applyBorder="1" applyAlignment="1">
      <alignment horizontal="left" indent="1"/>
    </xf>
    <xf numFmtId="0" fontId="42" fillId="2" borderId="98" xfId="0" applyFont="1" applyFill="1" applyBorder="1" applyAlignment="1">
      <alignment horizontal="left" indent="1"/>
    </xf>
    <xf numFmtId="0" fontId="42" fillId="4" borderId="93" xfId="0" applyFont="1" applyFill="1" applyBorder="1" applyAlignment="1">
      <alignment horizontal="left" indent="1"/>
    </xf>
    <xf numFmtId="0" fontId="35" fillId="0" borderId="103" xfId="0" applyFont="1" applyBorder="1"/>
    <xf numFmtId="3" fontId="35" fillId="0" borderId="103" xfId="0" applyNumberFormat="1" applyFont="1" applyBorder="1"/>
    <xf numFmtId="0" fontId="42" fillId="4" borderId="77" xfId="0" applyFont="1" applyFill="1" applyBorder="1" applyAlignment="1">
      <alignment horizontal="center" vertical="center"/>
    </xf>
    <xf numFmtId="0" fontId="42" fillId="4" borderId="59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02" xfId="0" applyNumberFormat="1" applyFont="1" applyFill="1" applyBorder="1" applyAlignment="1">
      <alignment horizontal="center" vertical="center"/>
    </xf>
    <xf numFmtId="3" fontId="61" fillId="2" borderId="100" xfId="0" applyNumberFormat="1" applyFont="1" applyFill="1" applyBorder="1" applyAlignment="1">
      <alignment horizontal="center" vertical="center" wrapText="1"/>
    </xf>
    <xf numFmtId="173" fontId="42" fillId="4" borderId="86" xfId="0" applyNumberFormat="1" applyFont="1" applyFill="1" applyBorder="1" applyAlignment="1"/>
    <xf numFmtId="173" fontId="42" fillId="4" borderId="80" xfId="0" applyNumberFormat="1" applyFont="1" applyFill="1" applyBorder="1" applyAlignment="1"/>
    <xf numFmtId="173" fontId="42" fillId="0" borderId="88" xfId="0" applyNumberFormat="1" applyFont="1" applyBorder="1"/>
    <xf numFmtId="173" fontId="35" fillId="0" borderId="90" xfId="0" applyNumberFormat="1" applyFont="1" applyBorder="1"/>
    <xf numFmtId="173" fontId="42" fillId="0" borderId="99" xfId="0" applyNumberFormat="1" applyFont="1" applyBorder="1"/>
    <xf numFmtId="173" fontId="35" fillId="0" borderId="83" xfId="0" applyNumberFormat="1" applyFont="1" applyBorder="1"/>
    <xf numFmtId="173" fontId="42" fillId="2" borderId="101" xfId="0" applyNumberFormat="1" applyFont="1" applyFill="1" applyBorder="1" applyAlignment="1"/>
    <xf numFmtId="173" fontId="42" fillId="2" borderId="80" xfId="0" applyNumberFormat="1" applyFont="1" applyFill="1" applyBorder="1" applyAlignment="1"/>
    <xf numFmtId="173" fontId="42" fillId="0" borderId="94" xfId="0" applyNumberFormat="1" applyFont="1" applyBorder="1"/>
    <xf numFmtId="173" fontId="35" fillId="0" borderId="96" xfId="0" applyNumberFormat="1" applyFont="1" applyBorder="1"/>
    <xf numFmtId="174" fontId="42" fillId="2" borderId="86" xfId="0" applyNumberFormat="1" applyFont="1" applyFill="1" applyBorder="1" applyAlignment="1"/>
    <xf numFmtId="174" fontId="35" fillId="2" borderId="80" xfId="0" applyNumberFormat="1" applyFont="1" applyFill="1" applyBorder="1" applyAlignment="1"/>
    <xf numFmtId="174" fontId="42" fillId="0" borderId="88" xfId="0" applyNumberFormat="1" applyFont="1" applyBorder="1"/>
    <xf numFmtId="174" fontId="35" fillId="0" borderId="90" xfId="0" applyNumberFormat="1" applyFont="1" applyBorder="1"/>
    <xf numFmtId="174" fontId="42" fillId="0" borderId="94" xfId="0" applyNumberFormat="1" applyFont="1" applyBorder="1"/>
    <xf numFmtId="174" fontId="35" fillId="0" borderId="96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86" xfId="0" applyNumberFormat="1" applyFont="1" applyFill="1" applyBorder="1" applyAlignment="1">
      <alignment horizontal="center"/>
    </xf>
    <xf numFmtId="175" fontId="42" fillId="0" borderId="94" xfId="0" applyNumberFormat="1" applyFont="1" applyBorder="1"/>
    <xf numFmtId="0" fontId="34" fillId="2" borderId="107" xfId="74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82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84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67" xfId="53" applyNumberFormat="1" applyFont="1" applyFill="1" applyBorder="1"/>
    <xf numFmtId="3" fontId="34" fillId="0" borderId="68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5" fillId="0" borderId="30" xfId="0" applyNumberFormat="1" applyFont="1" applyFill="1" applyBorder="1"/>
    <xf numFmtId="9" fontId="35" fillId="0" borderId="23" xfId="0" applyNumberFormat="1" applyFont="1" applyFill="1" applyBorder="1"/>
    <xf numFmtId="9" fontId="35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5" fillId="5" borderId="91" xfId="0" applyFont="1" applyFill="1" applyBorder="1"/>
    <xf numFmtId="0" fontId="35" fillId="0" borderId="92" xfId="0" applyFont="1" applyBorder="1" applyAlignment="1"/>
    <xf numFmtId="9" fontId="35" fillId="0" borderId="90" xfId="0" applyNumberFormat="1" applyFont="1" applyBorder="1" applyAlignment="1"/>
    <xf numFmtId="0" fontId="28" fillId="2" borderId="37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9" fontId="35" fillId="0" borderId="90" xfId="0" applyNumberFormat="1" applyFont="1" applyBorder="1"/>
    <xf numFmtId="49" fontId="40" fillId="2" borderId="90" xfId="0" quotePrefix="1" applyNumberFormat="1" applyFont="1" applyFill="1" applyBorder="1" applyAlignment="1">
      <alignment horizontal="center" vertical="center"/>
    </xf>
    <xf numFmtId="0" fontId="34" fillId="10" borderId="1" xfId="26" applyNumberFormat="1" applyFont="1" applyFill="1" applyBorder="1" applyAlignment="1">
      <alignment horizontal="center"/>
    </xf>
    <xf numFmtId="0" fontId="34" fillId="10" borderId="2" xfId="26" applyNumberFormat="1" applyFont="1" applyFill="1" applyBorder="1" applyAlignment="1">
      <alignment horizontal="center"/>
    </xf>
    <xf numFmtId="167" fontId="34" fillId="10" borderId="3" xfId="26" applyNumberFormat="1" applyFont="1" applyFill="1" applyBorder="1" applyAlignment="1">
      <alignment horizontal="center"/>
    </xf>
    <xf numFmtId="3" fontId="34" fillId="10" borderId="22" xfId="26" applyNumberFormat="1" applyFont="1" applyFill="1" applyBorder="1"/>
    <xf numFmtId="3" fontId="34" fillId="10" borderId="30" xfId="26" applyNumberFormat="1" applyFont="1" applyFill="1" applyBorder="1"/>
    <xf numFmtId="167" fontId="34" fillId="10" borderId="23" xfId="86" applyNumberFormat="1" applyFont="1" applyFill="1" applyBorder="1" applyAlignment="1">
      <alignment horizontal="right"/>
    </xf>
    <xf numFmtId="3" fontId="34" fillId="10" borderId="31" xfId="26" applyNumberFormat="1" applyFont="1" applyFill="1" applyBorder="1"/>
    <xf numFmtId="167" fontId="34" fillId="10" borderId="23" xfId="86" applyNumberFormat="1" applyFont="1" applyFill="1" applyBorder="1"/>
    <xf numFmtId="3" fontId="34" fillId="10" borderId="22" xfId="26" applyNumberFormat="1" applyFont="1" applyFill="1" applyBorder="1" applyAlignment="1">
      <alignment horizontal="center"/>
    </xf>
    <xf numFmtId="3" fontId="34" fillId="10" borderId="23" xfId="26" applyNumberFormat="1" applyFont="1" applyFill="1" applyBorder="1" applyAlignment="1">
      <alignment horizontal="center"/>
    </xf>
    <xf numFmtId="167" fontId="34" fillId="10" borderId="23" xfId="26" applyNumberFormat="1" applyFont="1" applyFill="1" applyBorder="1" applyAlignment="1">
      <alignment horizontal="center"/>
    </xf>
    <xf numFmtId="0" fontId="34" fillId="2" borderId="2" xfId="26" quotePrefix="1" applyNumberFormat="1" applyFont="1" applyFill="1" applyBorder="1" applyAlignment="1">
      <alignment horizontal="center"/>
    </xf>
    <xf numFmtId="167" fontId="34" fillId="2" borderId="3" xfId="26" quotePrefix="1" applyNumberFormat="1" applyFont="1" applyFill="1" applyBorder="1" applyAlignment="1">
      <alignment horizontal="center"/>
    </xf>
    <xf numFmtId="167" fontId="34" fillId="2" borderId="50" xfId="26" applyNumberFormat="1" applyFont="1" applyFill="1" applyBorder="1"/>
    <xf numFmtId="167" fontId="34" fillId="3" borderId="50" xfId="26" applyNumberFormat="1" applyFont="1" applyFill="1" applyBorder="1"/>
    <xf numFmtId="167" fontId="34" fillId="4" borderId="50" xfId="26" applyNumberFormat="1" applyFont="1" applyFill="1" applyBorder="1"/>
    <xf numFmtId="167" fontId="34" fillId="10" borderId="50" xfId="26" applyNumberFormat="1" applyFont="1" applyFill="1" applyBorder="1"/>
    <xf numFmtId="167" fontId="32" fillId="7" borderId="17" xfId="26" applyNumberFormat="1" applyFont="1" applyFill="1" applyBorder="1"/>
    <xf numFmtId="167" fontId="32" fillId="7" borderId="104" xfId="26" applyNumberFormat="1" applyFont="1" applyFill="1" applyBorder="1"/>
    <xf numFmtId="167" fontId="32" fillId="7" borderId="111" xfId="26" applyNumberFormat="1" applyFont="1" applyFill="1" applyBorder="1"/>
    <xf numFmtId="0" fontId="28" fillId="4" borderId="8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2"/>
    </xf>
    <xf numFmtId="0" fontId="35" fillId="0" borderId="89" xfId="0" applyFont="1" applyBorder="1"/>
    <xf numFmtId="0" fontId="34" fillId="2" borderId="42" xfId="81" applyFont="1" applyFill="1" applyBorder="1" applyAlignment="1">
      <alignment horizontal="center"/>
    </xf>
    <xf numFmtId="0" fontId="34" fillId="2" borderId="43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0" fillId="0" borderId="0" xfId="0" applyBorder="1"/>
    <xf numFmtId="0" fontId="34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34" fillId="7" borderId="55" xfId="26" applyNumberFormat="1" applyFont="1" applyFill="1" applyBorder="1"/>
    <xf numFmtId="3" fontId="34" fillId="7" borderId="87" xfId="26" applyNumberFormat="1" applyFont="1" applyFill="1" applyBorder="1"/>
    <xf numFmtId="3" fontId="34" fillId="7" borderId="34" xfId="26" applyNumberFormat="1" applyFont="1" applyFill="1" applyBorder="1"/>
    <xf numFmtId="3" fontId="34" fillId="10" borderId="21" xfId="26" applyNumberFormat="1" applyFont="1" applyFill="1" applyBorder="1"/>
    <xf numFmtId="3" fontId="34" fillId="4" borderId="21" xfId="26" applyNumberFormat="1" applyFont="1" applyFill="1" applyBorder="1"/>
    <xf numFmtId="3" fontId="34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173" fontId="35" fillId="0" borderId="113" xfId="0" applyNumberFormat="1" applyFont="1" applyBorder="1"/>
    <xf numFmtId="173" fontId="35" fillId="0" borderId="30" xfId="0" applyNumberFormat="1" applyFont="1" applyBorder="1"/>
    <xf numFmtId="3" fontId="35" fillId="0" borderId="0" xfId="0" applyNumberFormat="1" applyFont="1" applyBorder="1"/>
    <xf numFmtId="173" fontId="35" fillId="0" borderId="89" xfId="0" applyNumberFormat="1" applyFont="1" applyBorder="1" applyAlignment="1"/>
    <xf numFmtId="173" fontId="35" fillId="0" borderId="90" xfId="0" applyNumberFormat="1" applyFont="1" applyBorder="1" applyAlignment="1"/>
    <xf numFmtId="173" fontId="35" fillId="0" borderId="91" xfId="0" applyNumberFormat="1" applyFont="1" applyBorder="1" applyAlignment="1"/>
    <xf numFmtId="175" fontId="35" fillId="0" borderId="89" xfId="0" applyNumberFormat="1" applyFont="1" applyBorder="1" applyAlignment="1"/>
    <xf numFmtId="175" fontId="35" fillId="0" borderId="90" xfId="0" applyNumberFormat="1" applyFont="1" applyBorder="1" applyAlignment="1"/>
    <xf numFmtId="175" fontId="35" fillId="0" borderId="91" xfId="0" applyNumberFormat="1" applyFont="1" applyBorder="1" applyAlignment="1"/>
    <xf numFmtId="173" fontId="35" fillId="0" borderId="82" xfId="0" applyNumberFormat="1" applyFont="1" applyBorder="1" applyAlignment="1"/>
    <xf numFmtId="173" fontId="35" fillId="0" borderId="83" xfId="0" applyNumberFormat="1" applyFont="1" applyBorder="1" applyAlignment="1"/>
    <xf numFmtId="173" fontId="35" fillId="0" borderId="84" xfId="0" applyNumberFormat="1" applyFont="1" applyBorder="1" applyAlignment="1"/>
    <xf numFmtId="173" fontId="42" fillId="4" borderId="27" xfId="0" applyNumberFormat="1" applyFont="1" applyFill="1" applyBorder="1" applyAlignment="1">
      <alignment horizontal="center"/>
    </xf>
    <xf numFmtId="173" fontId="42" fillId="4" borderId="32" xfId="0" applyNumberFormat="1" applyFont="1" applyFill="1" applyBorder="1" applyAlignment="1">
      <alignment horizontal="center"/>
    </xf>
    <xf numFmtId="173" fontId="42" fillId="4" borderId="28" xfId="0" applyNumberFormat="1" applyFont="1" applyFill="1" applyBorder="1" applyAlignment="1">
      <alignment horizontal="center"/>
    </xf>
    <xf numFmtId="173" fontId="35" fillId="0" borderId="21" xfId="0" applyNumberFormat="1" applyFont="1" applyBorder="1"/>
    <xf numFmtId="173" fontId="35" fillId="0" borderId="114" xfId="0" applyNumberFormat="1" applyFont="1" applyBorder="1"/>
    <xf numFmtId="9" fontId="35" fillId="0" borderId="87" xfId="0" applyNumberFormat="1" applyFont="1" applyBorder="1"/>
    <xf numFmtId="173" fontId="35" fillId="0" borderId="98" xfId="0" applyNumberFormat="1" applyFont="1" applyBorder="1"/>
    <xf numFmtId="0" fontId="0" fillId="0" borderId="2" xfId="0" applyBorder="1" applyAlignment="1"/>
    <xf numFmtId="0" fontId="42" fillId="3" borderId="29" xfId="0" applyFont="1" applyFill="1" applyBorder="1" applyAlignment="1"/>
    <xf numFmtId="0" fontId="35" fillId="0" borderId="41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46" xfId="81" applyFont="1" applyFill="1" applyBorder="1" applyAlignment="1">
      <alignment horizontal="center"/>
    </xf>
    <xf numFmtId="0" fontId="34" fillId="2" borderId="47" xfId="81" applyFont="1" applyFill="1" applyBorder="1" applyAlignment="1">
      <alignment horizontal="center"/>
    </xf>
    <xf numFmtId="0" fontId="34" fillId="2" borderId="44" xfId="81" applyFont="1" applyFill="1" applyBorder="1" applyAlignment="1">
      <alignment horizontal="center"/>
    </xf>
    <xf numFmtId="0" fontId="34" fillId="2" borderId="72" xfId="81" applyFont="1" applyFill="1" applyBorder="1" applyAlignment="1">
      <alignment horizontal="center"/>
    </xf>
    <xf numFmtId="0" fontId="34" fillId="2" borderId="45" xfId="81" applyFont="1" applyFill="1" applyBorder="1" applyAlignment="1">
      <alignment horizontal="center"/>
    </xf>
    <xf numFmtId="0" fontId="34" fillId="2" borderId="107" xfId="81" applyFont="1" applyFill="1" applyBorder="1" applyAlignment="1">
      <alignment horizontal="center"/>
    </xf>
    <xf numFmtId="0" fontId="34" fillId="2" borderId="8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4" fillId="2" borderId="105" xfId="81" applyFont="1" applyFill="1" applyBorder="1" applyAlignment="1">
      <alignment horizontal="center"/>
    </xf>
    <xf numFmtId="0" fontId="34" fillId="2" borderId="106" xfId="81" applyFont="1" applyFill="1" applyBorder="1" applyAlignment="1">
      <alignment horizontal="center"/>
    </xf>
    <xf numFmtId="0" fontId="34" fillId="2" borderId="9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7" xfId="53" applyNumberFormat="1" applyFont="1" applyFill="1" applyBorder="1" applyAlignment="1">
      <alignment horizontal="right"/>
    </xf>
    <xf numFmtId="164" fontId="32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0" xfId="78" applyNumberFormat="1" applyFont="1" applyFill="1" applyBorder="1" applyAlignment="1">
      <alignment horizontal="left"/>
    </xf>
    <xf numFmtId="0" fontId="35" fillId="2" borderId="52" xfId="0" applyFont="1" applyFill="1" applyBorder="1" applyAlignment="1"/>
    <xf numFmtId="3" fontId="31" fillId="2" borderId="54" xfId="78" applyNumberFormat="1" applyFont="1" applyFill="1" applyBorder="1" applyAlignment="1"/>
    <xf numFmtId="0" fontId="42" fillId="2" borderId="60" xfId="0" applyFont="1" applyFill="1" applyBorder="1" applyAlignment="1">
      <alignment horizontal="left"/>
    </xf>
    <xf numFmtId="0" fontId="35" fillId="2" borderId="48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42" fillId="2" borderId="54" xfId="0" applyFont="1" applyFill="1" applyBorder="1" applyAlignment="1">
      <alignment horizontal="left"/>
    </xf>
    <xf numFmtId="3" fontId="42" fillId="2" borderId="54" xfId="0" applyNumberFormat="1" applyFont="1" applyFill="1" applyBorder="1" applyAlignment="1">
      <alignment horizontal="left"/>
    </xf>
    <xf numFmtId="3" fontId="35" fillId="2" borderId="49" xfId="0" applyNumberFormat="1" applyFont="1" applyFill="1" applyBorder="1" applyAlignment="1">
      <alignment horizontal="left"/>
    </xf>
    <xf numFmtId="9" fontId="3" fillId="2" borderId="11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9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166" fontId="42" fillId="2" borderId="78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>
      <alignment horizontal="left"/>
    </xf>
    <xf numFmtId="0" fontId="2" fillId="0" borderId="2" xfId="26" applyFont="1" applyFill="1" applyBorder="1" applyAlignment="1"/>
    <xf numFmtId="0" fontId="56" fillId="0" borderId="2" xfId="26" applyFont="1" applyFill="1" applyBorder="1" applyAlignment="1"/>
    <xf numFmtId="0" fontId="42" fillId="2" borderId="58" xfId="0" applyFont="1" applyFill="1" applyBorder="1" applyAlignment="1">
      <alignment vertical="center"/>
    </xf>
    <xf numFmtId="3" fontId="34" fillId="2" borderId="60" xfId="26" applyNumberFormat="1" applyFont="1" applyFill="1" applyBorder="1" applyAlignment="1">
      <alignment horizontal="center"/>
    </xf>
    <xf numFmtId="3" fontId="34" fillId="2" borderId="48" xfId="26" applyNumberFormat="1" applyFont="1" applyFill="1" applyBorder="1" applyAlignment="1">
      <alignment horizontal="center"/>
    </xf>
    <xf numFmtId="3" fontId="34" fillId="2" borderId="103" xfId="26" applyNumberFormat="1" applyFont="1" applyFill="1" applyBorder="1" applyAlignment="1">
      <alignment horizontal="center"/>
    </xf>
    <xf numFmtId="3" fontId="34" fillId="2" borderId="49" xfId="26" applyNumberFormat="1" applyFont="1" applyFill="1" applyBorder="1" applyAlignment="1">
      <alignment horizontal="center"/>
    </xf>
    <xf numFmtId="0" fontId="34" fillId="2" borderId="33" xfId="0" applyFont="1" applyFill="1" applyBorder="1" applyAlignment="1">
      <alignment horizontal="center" vertical="top" wrapText="1"/>
    </xf>
    <xf numFmtId="3" fontId="34" fillId="2" borderId="49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0" xfId="0" quotePrefix="1" applyNumberFormat="1" applyFont="1" applyFill="1" applyBorder="1" applyAlignment="1">
      <alignment horizontal="center"/>
    </xf>
    <xf numFmtId="0" fontId="34" fillId="2" borderId="49" xfId="0" applyNumberFormat="1" applyFont="1" applyFill="1" applyBorder="1" applyAlignment="1">
      <alignment horizontal="center"/>
    </xf>
    <xf numFmtId="49" fontId="34" fillId="2" borderId="33" xfId="0" applyNumberFormat="1" applyFont="1" applyFill="1" applyBorder="1" applyAlignment="1">
      <alignment horizontal="center" vertical="top"/>
    </xf>
    <xf numFmtId="0" fontId="46" fillId="2" borderId="49" xfId="0" applyNumberFormat="1" applyFont="1" applyFill="1" applyBorder="1" applyAlignment="1">
      <alignment horizontal="center" vertical="top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167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3" fontId="34" fillId="2" borderId="77" xfId="26" applyNumberFormat="1" applyFont="1" applyFill="1" applyBorder="1" applyAlignment="1">
      <alignment horizontal="center" vertical="center"/>
    </xf>
    <xf numFmtId="3" fontId="34" fillId="2" borderId="59" xfId="26" applyNumberFormat="1" applyFont="1" applyFill="1" applyBorder="1" applyAlignment="1">
      <alignment horizontal="center" vertical="center"/>
    </xf>
    <xf numFmtId="3" fontId="34" fillId="0" borderId="48" xfId="26" applyNumberFormat="1" applyFont="1" applyFill="1" applyBorder="1" applyAlignment="1">
      <alignment horizontal="right" vertical="top"/>
    </xf>
    <xf numFmtId="3" fontId="34" fillId="0" borderId="103" xfId="26" applyNumberFormat="1" applyFont="1" applyFill="1" applyBorder="1" applyAlignment="1">
      <alignment horizontal="right" vertical="top"/>
    </xf>
    <xf numFmtId="3" fontId="34" fillId="3" borderId="77" xfId="26" applyNumberFormat="1" applyFont="1" applyFill="1" applyBorder="1" applyAlignment="1">
      <alignment horizontal="center" vertical="center" wrapText="1"/>
    </xf>
    <xf numFmtId="3" fontId="34" fillId="3" borderId="59" xfId="26" applyNumberFormat="1" applyFont="1" applyFill="1" applyBorder="1" applyAlignment="1">
      <alignment horizontal="center" vertical="center" wrapText="1"/>
    </xf>
    <xf numFmtId="3" fontId="34" fillId="3" borderId="60" xfId="26" applyNumberFormat="1" applyFont="1" applyFill="1" applyBorder="1" applyAlignment="1">
      <alignment horizontal="center"/>
    </xf>
    <xf numFmtId="3" fontId="34" fillId="3" borderId="48" xfId="26" applyNumberFormat="1" applyFont="1" applyFill="1" applyBorder="1" applyAlignment="1">
      <alignment horizontal="center"/>
    </xf>
    <xf numFmtId="3" fontId="34" fillId="3" borderId="103" xfId="26" applyNumberFormat="1" applyFont="1" applyFill="1" applyBorder="1" applyAlignment="1">
      <alignment horizontal="center"/>
    </xf>
    <xf numFmtId="3" fontId="34" fillId="3" borderId="49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center"/>
    </xf>
    <xf numFmtId="0" fontId="35" fillId="0" borderId="48" xfId="0" applyFont="1" applyFill="1" applyBorder="1" applyAlignment="1">
      <alignment horizontal="right" vertical="top"/>
    </xf>
    <xf numFmtId="0" fontId="35" fillId="0" borderId="103" xfId="0" applyFont="1" applyFill="1" applyBorder="1" applyAlignment="1">
      <alignment horizontal="right" vertical="top"/>
    </xf>
    <xf numFmtId="3" fontId="34" fillId="10" borderId="77" xfId="26" applyNumberFormat="1" applyFont="1" applyFill="1" applyBorder="1" applyAlignment="1">
      <alignment horizontal="center" vertical="center" wrapText="1"/>
    </xf>
    <xf numFmtId="3" fontId="34" fillId="10" borderId="59" xfId="26" applyNumberFormat="1" applyFont="1" applyFill="1" applyBorder="1" applyAlignment="1">
      <alignment horizontal="center" vertical="center" wrapText="1"/>
    </xf>
    <xf numFmtId="3" fontId="34" fillId="10" borderId="60" xfId="26" applyNumberFormat="1" applyFont="1" applyFill="1" applyBorder="1" applyAlignment="1">
      <alignment horizontal="center"/>
    </xf>
    <xf numFmtId="3" fontId="34" fillId="10" borderId="48" xfId="26" applyNumberFormat="1" applyFont="1" applyFill="1" applyBorder="1" applyAlignment="1">
      <alignment horizontal="center"/>
    </xf>
    <xf numFmtId="3" fontId="34" fillId="10" borderId="103" xfId="26" applyNumberFormat="1" applyFont="1" applyFill="1" applyBorder="1" applyAlignment="1">
      <alignment horizontal="center"/>
    </xf>
    <xf numFmtId="3" fontId="34" fillId="10" borderId="49" xfId="26" applyNumberFormat="1" applyFont="1" applyFill="1" applyBorder="1" applyAlignment="1">
      <alignment horizontal="center"/>
    </xf>
    <xf numFmtId="3" fontId="34" fillId="4" borderId="77" xfId="26" applyNumberFormat="1" applyFont="1" applyFill="1" applyBorder="1" applyAlignment="1">
      <alignment horizontal="center" vertical="center" wrapText="1"/>
    </xf>
    <xf numFmtId="3" fontId="34" fillId="4" borderId="59" xfId="26" applyNumberFormat="1" applyFont="1" applyFill="1" applyBorder="1" applyAlignment="1">
      <alignment horizontal="center" vertical="center" wrapText="1"/>
    </xf>
    <xf numFmtId="3" fontId="34" fillId="4" borderId="60" xfId="26" applyNumberFormat="1" applyFont="1" applyFill="1" applyBorder="1" applyAlignment="1">
      <alignment horizontal="center"/>
    </xf>
    <xf numFmtId="3" fontId="34" fillId="4" borderId="48" xfId="26" applyNumberFormat="1" applyFont="1" applyFill="1" applyBorder="1" applyAlignment="1">
      <alignment horizontal="center"/>
    </xf>
    <xf numFmtId="3" fontId="34" fillId="4" borderId="103" xfId="26" applyNumberFormat="1" applyFont="1" applyFill="1" applyBorder="1" applyAlignment="1">
      <alignment horizontal="center"/>
    </xf>
    <xf numFmtId="3" fontId="34" fillId="4" borderId="49" xfId="26" applyNumberFormat="1" applyFont="1" applyFill="1" applyBorder="1" applyAlignment="1">
      <alignment horizontal="center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" fillId="2" borderId="60" xfId="27" applyNumberFormat="1" applyFont="1" applyFill="1" applyBorder="1" applyAlignment="1">
      <alignment horizontal="center"/>
    </xf>
    <xf numFmtId="0" fontId="35" fillId="2" borderId="48" xfId="14" applyFont="1" applyFill="1" applyBorder="1" applyAlignment="1">
      <alignment horizontal="center"/>
    </xf>
    <xf numFmtId="0" fontId="35" fillId="2" borderId="49" xfId="14" applyFont="1" applyFill="1" applyBorder="1" applyAlignment="1">
      <alignment horizontal="center"/>
    </xf>
    <xf numFmtId="3" fontId="3" fillId="2" borderId="60" xfId="24" applyNumberFormat="1" applyFont="1" applyFill="1" applyBorder="1" applyAlignment="1">
      <alignment horizontal="center"/>
    </xf>
    <xf numFmtId="0" fontId="4" fillId="2" borderId="48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0" xfId="26" applyNumberFormat="1" applyFont="1" applyFill="1" applyBorder="1" applyAlignment="1">
      <alignment horizontal="center"/>
    </xf>
    <xf numFmtId="3" fontId="3" fillId="2" borderId="49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0" xfId="26" quotePrefix="1" applyNumberFormat="1" applyFont="1" applyFill="1" applyBorder="1" applyAlignment="1">
      <alignment horizontal="center" vertical="top"/>
    </xf>
    <xf numFmtId="0" fontId="3" fillId="2" borderId="48" xfId="26" applyNumberFormat="1" applyFont="1" applyFill="1" applyBorder="1" applyAlignment="1">
      <alignment horizontal="center" vertical="top"/>
    </xf>
    <xf numFmtId="0" fontId="3" fillId="2" borderId="49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1" xfId="76" applyNumberFormat="1" applyFont="1" applyFill="1" applyBorder="1" applyAlignment="1">
      <alignment horizontal="center" vertical="center"/>
    </xf>
    <xf numFmtId="3" fontId="34" fillId="2" borderId="53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0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1" borderId="116" xfId="0" applyNumberFormat="1" applyFont="1" applyFill="1" applyBorder="1" applyAlignment="1">
      <alignment horizontal="right" vertical="top"/>
    </xf>
    <xf numFmtId="3" fontId="36" fillId="11" borderId="117" xfId="0" applyNumberFormat="1" applyFont="1" applyFill="1" applyBorder="1" applyAlignment="1">
      <alignment horizontal="right" vertical="top"/>
    </xf>
    <xf numFmtId="176" fontId="36" fillId="11" borderId="118" xfId="0" applyNumberFormat="1" applyFont="1" applyFill="1" applyBorder="1" applyAlignment="1">
      <alignment horizontal="right" vertical="top"/>
    </xf>
    <xf numFmtId="3" fontId="36" fillId="0" borderId="116" xfId="0" applyNumberFormat="1" applyFont="1" applyBorder="1" applyAlignment="1">
      <alignment horizontal="right" vertical="top"/>
    </xf>
    <xf numFmtId="176" fontId="36" fillId="11" borderId="119" xfId="0" applyNumberFormat="1" applyFont="1" applyFill="1" applyBorder="1" applyAlignment="1">
      <alignment horizontal="right" vertical="top"/>
    </xf>
    <xf numFmtId="3" fontId="38" fillId="11" borderId="121" xfId="0" applyNumberFormat="1" applyFont="1" applyFill="1" applyBorder="1" applyAlignment="1">
      <alignment horizontal="right" vertical="top"/>
    </xf>
    <xf numFmtId="3" fontId="38" fillId="11" borderId="122" xfId="0" applyNumberFormat="1" applyFont="1" applyFill="1" applyBorder="1" applyAlignment="1">
      <alignment horizontal="right" vertical="top"/>
    </xf>
    <xf numFmtId="0" fontId="38" fillId="11" borderId="123" xfId="0" applyFont="1" applyFill="1" applyBorder="1" applyAlignment="1">
      <alignment horizontal="right" vertical="top"/>
    </xf>
    <xf numFmtId="3" fontId="38" fillId="0" borderId="121" xfId="0" applyNumberFormat="1" applyFont="1" applyBorder="1" applyAlignment="1">
      <alignment horizontal="right" vertical="top"/>
    </xf>
    <xf numFmtId="0" fontId="38" fillId="11" borderId="124" xfId="0" applyFont="1" applyFill="1" applyBorder="1" applyAlignment="1">
      <alignment horizontal="right" vertical="top"/>
    </xf>
    <xf numFmtId="0" fontId="36" fillId="11" borderId="118" xfId="0" applyFont="1" applyFill="1" applyBorder="1" applyAlignment="1">
      <alignment horizontal="right" vertical="top"/>
    </xf>
    <xf numFmtId="0" fontId="36" fillId="11" borderId="119" xfId="0" applyFont="1" applyFill="1" applyBorder="1" applyAlignment="1">
      <alignment horizontal="right" vertical="top"/>
    </xf>
    <xf numFmtId="176" fontId="38" fillId="11" borderId="123" xfId="0" applyNumberFormat="1" applyFont="1" applyFill="1" applyBorder="1" applyAlignment="1">
      <alignment horizontal="right" vertical="top"/>
    </xf>
    <xf numFmtId="176" fontId="38" fillId="11" borderId="124" xfId="0" applyNumberFormat="1" applyFont="1" applyFill="1" applyBorder="1" applyAlignment="1">
      <alignment horizontal="right" vertical="top"/>
    </xf>
    <xf numFmtId="3" fontId="38" fillId="0" borderId="125" xfId="0" applyNumberFormat="1" applyFont="1" applyBorder="1" applyAlignment="1">
      <alignment horizontal="right" vertical="top"/>
    </xf>
    <xf numFmtId="3" fontId="38" fillId="0" borderId="126" xfId="0" applyNumberFormat="1" applyFont="1" applyBorder="1" applyAlignment="1">
      <alignment horizontal="right" vertical="top"/>
    </xf>
    <xf numFmtId="0" fontId="38" fillId="0" borderId="127" xfId="0" applyFont="1" applyBorder="1" applyAlignment="1">
      <alignment horizontal="right" vertical="top"/>
    </xf>
    <xf numFmtId="176" fontId="38" fillId="11" borderId="128" xfId="0" applyNumberFormat="1" applyFont="1" applyFill="1" applyBorder="1" applyAlignment="1">
      <alignment horizontal="right" vertical="top"/>
    </xf>
    <xf numFmtId="0" fontId="40" fillId="12" borderId="115" xfId="0" applyFont="1" applyFill="1" applyBorder="1" applyAlignment="1">
      <alignment vertical="top"/>
    </xf>
    <xf numFmtId="0" fontId="40" fillId="12" borderId="115" xfId="0" applyFont="1" applyFill="1" applyBorder="1" applyAlignment="1">
      <alignment vertical="top" indent="2"/>
    </xf>
    <xf numFmtId="0" fontId="40" fillId="12" borderId="115" xfId="0" applyFont="1" applyFill="1" applyBorder="1" applyAlignment="1">
      <alignment vertical="top" indent="4"/>
    </xf>
    <xf numFmtId="0" fontId="41" fillId="12" borderId="120" xfId="0" applyFont="1" applyFill="1" applyBorder="1" applyAlignment="1">
      <alignment vertical="top" indent="6"/>
    </xf>
    <xf numFmtId="0" fontId="40" fillId="12" borderId="115" xfId="0" applyFont="1" applyFill="1" applyBorder="1" applyAlignment="1">
      <alignment vertical="top" indent="8"/>
    </xf>
    <xf numFmtId="0" fontId="41" fillId="12" borderId="120" xfId="0" applyFont="1" applyFill="1" applyBorder="1" applyAlignment="1">
      <alignment vertical="top" indent="2"/>
    </xf>
    <xf numFmtId="0" fontId="40" fillId="12" borderId="115" xfId="0" applyFont="1" applyFill="1" applyBorder="1" applyAlignment="1">
      <alignment vertical="top" indent="6"/>
    </xf>
    <xf numFmtId="0" fontId="41" fillId="12" borderId="120" xfId="0" applyFont="1" applyFill="1" applyBorder="1" applyAlignment="1">
      <alignment vertical="top" indent="4"/>
    </xf>
    <xf numFmtId="0" fontId="41" fillId="12" borderId="120" xfId="0" applyFont="1" applyFill="1" applyBorder="1" applyAlignment="1">
      <alignment vertical="top"/>
    </xf>
    <xf numFmtId="0" fontId="35" fillId="12" borderId="115" xfId="0" applyFont="1" applyFill="1" applyBorder="1"/>
    <xf numFmtId="0" fontId="41" fillId="12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29" xfId="53" applyNumberFormat="1" applyFont="1" applyFill="1" applyBorder="1" applyAlignment="1">
      <alignment horizontal="left"/>
    </xf>
    <xf numFmtId="164" fontId="34" fillId="2" borderId="130" xfId="53" applyNumberFormat="1" applyFont="1" applyFill="1" applyBorder="1" applyAlignment="1">
      <alignment horizontal="left"/>
    </xf>
    <xf numFmtId="164" fontId="34" fillId="2" borderId="56" xfId="53" applyNumberFormat="1" applyFont="1" applyFill="1" applyBorder="1" applyAlignment="1">
      <alignment horizontal="left"/>
    </xf>
    <xf numFmtId="3" fontId="34" fillId="2" borderId="56" xfId="53" applyNumberFormat="1" applyFont="1" applyFill="1" applyBorder="1" applyAlignment="1">
      <alignment horizontal="left"/>
    </xf>
    <xf numFmtId="3" fontId="34" fillId="2" borderId="61" xfId="53" applyNumberFormat="1" applyFont="1" applyFill="1" applyBorder="1" applyAlignment="1">
      <alignment horizontal="left"/>
    </xf>
    <xf numFmtId="3" fontId="35" fillId="0" borderId="130" xfId="0" applyNumberFormat="1" applyFont="1" applyFill="1" applyBorder="1"/>
    <xf numFmtId="3" fontId="35" fillId="0" borderId="131" xfId="0" applyNumberFormat="1" applyFont="1" applyFill="1" applyBorder="1"/>
    <xf numFmtId="0" fontId="35" fillId="0" borderId="79" xfId="0" applyFont="1" applyFill="1" applyBorder="1"/>
    <xf numFmtId="0" fontId="35" fillId="0" borderId="80" xfId="0" applyFont="1" applyFill="1" applyBorder="1"/>
    <xf numFmtId="164" fontId="35" fillId="0" borderId="80" xfId="0" applyNumberFormat="1" applyFont="1" applyFill="1" applyBorder="1"/>
    <xf numFmtId="164" fontId="35" fillId="0" borderId="80" xfId="0" applyNumberFormat="1" applyFont="1" applyFill="1" applyBorder="1" applyAlignment="1">
      <alignment horizontal="right"/>
    </xf>
    <xf numFmtId="3" fontId="35" fillId="0" borderId="80" xfId="0" applyNumberFormat="1" applyFont="1" applyFill="1" applyBorder="1"/>
    <xf numFmtId="3" fontId="35" fillId="0" borderId="81" xfId="0" applyNumberFormat="1" applyFont="1" applyFill="1" applyBorder="1"/>
    <xf numFmtId="0" fontId="35" fillId="0" borderId="89" xfId="0" applyFont="1" applyFill="1" applyBorder="1"/>
    <xf numFmtId="0" fontId="35" fillId="0" borderId="90" xfId="0" applyFont="1" applyFill="1" applyBorder="1"/>
    <xf numFmtId="164" fontId="35" fillId="0" borderId="90" xfId="0" applyNumberFormat="1" applyFont="1" applyFill="1" applyBorder="1"/>
    <xf numFmtId="164" fontId="35" fillId="0" borderId="90" xfId="0" applyNumberFormat="1" applyFont="1" applyFill="1" applyBorder="1" applyAlignment="1">
      <alignment horizontal="right"/>
    </xf>
    <xf numFmtId="3" fontId="35" fillId="0" borderId="90" xfId="0" applyNumberFormat="1" applyFont="1" applyFill="1" applyBorder="1"/>
    <xf numFmtId="3" fontId="35" fillId="0" borderId="91" xfId="0" applyNumberFormat="1" applyFont="1" applyFill="1" applyBorder="1"/>
    <xf numFmtId="0" fontId="35" fillId="0" borderId="82" xfId="0" applyFont="1" applyFill="1" applyBorder="1"/>
    <xf numFmtId="0" fontId="35" fillId="0" borderId="83" xfId="0" applyFont="1" applyFill="1" applyBorder="1"/>
    <xf numFmtId="164" fontId="35" fillId="0" borderId="83" xfId="0" applyNumberFormat="1" applyFont="1" applyFill="1" applyBorder="1"/>
    <xf numFmtId="164" fontId="35" fillId="0" borderId="83" xfId="0" applyNumberFormat="1" applyFont="1" applyFill="1" applyBorder="1" applyAlignment="1">
      <alignment horizontal="right"/>
    </xf>
    <xf numFmtId="3" fontId="35" fillId="0" borderId="83" xfId="0" applyNumberFormat="1" applyFont="1" applyFill="1" applyBorder="1"/>
    <xf numFmtId="3" fontId="35" fillId="0" borderId="84" xfId="0" applyNumberFormat="1" applyFont="1" applyFill="1" applyBorder="1"/>
    <xf numFmtId="0" fontId="42" fillId="2" borderId="129" xfId="0" applyFont="1" applyFill="1" applyBorder="1"/>
    <xf numFmtId="3" fontId="42" fillId="2" borderId="111" xfId="0" applyNumberFormat="1" applyFont="1" applyFill="1" applyBorder="1"/>
    <xf numFmtId="9" fontId="42" fillId="2" borderId="74" xfId="0" applyNumberFormat="1" applyFont="1" applyFill="1" applyBorder="1"/>
    <xf numFmtId="3" fontId="42" fillId="2" borderId="61" xfId="0" applyNumberFormat="1" applyFont="1" applyFill="1" applyBorder="1"/>
    <xf numFmtId="9" fontId="35" fillId="0" borderId="130" xfId="0" applyNumberFormat="1" applyFont="1" applyFill="1" applyBorder="1"/>
    <xf numFmtId="9" fontId="35" fillId="0" borderId="80" xfId="0" applyNumberFormat="1" applyFont="1" applyFill="1" applyBorder="1"/>
    <xf numFmtId="9" fontId="35" fillId="0" borderId="83" xfId="0" applyNumberFormat="1" applyFont="1" applyFill="1" applyBorder="1"/>
    <xf numFmtId="0" fontId="42" fillId="12" borderId="22" xfId="0" applyFont="1" applyFill="1" applyBorder="1"/>
    <xf numFmtId="3" fontId="42" fillId="12" borderId="30" xfId="0" applyNumberFormat="1" applyFont="1" applyFill="1" applyBorder="1"/>
    <xf numFmtId="9" fontId="42" fillId="12" borderId="30" xfId="0" applyNumberFormat="1" applyFont="1" applyFill="1" applyBorder="1"/>
    <xf numFmtId="3" fontId="42" fillId="12" borderId="23" xfId="0" applyNumberFormat="1" applyFont="1" applyFill="1" applyBorder="1"/>
    <xf numFmtId="0" fontId="42" fillId="0" borderId="129" xfId="0" applyFont="1" applyFill="1" applyBorder="1"/>
    <xf numFmtId="0" fontId="35" fillId="5" borderId="12" xfId="0" applyFont="1" applyFill="1" applyBorder="1" applyAlignment="1">
      <alignment wrapText="1"/>
    </xf>
    <xf numFmtId="9" fontId="35" fillId="0" borderId="90" xfId="0" applyNumberFormat="1" applyFont="1" applyFill="1" applyBorder="1"/>
    <xf numFmtId="3" fontId="35" fillId="0" borderId="96" xfId="0" applyNumberFormat="1" applyFont="1" applyFill="1" applyBorder="1"/>
    <xf numFmtId="9" fontId="35" fillId="0" borderId="96" xfId="0" applyNumberFormat="1" applyFont="1" applyFill="1" applyBorder="1"/>
    <xf numFmtId="3" fontId="35" fillId="0" borderId="97" xfId="0" applyNumberFormat="1" applyFont="1" applyFill="1" applyBorder="1"/>
    <xf numFmtId="0" fontId="42" fillId="0" borderId="79" xfId="0" applyFont="1" applyFill="1" applyBorder="1"/>
    <xf numFmtId="0" fontId="42" fillId="0" borderId="89" xfId="0" applyFont="1" applyFill="1" applyBorder="1"/>
    <xf numFmtId="0" fontId="42" fillId="0" borderId="112" xfId="0" applyFont="1" applyFill="1" applyBorder="1"/>
    <xf numFmtId="0" fontId="42" fillId="2" borderId="130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29" xfId="79" applyFont="1" applyFill="1" applyBorder="1" applyAlignment="1">
      <alignment horizontal="left"/>
    </xf>
    <xf numFmtId="3" fontId="3" fillId="2" borderId="96" xfId="80" applyNumberFormat="1" applyFont="1" applyFill="1" applyBorder="1"/>
    <xf numFmtId="3" fontId="3" fillId="2" borderId="97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5" fillId="0" borderId="81" xfId="0" applyNumberFormat="1" applyFont="1" applyFill="1" applyBorder="1"/>
    <xf numFmtId="9" fontId="35" fillId="0" borderId="84" xfId="0" applyNumberFormat="1" applyFont="1" applyFill="1" applyBorder="1"/>
    <xf numFmtId="0" fontId="42" fillId="0" borderId="107" xfId="0" applyFont="1" applyFill="1" applyBorder="1"/>
    <xf numFmtId="0" fontId="42" fillId="0" borderId="106" xfId="0" applyFont="1" applyFill="1" applyBorder="1" applyAlignment="1">
      <alignment horizontal="left" indent="1"/>
    </xf>
    <xf numFmtId="9" fontId="35" fillId="0" borderId="102" xfId="0" applyNumberFormat="1" applyFont="1" applyFill="1" applyBorder="1"/>
    <xf numFmtId="9" fontId="35" fillId="0" borderId="100" xfId="0" applyNumberFormat="1" applyFont="1" applyFill="1" applyBorder="1"/>
    <xf numFmtId="3" fontId="35" fillId="0" borderId="79" xfId="0" applyNumberFormat="1" applyFont="1" applyFill="1" applyBorder="1"/>
    <xf numFmtId="3" fontId="35" fillId="0" borderId="82" xfId="0" applyNumberFormat="1" applyFont="1" applyFill="1" applyBorder="1"/>
    <xf numFmtId="9" fontId="35" fillId="0" borderId="134" xfId="0" applyNumberFormat="1" applyFont="1" applyFill="1" applyBorder="1"/>
    <xf numFmtId="9" fontId="35" fillId="0" borderId="135" xfId="0" applyNumberFormat="1" applyFont="1" applyFill="1" applyBorder="1"/>
    <xf numFmtId="0" fontId="35" fillId="2" borderId="61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0" fontId="34" fillId="2" borderId="19" xfId="26" applyNumberFormat="1" applyFont="1" applyFill="1" applyBorder="1" applyAlignment="1">
      <alignment horizontal="right"/>
    </xf>
    <xf numFmtId="169" fontId="35" fillId="0" borderId="80" xfId="0" applyNumberFormat="1" applyFont="1" applyFill="1" applyBorder="1"/>
    <xf numFmtId="169" fontId="35" fillId="0" borderId="83" xfId="0" applyNumberFormat="1" applyFont="1" applyFill="1" applyBorder="1"/>
    <xf numFmtId="0" fontId="42" fillId="0" borderId="82" xfId="0" applyFont="1" applyFill="1" applyBorder="1"/>
    <xf numFmtId="0" fontId="34" fillId="2" borderId="34" xfId="0" applyFont="1" applyFill="1" applyBorder="1" applyAlignment="1">
      <alignment horizontal="center" vertical="top"/>
    </xf>
    <xf numFmtId="0" fontId="35" fillId="2" borderId="34" xfId="0" applyFont="1" applyFill="1" applyBorder="1" applyAlignment="1">
      <alignment horizontal="center" vertical="top" wrapText="1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3" fontId="12" fillId="0" borderId="133" xfId="0" applyNumberFormat="1" applyFont="1" applyBorder="1" applyAlignment="1">
      <alignment horizontal="right"/>
    </xf>
    <xf numFmtId="166" fontId="12" fillId="0" borderId="133" xfId="0" applyNumberFormat="1" applyFont="1" applyBorder="1" applyAlignment="1">
      <alignment horizontal="right"/>
    </xf>
    <xf numFmtId="166" fontId="12" fillId="0" borderId="94" xfId="0" applyNumberFormat="1" applyFont="1" applyBorder="1" applyAlignment="1">
      <alignment horizontal="right"/>
    </xf>
    <xf numFmtId="3" fontId="5" fillId="0" borderId="133" xfId="0" applyNumberFormat="1" applyFont="1" applyBorder="1" applyAlignment="1">
      <alignment horizontal="right"/>
    </xf>
    <xf numFmtId="166" fontId="5" fillId="0" borderId="133" xfId="0" applyNumberFormat="1" applyFont="1" applyBorder="1" applyAlignment="1">
      <alignment horizontal="right"/>
    </xf>
    <xf numFmtId="166" fontId="5" fillId="0" borderId="94" xfId="0" applyNumberFormat="1" applyFont="1" applyBorder="1" applyAlignment="1">
      <alignment horizontal="right"/>
    </xf>
    <xf numFmtId="177" fontId="5" fillId="0" borderId="133" xfId="0" applyNumberFormat="1" applyFont="1" applyBorder="1" applyAlignment="1">
      <alignment horizontal="right"/>
    </xf>
    <xf numFmtId="4" fontId="5" fillId="0" borderId="133" xfId="0" applyNumberFormat="1" applyFont="1" applyBorder="1" applyAlignment="1">
      <alignment horizontal="right"/>
    </xf>
    <xf numFmtId="3" fontId="5" fillId="0" borderId="133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12" fillId="0" borderId="19" xfId="0" applyNumberFormat="1" applyFont="1" applyBorder="1" applyAlignment="1">
      <alignment horizontal="right"/>
    </xf>
    <xf numFmtId="3" fontId="12" fillId="0" borderId="133" xfId="0" applyNumberFormat="1" applyFont="1" applyBorder="1"/>
    <xf numFmtId="166" fontId="12" fillId="0" borderId="133" xfId="0" applyNumberFormat="1" applyFont="1" applyBorder="1"/>
    <xf numFmtId="166" fontId="12" fillId="0" borderId="94" xfId="0" applyNumberFormat="1" applyFont="1" applyBorder="1"/>
    <xf numFmtId="166" fontId="12" fillId="0" borderId="19" xfId="0" applyNumberFormat="1" applyFont="1" applyBorder="1"/>
    <xf numFmtId="3" fontId="35" fillId="0" borderId="133" xfId="0" applyNumberFormat="1" applyFont="1" applyBorder="1"/>
    <xf numFmtId="166" fontId="35" fillId="0" borderId="133" xfId="0" applyNumberFormat="1" applyFont="1" applyBorder="1"/>
    <xf numFmtId="166" fontId="35" fillId="0" borderId="94" xfId="0" applyNumberFormat="1" applyFont="1" applyBorder="1"/>
    <xf numFmtId="0" fontId="5" fillId="0" borderId="133" xfId="0" applyFont="1" applyBorder="1"/>
    <xf numFmtId="3" fontId="35" fillId="0" borderId="133" xfId="0" applyNumberFormat="1" applyFont="1" applyBorder="1" applyAlignment="1">
      <alignment horizontal="right"/>
    </xf>
    <xf numFmtId="166" fontId="35" fillId="0" borderId="19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93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77" xfId="0" applyNumberFormat="1" applyFont="1" applyBorder="1" applyAlignment="1">
      <alignment horizontal="center"/>
    </xf>
    <xf numFmtId="166" fontId="35" fillId="0" borderId="103" xfId="0" applyNumberFormat="1" applyFont="1" applyBorder="1"/>
    <xf numFmtId="166" fontId="35" fillId="0" borderId="78" xfId="0" applyNumberFormat="1" applyFont="1" applyBorder="1"/>
    <xf numFmtId="3" fontId="12" fillId="0" borderId="103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166" fontId="12" fillId="0" borderId="78" xfId="0" applyNumberFormat="1" applyFont="1" applyBorder="1" applyAlignment="1">
      <alignment horizontal="right"/>
    </xf>
    <xf numFmtId="3" fontId="5" fillId="0" borderId="103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166" fontId="5" fillId="0" borderId="78" xfId="0" applyNumberFormat="1" applyFont="1" applyBorder="1" applyAlignment="1">
      <alignment horizontal="right"/>
    </xf>
    <xf numFmtId="177" fontId="5" fillId="0" borderId="103" xfId="0" applyNumberFormat="1" applyFont="1" applyBorder="1" applyAlignment="1">
      <alignment horizontal="right"/>
    </xf>
    <xf numFmtId="4" fontId="5" fillId="0" borderId="103" xfId="0" applyNumberFormat="1" applyFont="1" applyBorder="1" applyAlignment="1">
      <alignment horizontal="right"/>
    </xf>
    <xf numFmtId="0" fontId="5" fillId="0" borderId="103" xfId="0" applyFont="1" applyBorder="1"/>
    <xf numFmtId="3" fontId="5" fillId="0" borderId="103" xfId="0" applyNumberFormat="1" applyFont="1" applyBorder="1"/>
    <xf numFmtId="49" fontId="3" fillId="0" borderId="59" xfId="0" applyNumberFormat="1" applyFont="1" applyBorder="1" applyAlignment="1">
      <alignment horizontal="center"/>
    </xf>
    <xf numFmtId="3" fontId="35" fillId="0" borderId="2" xfId="0" applyNumberFormat="1" applyFont="1" applyBorder="1"/>
    <xf numFmtId="166" fontId="35" fillId="0" borderId="2" xfId="0" applyNumberFormat="1" applyFont="1" applyBorder="1"/>
    <xf numFmtId="166" fontId="35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166" fontId="12" fillId="0" borderId="2" xfId="0" applyNumberFormat="1" applyFont="1" applyBorder="1" applyAlignment="1">
      <alignment horizontal="right"/>
    </xf>
    <xf numFmtId="166" fontId="11" fillId="0" borderId="3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78" xfId="0" applyNumberFormat="1" applyFont="1" applyBorder="1"/>
    <xf numFmtId="3" fontId="5" fillId="0" borderId="94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93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5" fillId="0" borderId="133" xfId="0" applyNumberFormat="1" applyFont="1" applyBorder="1"/>
    <xf numFmtId="9" fontId="35" fillId="0" borderId="0" xfId="0" applyNumberFormat="1" applyFont="1" applyBorder="1"/>
    <xf numFmtId="3" fontId="35" fillId="0" borderId="132" xfId="0" applyNumberFormat="1" applyFont="1" applyBorder="1"/>
    <xf numFmtId="3" fontId="35" fillId="0" borderId="18" xfId="0" applyNumberFormat="1" applyFont="1" applyBorder="1"/>
    <xf numFmtId="3" fontId="35" fillId="0" borderId="108" xfId="0" applyNumberFormat="1" applyFont="1" applyBorder="1"/>
    <xf numFmtId="9" fontId="35" fillId="0" borderId="103" xfId="0" applyNumberFormat="1" applyFont="1" applyBorder="1"/>
    <xf numFmtId="3" fontId="11" fillId="0" borderId="77" xfId="0" applyNumberFormat="1" applyFont="1" applyBorder="1" applyAlignment="1">
      <alignment horizontal="center"/>
    </xf>
    <xf numFmtId="3" fontId="35" fillId="0" borderId="1" xfId="0" applyNumberFormat="1" applyFont="1" applyBorder="1"/>
    <xf numFmtId="9" fontId="35" fillId="0" borderId="2" xfId="0" applyNumberFormat="1" applyFont="1" applyBorder="1"/>
    <xf numFmtId="3" fontId="11" fillId="0" borderId="59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169" fontId="35" fillId="0" borderId="90" xfId="0" applyNumberFormat="1" applyFont="1" applyFill="1" applyBorder="1"/>
    <xf numFmtId="9" fontId="35" fillId="0" borderId="91" xfId="0" applyNumberFormat="1" applyFont="1" applyFill="1" applyBorder="1"/>
    <xf numFmtId="3" fontId="34" fillId="2" borderId="73" xfId="76" applyNumberFormat="1" applyFont="1" applyFill="1" applyBorder="1" applyAlignment="1">
      <alignment horizontal="center" vertical="center"/>
    </xf>
    <xf numFmtId="3" fontId="34" fillId="2" borderId="56" xfId="76" applyNumberFormat="1" applyFont="1" applyFill="1" applyBorder="1" applyAlignment="1">
      <alignment horizontal="center" vertical="center"/>
    </xf>
    <xf numFmtId="0" fontId="32" fillId="0" borderId="79" xfId="76" applyFont="1" applyFill="1" applyBorder="1"/>
    <xf numFmtId="0" fontId="32" fillId="0" borderId="89" xfId="76" applyFont="1" applyFill="1" applyBorder="1"/>
    <xf numFmtId="0" fontId="32" fillId="0" borderId="82" xfId="76" applyFont="1" applyFill="1" applyBorder="1"/>
    <xf numFmtId="0" fontId="32" fillId="0" borderId="134" xfId="76" applyFont="1" applyFill="1" applyBorder="1"/>
    <xf numFmtId="0" fontId="32" fillId="0" borderId="104" xfId="76" applyFont="1" applyFill="1" applyBorder="1"/>
    <xf numFmtId="0" fontId="32" fillId="0" borderId="135" xfId="76" applyFont="1" applyFill="1" applyBorder="1"/>
    <xf numFmtId="0" fontId="34" fillId="2" borderId="96" xfId="76" applyNumberFormat="1" applyFont="1" applyFill="1" applyBorder="1" applyAlignment="1">
      <alignment horizontal="left"/>
    </xf>
    <xf numFmtId="0" fontId="34" fillId="2" borderId="136" xfId="76" applyNumberFormat="1" applyFont="1" applyFill="1" applyBorder="1" applyAlignment="1">
      <alignment horizontal="left"/>
    </xf>
    <xf numFmtId="3" fontId="32" fillId="0" borderId="79" xfId="76" applyNumberFormat="1" applyFont="1" applyFill="1" applyBorder="1"/>
    <xf numFmtId="3" fontId="32" fillId="0" borderId="80" xfId="76" applyNumberFormat="1" applyFont="1" applyFill="1" applyBorder="1"/>
    <xf numFmtId="3" fontId="32" fillId="0" borderId="89" xfId="76" applyNumberFormat="1" applyFont="1" applyFill="1" applyBorder="1"/>
    <xf numFmtId="3" fontId="32" fillId="0" borderId="90" xfId="76" applyNumberFormat="1" applyFont="1" applyFill="1" applyBorder="1"/>
    <xf numFmtId="3" fontId="32" fillId="0" borderId="82" xfId="76" applyNumberFormat="1" applyFont="1" applyFill="1" applyBorder="1"/>
    <xf numFmtId="3" fontId="32" fillId="0" borderId="83" xfId="76" applyNumberFormat="1" applyFont="1" applyFill="1" applyBorder="1"/>
    <xf numFmtId="9" fontId="32" fillId="0" borderId="134" xfId="76" applyNumberFormat="1" applyFont="1" applyFill="1" applyBorder="1"/>
    <xf numFmtId="9" fontId="32" fillId="0" borderId="104" xfId="76" applyNumberFormat="1" applyFont="1" applyFill="1" applyBorder="1"/>
    <xf numFmtId="9" fontId="32" fillId="0" borderId="135" xfId="76" applyNumberFormat="1" applyFont="1" applyFill="1" applyBorder="1"/>
    <xf numFmtId="0" fontId="34" fillId="2" borderId="95" xfId="76" applyNumberFormat="1" applyFont="1" applyFill="1" applyBorder="1" applyAlignment="1">
      <alignment horizontal="left"/>
    </xf>
    <xf numFmtId="0" fontId="34" fillId="2" borderId="97" xfId="76" applyNumberFormat="1" applyFont="1" applyFill="1" applyBorder="1" applyAlignment="1">
      <alignment horizontal="left"/>
    </xf>
    <xf numFmtId="3" fontId="32" fillId="0" borderId="81" xfId="76" applyNumberFormat="1" applyFont="1" applyFill="1" applyBorder="1"/>
    <xf numFmtId="3" fontId="32" fillId="0" borderId="91" xfId="76" applyNumberFormat="1" applyFont="1" applyFill="1" applyBorder="1"/>
    <xf numFmtId="3" fontId="32" fillId="0" borderId="84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0.10915317801177141</c:v>
                </c:pt>
                <c:pt idx="1">
                  <c:v>0.13430368277813926</c:v>
                </c:pt>
                <c:pt idx="2">
                  <c:v>0.20348249793457474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975472"/>
        <c:axId val="6822467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0.28614709485719059</c:v>
                </c:pt>
                <c:pt idx="1">
                  <c:v>0.28614709485719059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21952"/>
        <c:axId val="68219776"/>
      </c:scatterChart>
      <c:catAx>
        <c:axId val="107797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8224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2246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77975472"/>
        <c:crosses val="autoZero"/>
        <c:crossBetween val="between"/>
      </c:valAx>
      <c:valAx>
        <c:axId val="682219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68219776"/>
        <c:crosses val="max"/>
        <c:crossBetween val="midCat"/>
      </c:valAx>
      <c:valAx>
        <c:axId val="682197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6822195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0.72602739726027399</c:v>
                </c:pt>
                <c:pt idx="1">
                  <c:v>0.72727272727272729</c:v>
                </c:pt>
                <c:pt idx="2">
                  <c:v>0.56382978723404253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225760"/>
        <c:axId val="6822902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26304"/>
        <c:axId val="68229568"/>
      </c:scatterChart>
      <c:catAx>
        <c:axId val="6822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8229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2290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68225760"/>
        <c:crosses val="autoZero"/>
        <c:crossBetween val="between"/>
      </c:valAx>
      <c:valAx>
        <c:axId val="6822630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68229568"/>
        <c:crosses val="max"/>
        <c:crossBetween val="midCat"/>
      </c:valAx>
      <c:valAx>
        <c:axId val="6822956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6822630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1" bestFit="1" customWidth="1"/>
    <col min="2" max="2" width="102.21875" style="231" bestFit="1" customWidth="1"/>
    <col min="3" max="3" width="16.109375" style="51" hidden="1" customWidth="1"/>
    <col min="4" max="16384" width="8.88671875" style="231"/>
  </cols>
  <sheetData>
    <row r="1" spans="1:3" ht="18.600000000000001" customHeight="1" thickBot="1" x14ac:dyDescent="0.4">
      <c r="A1" s="494" t="s">
        <v>119</v>
      </c>
      <c r="B1" s="494"/>
    </row>
    <row r="2" spans="1:3" ht="14.4" customHeight="1" thickBot="1" x14ac:dyDescent="0.35">
      <c r="A2" s="351" t="s">
        <v>288</v>
      </c>
      <c r="B2" s="50"/>
    </row>
    <row r="3" spans="1:3" ht="14.4" customHeight="1" thickBot="1" x14ac:dyDescent="0.35">
      <c r="A3" s="490" t="s">
        <v>163</v>
      </c>
      <c r="B3" s="491"/>
    </row>
    <row r="4" spans="1:3" ht="14.4" customHeight="1" x14ac:dyDescent="0.3">
      <c r="A4" s="246" t="str">
        <f t="shared" ref="A4:A8" si="0">HYPERLINK("#'"&amp;C4&amp;"'!A1",C4)</f>
        <v>Motivace</v>
      </c>
      <c r="B4" s="163" t="s">
        <v>136</v>
      </c>
      <c r="C4" s="51" t="s">
        <v>137</v>
      </c>
    </row>
    <row r="5" spans="1:3" ht="14.4" customHeight="1" x14ac:dyDescent="0.3">
      <c r="A5" s="247" t="str">
        <f t="shared" si="0"/>
        <v>HI</v>
      </c>
      <c r="B5" s="164" t="s">
        <v>157</v>
      </c>
      <c r="C5" s="51" t="s">
        <v>123</v>
      </c>
    </row>
    <row r="6" spans="1:3" ht="14.4" customHeight="1" x14ac:dyDescent="0.3">
      <c r="A6" s="248" t="str">
        <f t="shared" si="0"/>
        <v>HI Graf</v>
      </c>
      <c r="B6" s="165" t="s">
        <v>115</v>
      </c>
      <c r="C6" s="51" t="s">
        <v>124</v>
      </c>
    </row>
    <row r="7" spans="1:3" ht="14.4" customHeight="1" x14ac:dyDescent="0.3">
      <c r="A7" s="248" t="str">
        <f t="shared" si="0"/>
        <v>Man Tab</v>
      </c>
      <c r="B7" s="165" t="s">
        <v>290</v>
      </c>
      <c r="C7" s="51" t="s">
        <v>125</v>
      </c>
    </row>
    <row r="8" spans="1:3" ht="14.4" customHeight="1" thickBot="1" x14ac:dyDescent="0.35">
      <c r="A8" s="249" t="str">
        <f t="shared" si="0"/>
        <v>HV</v>
      </c>
      <c r="B8" s="166" t="s">
        <v>48</v>
      </c>
      <c r="C8" s="51" t="s">
        <v>53</v>
      </c>
    </row>
    <row r="9" spans="1:3" ht="14.4" customHeight="1" thickBot="1" x14ac:dyDescent="0.35">
      <c r="A9" s="167"/>
      <c r="B9" s="167"/>
    </row>
    <row r="10" spans="1:3" ht="14.4" customHeight="1" thickBot="1" x14ac:dyDescent="0.35">
      <c r="A10" s="492" t="s">
        <v>120</v>
      </c>
      <c r="B10" s="491"/>
    </row>
    <row r="11" spans="1:3" ht="14.4" customHeight="1" x14ac:dyDescent="0.3">
      <c r="A11" s="250" t="str">
        <f t="shared" ref="A11" si="1">HYPERLINK("#'"&amp;C11&amp;"'!A1",C11)</f>
        <v>Léky Žádanky</v>
      </c>
      <c r="B11" s="164" t="s">
        <v>158</v>
      </c>
      <c r="C11" s="51" t="s">
        <v>126</v>
      </c>
    </row>
    <row r="12" spans="1:3" ht="14.4" customHeight="1" x14ac:dyDescent="0.3">
      <c r="A12" s="248" t="str">
        <f t="shared" ref="A12:A18" si="2">HYPERLINK("#'"&amp;C12&amp;"'!A1",C12)</f>
        <v>LŽ Detail</v>
      </c>
      <c r="B12" s="165" t="s">
        <v>180</v>
      </c>
      <c r="C12" s="51" t="s">
        <v>127</v>
      </c>
    </row>
    <row r="13" spans="1:3" ht="28.8" customHeight="1" x14ac:dyDescent="0.3">
      <c r="A13" s="248" t="str">
        <f t="shared" si="2"/>
        <v>LŽ PL</v>
      </c>
      <c r="B13" s="696" t="s">
        <v>181</v>
      </c>
      <c r="C13" s="51" t="s">
        <v>167</v>
      </c>
    </row>
    <row r="14" spans="1:3" ht="14.4" customHeight="1" x14ac:dyDescent="0.3">
      <c r="A14" s="248" t="str">
        <f t="shared" si="2"/>
        <v>LŽ PL Detail</v>
      </c>
      <c r="B14" s="165" t="s">
        <v>1620</v>
      </c>
      <c r="C14" s="51" t="s">
        <v>168</v>
      </c>
    </row>
    <row r="15" spans="1:3" ht="14.4" customHeight="1" x14ac:dyDescent="0.3">
      <c r="A15" s="248" t="str">
        <f t="shared" si="2"/>
        <v>LŽ Statim</v>
      </c>
      <c r="B15" s="416" t="s">
        <v>226</v>
      </c>
      <c r="C15" s="51" t="s">
        <v>236</v>
      </c>
    </row>
    <row r="16" spans="1:3" ht="14.4" customHeight="1" x14ac:dyDescent="0.3">
      <c r="A16" s="250" t="str">
        <f t="shared" ref="A16" si="3">HYPERLINK("#'"&amp;C16&amp;"'!A1",C16)</f>
        <v>Materiál Žádanky</v>
      </c>
      <c r="B16" s="165" t="s">
        <v>159</v>
      </c>
      <c r="C16" s="51" t="s">
        <v>128</v>
      </c>
    </row>
    <row r="17" spans="1:3" ht="14.4" customHeight="1" x14ac:dyDescent="0.3">
      <c r="A17" s="248" t="str">
        <f t="shared" si="2"/>
        <v>MŽ Detail</v>
      </c>
      <c r="B17" s="165" t="s">
        <v>2097</v>
      </c>
      <c r="C17" s="51" t="s">
        <v>129</v>
      </c>
    </row>
    <row r="18" spans="1:3" ht="14.4" customHeight="1" thickBot="1" x14ac:dyDescent="0.35">
      <c r="A18" s="250" t="str">
        <f t="shared" si="2"/>
        <v>Osobní náklady</v>
      </c>
      <c r="B18" s="165" t="s">
        <v>117</v>
      </c>
      <c r="C18" s="51" t="s">
        <v>130</v>
      </c>
    </row>
    <row r="19" spans="1:3" ht="14.4" customHeight="1" thickBot="1" x14ac:dyDescent="0.35">
      <c r="A19" s="168"/>
      <c r="B19" s="168"/>
    </row>
    <row r="20" spans="1:3" ht="14.4" customHeight="1" thickBot="1" x14ac:dyDescent="0.35">
      <c r="A20" s="493" t="s">
        <v>121</v>
      </c>
      <c r="B20" s="491"/>
    </row>
    <row r="21" spans="1:3" ht="14.4" customHeight="1" x14ac:dyDescent="0.3">
      <c r="A21" s="248" t="str">
        <f t="shared" ref="A21:A28" si="4">HYPERLINK("#'"&amp;C21&amp;"'!A1",C21)</f>
        <v>ZV Vykáz.-H</v>
      </c>
      <c r="B21" s="165" t="s">
        <v>140</v>
      </c>
      <c r="C21" s="51" t="s">
        <v>138</v>
      </c>
    </row>
    <row r="22" spans="1:3" ht="14.4" customHeight="1" x14ac:dyDescent="0.3">
      <c r="A22" s="248" t="str">
        <f t="shared" si="4"/>
        <v>ZV Vykáz.-H Detail</v>
      </c>
      <c r="B22" s="165" t="s">
        <v>2636</v>
      </c>
      <c r="C22" s="51" t="s">
        <v>139</v>
      </c>
    </row>
    <row r="23" spans="1:3" ht="14.4" customHeight="1" x14ac:dyDescent="0.3">
      <c r="A23" s="251" t="str">
        <f t="shared" si="4"/>
        <v>CaseMix</v>
      </c>
      <c r="B23" s="165" t="s">
        <v>122</v>
      </c>
      <c r="C23" s="51" t="s">
        <v>131</v>
      </c>
    </row>
    <row r="24" spans="1:3" ht="14.4" customHeight="1" x14ac:dyDescent="0.3">
      <c r="A24" s="248" t="str">
        <f t="shared" si="4"/>
        <v>ALOS</v>
      </c>
      <c r="B24" s="165" t="s">
        <v>102</v>
      </c>
      <c r="C24" s="51" t="s">
        <v>73</v>
      </c>
    </row>
    <row r="25" spans="1:3" ht="14.4" customHeight="1" x14ac:dyDescent="0.3">
      <c r="A25" s="248" t="str">
        <f t="shared" si="4"/>
        <v>Total</v>
      </c>
      <c r="B25" s="165" t="s">
        <v>2718</v>
      </c>
      <c r="C25" s="51" t="s">
        <v>132</v>
      </c>
    </row>
    <row r="26" spans="1:3" ht="14.4" customHeight="1" x14ac:dyDescent="0.3">
      <c r="A26" s="248" t="str">
        <f t="shared" si="4"/>
        <v>ZV Vyžád.</v>
      </c>
      <c r="B26" s="165" t="s">
        <v>141</v>
      </c>
      <c r="C26" s="51" t="s">
        <v>135</v>
      </c>
    </row>
    <row r="27" spans="1:3" ht="14.4" customHeight="1" x14ac:dyDescent="0.3">
      <c r="A27" s="248" t="str">
        <f t="shared" si="4"/>
        <v>ZV Vyžád. Detail</v>
      </c>
      <c r="B27" s="165" t="s">
        <v>3289</v>
      </c>
      <c r="C27" s="51" t="s">
        <v>134</v>
      </c>
    </row>
    <row r="28" spans="1:3" ht="14.4" customHeight="1" x14ac:dyDescent="0.3">
      <c r="A28" s="248" t="str">
        <f t="shared" si="4"/>
        <v>OD TISS</v>
      </c>
      <c r="B28" s="165" t="s">
        <v>162</v>
      </c>
      <c r="C28" s="51" t="s">
        <v>133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1" bestFit="1" customWidth="1"/>
    <col min="2" max="2" width="8.88671875" style="231" bestFit="1" customWidth="1"/>
    <col min="3" max="3" width="7" style="231" bestFit="1" customWidth="1"/>
    <col min="4" max="4" width="53.44140625" style="231" bestFit="1" customWidth="1"/>
    <col min="5" max="5" width="28.44140625" style="231" bestFit="1" customWidth="1"/>
    <col min="6" max="6" width="6.6640625" style="310" customWidth="1"/>
    <col min="7" max="7" width="10" style="310" customWidth="1"/>
    <col min="8" max="8" width="6.77734375" style="313" bestFit="1" customWidth="1"/>
    <col min="9" max="9" width="6.6640625" style="310" customWidth="1"/>
    <col min="10" max="10" width="10" style="310" customWidth="1"/>
    <col min="11" max="11" width="6.77734375" style="313" bestFit="1" customWidth="1"/>
    <col min="12" max="12" width="6.6640625" style="310" customWidth="1"/>
    <col min="13" max="13" width="10" style="310" customWidth="1"/>
    <col min="14" max="16384" width="8.88671875" style="231"/>
  </cols>
  <sheetData>
    <row r="1" spans="1:13" ht="18.600000000000001" customHeight="1" thickBot="1" x14ac:dyDescent="0.4">
      <c r="A1" s="533" t="s">
        <v>1620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494"/>
      <c r="M1" s="494"/>
    </row>
    <row r="2" spans="1:13" ht="14.4" customHeight="1" thickBot="1" x14ac:dyDescent="0.35">
      <c r="A2" s="351" t="s">
        <v>288</v>
      </c>
      <c r="B2" s="309"/>
      <c r="C2" s="309"/>
      <c r="D2" s="309"/>
      <c r="E2" s="309"/>
      <c r="F2" s="317"/>
      <c r="G2" s="317"/>
      <c r="H2" s="318"/>
      <c r="I2" s="317"/>
      <c r="J2" s="317"/>
      <c r="K2" s="318"/>
      <c r="L2" s="317"/>
    </row>
    <row r="3" spans="1:13" ht="14.4" customHeight="1" thickBot="1" x14ac:dyDescent="0.35">
      <c r="E3" s="95" t="s">
        <v>142</v>
      </c>
      <c r="F3" s="47">
        <f>SUBTOTAL(9,F6:F1048576)</f>
        <v>141.69999999999999</v>
      </c>
      <c r="G3" s="47">
        <f>SUBTOTAL(9,G6:G1048576)</f>
        <v>10930.841000000002</v>
      </c>
      <c r="H3" s="48">
        <f>IF(M3=0,0,G3/M3)</f>
        <v>9.0007566607920725E-3</v>
      </c>
      <c r="I3" s="47">
        <f>SUBTOTAL(9,I6:I1048576)</f>
        <v>2093.1</v>
      </c>
      <c r="J3" s="47">
        <f>SUBTOTAL(9,J6:J1048576)</f>
        <v>1203504.9461172663</v>
      </c>
      <c r="K3" s="48">
        <f>IF(M3=0,0,J3/M3)</f>
        <v>0.99099924333920753</v>
      </c>
      <c r="L3" s="47">
        <f>SUBTOTAL(9,L6:L1048576)</f>
        <v>2234.8000000000002</v>
      </c>
      <c r="M3" s="49">
        <f>SUBTOTAL(9,M6:M1048576)</f>
        <v>1214435.7871172668</v>
      </c>
    </row>
    <row r="4" spans="1:13" ht="14.4" customHeight="1" thickBot="1" x14ac:dyDescent="0.35">
      <c r="A4" s="45"/>
      <c r="B4" s="45"/>
      <c r="C4" s="45"/>
      <c r="D4" s="45"/>
      <c r="E4" s="46"/>
      <c r="F4" s="537" t="s">
        <v>144</v>
      </c>
      <c r="G4" s="538"/>
      <c r="H4" s="539"/>
      <c r="I4" s="540" t="s">
        <v>143</v>
      </c>
      <c r="J4" s="538"/>
      <c r="K4" s="539"/>
      <c r="L4" s="541" t="s">
        <v>3</v>
      </c>
      <c r="M4" s="542"/>
    </row>
    <row r="5" spans="1:13" ht="14.4" customHeight="1" thickBot="1" x14ac:dyDescent="0.35">
      <c r="A5" s="684" t="s">
        <v>145</v>
      </c>
      <c r="B5" s="704" t="s">
        <v>146</v>
      </c>
      <c r="C5" s="704" t="s">
        <v>77</v>
      </c>
      <c r="D5" s="704" t="s">
        <v>147</v>
      </c>
      <c r="E5" s="704" t="s">
        <v>148</v>
      </c>
      <c r="F5" s="705" t="s">
        <v>15</v>
      </c>
      <c r="G5" s="705" t="s">
        <v>14</v>
      </c>
      <c r="H5" s="686" t="s">
        <v>149</v>
      </c>
      <c r="I5" s="685" t="s">
        <v>15</v>
      </c>
      <c r="J5" s="705" t="s">
        <v>14</v>
      </c>
      <c r="K5" s="686" t="s">
        <v>149</v>
      </c>
      <c r="L5" s="685" t="s">
        <v>15</v>
      </c>
      <c r="M5" s="706" t="s">
        <v>14</v>
      </c>
    </row>
    <row r="6" spans="1:13" ht="14.4" customHeight="1" x14ac:dyDescent="0.3">
      <c r="A6" s="666" t="s">
        <v>483</v>
      </c>
      <c r="B6" s="667" t="s">
        <v>1493</v>
      </c>
      <c r="C6" s="667" t="s">
        <v>1181</v>
      </c>
      <c r="D6" s="667" t="s">
        <v>1182</v>
      </c>
      <c r="E6" s="667" t="s">
        <v>1494</v>
      </c>
      <c r="F6" s="670"/>
      <c r="G6" s="670"/>
      <c r="H6" s="689">
        <v>0</v>
      </c>
      <c r="I6" s="670">
        <v>730</v>
      </c>
      <c r="J6" s="670">
        <v>49491.461543298516</v>
      </c>
      <c r="K6" s="689">
        <v>1</v>
      </c>
      <c r="L6" s="670">
        <v>730</v>
      </c>
      <c r="M6" s="671">
        <v>49491.461543298516</v>
      </c>
    </row>
    <row r="7" spans="1:13" ht="14.4" customHeight="1" x14ac:dyDescent="0.3">
      <c r="A7" s="672" t="s">
        <v>483</v>
      </c>
      <c r="B7" s="673" t="s">
        <v>1495</v>
      </c>
      <c r="C7" s="673" t="s">
        <v>1175</v>
      </c>
      <c r="D7" s="673" t="s">
        <v>1496</v>
      </c>
      <c r="E7" s="673" t="s">
        <v>1497</v>
      </c>
      <c r="F7" s="676"/>
      <c r="G7" s="676"/>
      <c r="H7" s="697">
        <v>0</v>
      </c>
      <c r="I7" s="676">
        <v>3</v>
      </c>
      <c r="J7" s="676">
        <v>821.69973002875645</v>
      </c>
      <c r="K7" s="697">
        <v>1</v>
      </c>
      <c r="L7" s="676">
        <v>3</v>
      </c>
      <c r="M7" s="677">
        <v>821.69973002875645</v>
      </c>
    </row>
    <row r="8" spans="1:13" ht="14.4" customHeight="1" x14ac:dyDescent="0.3">
      <c r="A8" s="672" t="s">
        <v>483</v>
      </c>
      <c r="B8" s="673" t="s">
        <v>1498</v>
      </c>
      <c r="C8" s="673" t="s">
        <v>502</v>
      </c>
      <c r="D8" s="673" t="s">
        <v>503</v>
      </c>
      <c r="E8" s="673" t="s">
        <v>1499</v>
      </c>
      <c r="F8" s="676">
        <v>2</v>
      </c>
      <c r="G8" s="676">
        <v>232.71999999999994</v>
      </c>
      <c r="H8" s="697">
        <v>1</v>
      </c>
      <c r="I8" s="676"/>
      <c r="J8" s="676"/>
      <c r="K8" s="697">
        <v>0</v>
      </c>
      <c r="L8" s="676">
        <v>2</v>
      </c>
      <c r="M8" s="677">
        <v>232.71999999999994</v>
      </c>
    </row>
    <row r="9" spans="1:13" ht="14.4" customHeight="1" x14ac:dyDescent="0.3">
      <c r="A9" s="672" t="s">
        <v>483</v>
      </c>
      <c r="B9" s="673" t="s">
        <v>1498</v>
      </c>
      <c r="C9" s="673" t="s">
        <v>1200</v>
      </c>
      <c r="D9" s="673" t="s">
        <v>1201</v>
      </c>
      <c r="E9" s="673" t="s">
        <v>1500</v>
      </c>
      <c r="F9" s="676"/>
      <c r="G9" s="676"/>
      <c r="H9" s="697">
        <v>0</v>
      </c>
      <c r="I9" s="676">
        <v>3</v>
      </c>
      <c r="J9" s="676">
        <v>200.19000000000005</v>
      </c>
      <c r="K9" s="697">
        <v>1</v>
      </c>
      <c r="L9" s="676">
        <v>3</v>
      </c>
      <c r="M9" s="677">
        <v>200.19000000000005</v>
      </c>
    </row>
    <row r="10" spans="1:13" ht="14.4" customHeight="1" x14ac:dyDescent="0.3">
      <c r="A10" s="672" t="s">
        <v>483</v>
      </c>
      <c r="B10" s="673" t="s">
        <v>1501</v>
      </c>
      <c r="C10" s="673" t="s">
        <v>1121</v>
      </c>
      <c r="D10" s="673" t="s">
        <v>1502</v>
      </c>
      <c r="E10" s="673" t="s">
        <v>1503</v>
      </c>
      <c r="F10" s="676"/>
      <c r="G10" s="676"/>
      <c r="H10" s="697">
        <v>0</v>
      </c>
      <c r="I10" s="676">
        <v>23</v>
      </c>
      <c r="J10" s="676">
        <v>9420.5559435597643</v>
      </c>
      <c r="K10" s="697">
        <v>1</v>
      </c>
      <c r="L10" s="676">
        <v>23</v>
      </c>
      <c r="M10" s="677">
        <v>9420.5559435597643</v>
      </c>
    </row>
    <row r="11" spans="1:13" ht="14.4" customHeight="1" x14ac:dyDescent="0.3">
      <c r="A11" s="672" t="s">
        <v>483</v>
      </c>
      <c r="B11" s="673" t="s">
        <v>1504</v>
      </c>
      <c r="C11" s="673" t="s">
        <v>1128</v>
      </c>
      <c r="D11" s="673" t="s">
        <v>1129</v>
      </c>
      <c r="E11" s="673" t="s">
        <v>1505</v>
      </c>
      <c r="F11" s="676"/>
      <c r="G11" s="676"/>
      <c r="H11" s="697">
        <v>0</v>
      </c>
      <c r="I11" s="676">
        <v>1</v>
      </c>
      <c r="J11" s="676">
        <v>98.65</v>
      </c>
      <c r="K11" s="697">
        <v>1</v>
      </c>
      <c r="L11" s="676">
        <v>1</v>
      </c>
      <c r="M11" s="677">
        <v>98.65</v>
      </c>
    </row>
    <row r="12" spans="1:13" ht="14.4" customHeight="1" x14ac:dyDescent="0.3">
      <c r="A12" s="672" t="s">
        <v>483</v>
      </c>
      <c r="B12" s="673" t="s">
        <v>1506</v>
      </c>
      <c r="C12" s="673" t="s">
        <v>1178</v>
      </c>
      <c r="D12" s="673" t="s">
        <v>1179</v>
      </c>
      <c r="E12" s="673" t="s">
        <v>1507</v>
      </c>
      <c r="F12" s="676"/>
      <c r="G12" s="676"/>
      <c r="H12" s="697">
        <v>0</v>
      </c>
      <c r="I12" s="676">
        <v>12</v>
      </c>
      <c r="J12" s="676">
        <v>39600</v>
      </c>
      <c r="K12" s="697">
        <v>1</v>
      </c>
      <c r="L12" s="676">
        <v>12</v>
      </c>
      <c r="M12" s="677">
        <v>39600</v>
      </c>
    </row>
    <row r="13" spans="1:13" ht="14.4" customHeight="1" x14ac:dyDescent="0.3">
      <c r="A13" s="672" t="s">
        <v>483</v>
      </c>
      <c r="B13" s="673" t="s">
        <v>1508</v>
      </c>
      <c r="C13" s="673" t="s">
        <v>514</v>
      </c>
      <c r="D13" s="673" t="s">
        <v>1509</v>
      </c>
      <c r="E13" s="673" t="s">
        <v>1510</v>
      </c>
      <c r="F13" s="676">
        <v>1</v>
      </c>
      <c r="G13" s="676">
        <v>75.040000000000006</v>
      </c>
      <c r="H13" s="697">
        <v>1</v>
      </c>
      <c r="I13" s="676"/>
      <c r="J13" s="676"/>
      <c r="K13" s="697">
        <v>0</v>
      </c>
      <c r="L13" s="676">
        <v>1</v>
      </c>
      <c r="M13" s="677">
        <v>75.040000000000006</v>
      </c>
    </row>
    <row r="14" spans="1:13" ht="14.4" customHeight="1" x14ac:dyDescent="0.3">
      <c r="A14" s="672" t="s">
        <v>483</v>
      </c>
      <c r="B14" s="673" t="s">
        <v>1511</v>
      </c>
      <c r="C14" s="673" t="s">
        <v>1166</v>
      </c>
      <c r="D14" s="673" t="s">
        <v>1512</v>
      </c>
      <c r="E14" s="673" t="s">
        <v>1513</v>
      </c>
      <c r="F14" s="676"/>
      <c r="G14" s="676"/>
      <c r="H14" s="697">
        <v>0</v>
      </c>
      <c r="I14" s="676">
        <v>9</v>
      </c>
      <c r="J14" s="676">
        <v>289500.85004761524</v>
      </c>
      <c r="K14" s="697">
        <v>1</v>
      </c>
      <c r="L14" s="676">
        <v>9</v>
      </c>
      <c r="M14" s="677">
        <v>289500.85004761524</v>
      </c>
    </row>
    <row r="15" spans="1:13" ht="14.4" customHeight="1" x14ac:dyDescent="0.3">
      <c r="A15" s="672" t="s">
        <v>483</v>
      </c>
      <c r="B15" s="673" t="s">
        <v>1514</v>
      </c>
      <c r="C15" s="673" t="s">
        <v>1114</v>
      </c>
      <c r="D15" s="673" t="s">
        <v>1091</v>
      </c>
      <c r="E15" s="673" t="s">
        <v>1515</v>
      </c>
      <c r="F15" s="676"/>
      <c r="G15" s="676"/>
      <c r="H15" s="697">
        <v>0</v>
      </c>
      <c r="I15" s="676">
        <v>70</v>
      </c>
      <c r="J15" s="676">
        <v>9053.1</v>
      </c>
      <c r="K15" s="697">
        <v>1</v>
      </c>
      <c r="L15" s="676">
        <v>70</v>
      </c>
      <c r="M15" s="677">
        <v>9053.1</v>
      </c>
    </row>
    <row r="16" spans="1:13" ht="14.4" customHeight="1" x14ac:dyDescent="0.3">
      <c r="A16" s="672" t="s">
        <v>483</v>
      </c>
      <c r="B16" s="673" t="s">
        <v>1514</v>
      </c>
      <c r="C16" s="673" t="s">
        <v>1090</v>
      </c>
      <c r="D16" s="673" t="s">
        <v>1091</v>
      </c>
      <c r="E16" s="673" t="s">
        <v>1516</v>
      </c>
      <c r="F16" s="676"/>
      <c r="G16" s="676"/>
      <c r="H16" s="697">
        <v>0</v>
      </c>
      <c r="I16" s="676">
        <v>1</v>
      </c>
      <c r="J16" s="676">
        <v>45.189999999999991</v>
      </c>
      <c r="K16" s="697">
        <v>1</v>
      </c>
      <c r="L16" s="676">
        <v>1</v>
      </c>
      <c r="M16" s="677">
        <v>45.189999999999991</v>
      </c>
    </row>
    <row r="17" spans="1:13" ht="14.4" customHeight="1" x14ac:dyDescent="0.3">
      <c r="A17" s="672" t="s">
        <v>483</v>
      </c>
      <c r="B17" s="673" t="s">
        <v>1517</v>
      </c>
      <c r="C17" s="673" t="s">
        <v>1094</v>
      </c>
      <c r="D17" s="673" t="s">
        <v>1095</v>
      </c>
      <c r="E17" s="673" t="s">
        <v>1518</v>
      </c>
      <c r="F17" s="676"/>
      <c r="G17" s="676"/>
      <c r="H17" s="697">
        <v>0</v>
      </c>
      <c r="I17" s="676">
        <v>3</v>
      </c>
      <c r="J17" s="676">
        <v>109.86000000000001</v>
      </c>
      <c r="K17" s="697">
        <v>1</v>
      </c>
      <c r="L17" s="676">
        <v>3</v>
      </c>
      <c r="M17" s="677">
        <v>109.86000000000001</v>
      </c>
    </row>
    <row r="18" spans="1:13" ht="14.4" customHeight="1" x14ac:dyDescent="0.3">
      <c r="A18" s="672" t="s">
        <v>483</v>
      </c>
      <c r="B18" s="673" t="s">
        <v>1519</v>
      </c>
      <c r="C18" s="673" t="s">
        <v>1117</v>
      </c>
      <c r="D18" s="673" t="s">
        <v>1118</v>
      </c>
      <c r="E18" s="673" t="s">
        <v>1520</v>
      </c>
      <c r="F18" s="676"/>
      <c r="G18" s="676"/>
      <c r="H18" s="697">
        <v>0</v>
      </c>
      <c r="I18" s="676">
        <v>1</v>
      </c>
      <c r="J18" s="676">
        <v>24.93000000000001</v>
      </c>
      <c r="K18" s="697">
        <v>1</v>
      </c>
      <c r="L18" s="676">
        <v>1</v>
      </c>
      <c r="M18" s="677">
        <v>24.93000000000001</v>
      </c>
    </row>
    <row r="19" spans="1:13" ht="14.4" customHeight="1" x14ac:dyDescent="0.3">
      <c r="A19" s="672" t="s">
        <v>483</v>
      </c>
      <c r="B19" s="673" t="s">
        <v>1521</v>
      </c>
      <c r="C19" s="673" t="s">
        <v>1105</v>
      </c>
      <c r="D19" s="673" t="s">
        <v>1106</v>
      </c>
      <c r="E19" s="673" t="s">
        <v>1518</v>
      </c>
      <c r="F19" s="676"/>
      <c r="G19" s="676"/>
      <c r="H19" s="697">
        <v>0</v>
      </c>
      <c r="I19" s="676">
        <v>3</v>
      </c>
      <c r="J19" s="676">
        <v>260.04000000000002</v>
      </c>
      <c r="K19" s="697">
        <v>1</v>
      </c>
      <c r="L19" s="676">
        <v>3</v>
      </c>
      <c r="M19" s="677">
        <v>260.04000000000002</v>
      </c>
    </row>
    <row r="20" spans="1:13" ht="14.4" customHeight="1" x14ac:dyDescent="0.3">
      <c r="A20" s="672" t="s">
        <v>483</v>
      </c>
      <c r="B20" s="673" t="s">
        <v>1521</v>
      </c>
      <c r="C20" s="673" t="s">
        <v>1108</v>
      </c>
      <c r="D20" s="673" t="s">
        <v>1106</v>
      </c>
      <c r="E20" s="673" t="s">
        <v>1522</v>
      </c>
      <c r="F20" s="676"/>
      <c r="G20" s="676"/>
      <c r="H20" s="697">
        <v>0</v>
      </c>
      <c r="I20" s="676">
        <v>1</v>
      </c>
      <c r="J20" s="676">
        <v>222.43</v>
      </c>
      <c r="K20" s="697">
        <v>1</v>
      </c>
      <c r="L20" s="676">
        <v>1</v>
      </c>
      <c r="M20" s="677">
        <v>222.43</v>
      </c>
    </row>
    <row r="21" spans="1:13" ht="14.4" customHeight="1" x14ac:dyDescent="0.3">
      <c r="A21" s="672" t="s">
        <v>483</v>
      </c>
      <c r="B21" s="673" t="s">
        <v>1523</v>
      </c>
      <c r="C21" s="673" t="s">
        <v>524</v>
      </c>
      <c r="D21" s="673" t="s">
        <v>525</v>
      </c>
      <c r="E21" s="673" t="s">
        <v>1524</v>
      </c>
      <c r="F21" s="676">
        <v>3</v>
      </c>
      <c r="G21" s="676">
        <v>325.64999999999986</v>
      </c>
      <c r="H21" s="697">
        <v>1</v>
      </c>
      <c r="I21" s="676"/>
      <c r="J21" s="676"/>
      <c r="K21" s="697">
        <v>0</v>
      </c>
      <c r="L21" s="676">
        <v>3</v>
      </c>
      <c r="M21" s="677">
        <v>325.64999999999986</v>
      </c>
    </row>
    <row r="22" spans="1:13" ht="14.4" customHeight="1" x14ac:dyDescent="0.3">
      <c r="A22" s="672" t="s">
        <v>483</v>
      </c>
      <c r="B22" s="673" t="s">
        <v>1525</v>
      </c>
      <c r="C22" s="673" t="s">
        <v>1111</v>
      </c>
      <c r="D22" s="673" t="s">
        <v>1526</v>
      </c>
      <c r="E22" s="673" t="s">
        <v>1527</v>
      </c>
      <c r="F22" s="676"/>
      <c r="G22" s="676"/>
      <c r="H22" s="697">
        <v>0</v>
      </c>
      <c r="I22" s="676">
        <v>1</v>
      </c>
      <c r="J22" s="676">
        <v>116.84129139773816</v>
      </c>
      <c r="K22" s="697">
        <v>1</v>
      </c>
      <c r="L22" s="676">
        <v>1</v>
      </c>
      <c r="M22" s="677">
        <v>116.84129139773816</v>
      </c>
    </row>
    <row r="23" spans="1:13" ht="14.4" customHeight="1" x14ac:dyDescent="0.3">
      <c r="A23" s="672" t="s">
        <v>483</v>
      </c>
      <c r="B23" s="673" t="s">
        <v>1525</v>
      </c>
      <c r="C23" s="673" t="s">
        <v>1169</v>
      </c>
      <c r="D23" s="673" t="s">
        <v>1528</v>
      </c>
      <c r="E23" s="673" t="s">
        <v>1529</v>
      </c>
      <c r="F23" s="676"/>
      <c r="G23" s="676"/>
      <c r="H23" s="697">
        <v>0</v>
      </c>
      <c r="I23" s="676">
        <v>1</v>
      </c>
      <c r="J23" s="676">
        <v>131.74023096151893</v>
      </c>
      <c r="K23" s="697">
        <v>1</v>
      </c>
      <c r="L23" s="676">
        <v>1</v>
      </c>
      <c r="M23" s="677">
        <v>131.74023096151893</v>
      </c>
    </row>
    <row r="24" spans="1:13" ht="14.4" customHeight="1" x14ac:dyDescent="0.3">
      <c r="A24" s="672" t="s">
        <v>483</v>
      </c>
      <c r="B24" s="673" t="s">
        <v>1530</v>
      </c>
      <c r="C24" s="673" t="s">
        <v>1136</v>
      </c>
      <c r="D24" s="673" t="s">
        <v>1531</v>
      </c>
      <c r="E24" s="673" t="s">
        <v>1532</v>
      </c>
      <c r="F24" s="676"/>
      <c r="G24" s="676"/>
      <c r="H24" s="697">
        <v>0</v>
      </c>
      <c r="I24" s="676">
        <v>53</v>
      </c>
      <c r="J24" s="676">
        <v>72875</v>
      </c>
      <c r="K24" s="697">
        <v>1</v>
      </c>
      <c r="L24" s="676">
        <v>53</v>
      </c>
      <c r="M24" s="677">
        <v>72875</v>
      </c>
    </row>
    <row r="25" spans="1:13" ht="14.4" customHeight="1" x14ac:dyDescent="0.3">
      <c r="A25" s="672" t="s">
        <v>483</v>
      </c>
      <c r="B25" s="673" t="s">
        <v>1533</v>
      </c>
      <c r="C25" s="673" t="s">
        <v>1125</v>
      </c>
      <c r="D25" s="673" t="s">
        <v>1087</v>
      </c>
      <c r="E25" s="673" t="s">
        <v>1534</v>
      </c>
      <c r="F25" s="676"/>
      <c r="G25" s="676"/>
      <c r="H25" s="697">
        <v>0</v>
      </c>
      <c r="I25" s="676">
        <v>3</v>
      </c>
      <c r="J25" s="676">
        <v>430.41</v>
      </c>
      <c r="K25" s="697">
        <v>1</v>
      </c>
      <c r="L25" s="676">
        <v>3</v>
      </c>
      <c r="M25" s="677">
        <v>430.41</v>
      </c>
    </row>
    <row r="26" spans="1:13" ht="14.4" customHeight="1" x14ac:dyDescent="0.3">
      <c r="A26" s="672" t="s">
        <v>483</v>
      </c>
      <c r="B26" s="673" t="s">
        <v>1533</v>
      </c>
      <c r="C26" s="673" t="s">
        <v>1086</v>
      </c>
      <c r="D26" s="673" t="s">
        <v>1087</v>
      </c>
      <c r="E26" s="673" t="s">
        <v>1535</v>
      </c>
      <c r="F26" s="676"/>
      <c r="G26" s="676"/>
      <c r="H26" s="697">
        <v>0</v>
      </c>
      <c r="I26" s="676">
        <v>4</v>
      </c>
      <c r="J26" s="676">
        <v>138.99597350811172</v>
      </c>
      <c r="K26" s="697">
        <v>1</v>
      </c>
      <c r="L26" s="676">
        <v>4</v>
      </c>
      <c r="M26" s="677">
        <v>138.99597350811172</v>
      </c>
    </row>
    <row r="27" spans="1:13" ht="14.4" customHeight="1" x14ac:dyDescent="0.3">
      <c r="A27" s="672" t="s">
        <v>483</v>
      </c>
      <c r="B27" s="673" t="s">
        <v>1536</v>
      </c>
      <c r="C27" s="673" t="s">
        <v>1163</v>
      </c>
      <c r="D27" s="673" t="s">
        <v>1164</v>
      </c>
      <c r="E27" s="673" t="s">
        <v>1537</v>
      </c>
      <c r="F27" s="676"/>
      <c r="G27" s="676"/>
      <c r="H27" s="697">
        <v>0</v>
      </c>
      <c r="I27" s="676">
        <v>1</v>
      </c>
      <c r="J27" s="676">
        <v>49.720000000000027</v>
      </c>
      <c r="K27" s="697">
        <v>1</v>
      </c>
      <c r="L27" s="676">
        <v>1</v>
      </c>
      <c r="M27" s="677">
        <v>49.720000000000027</v>
      </c>
    </row>
    <row r="28" spans="1:13" ht="14.4" customHeight="1" x14ac:dyDescent="0.3">
      <c r="A28" s="672" t="s">
        <v>483</v>
      </c>
      <c r="B28" s="673" t="s">
        <v>1536</v>
      </c>
      <c r="C28" s="673" t="s">
        <v>1184</v>
      </c>
      <c r="D28" s="673" t="s">
        <v>1185</v>
      </c>
      <c r="E28" s="673" t="s">
        <v>1538</v>
      </c>
      <c r="F28" s="676"/>
      <c r="G28" s="676"/>
      <c r="H28" s="697">
        <v>0</v>
      </c>
      <c r="I28" s="676">
        <v>3</v>
      </c>
      <c r="J28" s="676">
        <v>189.32999999999993</v>
      </c>
      <c r="K28" s="697">
        <v>1</v>
      </c>
      <c r="L28" s="676">
        <v>3</v>
      </c>
      <c r="M28" s="677">
        <v>189.32999999999993</v>
      </c>
    </row>
    <row r="29" spans="1:13" ht="14.4" customHeight="1" x14ac:dyDescent="0.3">
      <c r="A29" s="672" t="s">
        <v>483</v>
      </c>
      <c r="B29" s="673" t="s">
        <v>1539</v>
      </c>
      <c r="C29" s="673" t="s">
        <v>1361</v>
      </c>
      <c r="D29" s="673" t="s">
        <v>1540</v>
      </c>
      <c r="E29" s="673" t="s">
        <v>1541</v>
      </c>
      <c r="F29" s="676"/>
      <c r="G29" s="676"/>
      <c r="H29" s="697">
        <v>0</v>
      </c>
      <c r="I29" s="676">
        <v>47</v>
      </c>
      <c r="J29" s="676">
        <v>583493.85262560332</v>
      </c>
      <c r="K29" s="697">
        <v>1</v>
      </c>
      <c r="L29" s="676">
        <v>47</v>
      </c>
      <c r="M29" s="677">
        <v>583493.85262560332</v>
      </c>
    </row>
    <row r="30" spans="1:13" ht="14.4" customHeight="1" x14ac:dyDescent="0.3">
      <c r="A30" s="672" t="s">
        <v>483</v>
      </c>
      <c r="B30" s="673" t="s">
        <v>1542</v>
      </c>
      <c r="C30" s="673" t="s">
        <v>1271</v>
      </c>
      <c r="D30" s="673" t="s">
        <v>1543</v>
      </c>
      <c r="E30" s="673" t="s">
        <v>1544</v>
      </c>
      <c r="F30" s="676">
        <v>94</v>
      </c>
      <c r="G30" s="676">
        <v>2501.34</v>
      </c>
      <c r="H30" s="697">
        <v>1</v>
      </c>
      <c r="I30" s="676"/>
      <c r="J30" s="676"/>
      <c r="K30" s="697">
        <v>0</v>
      </c>
      <c r="L30" s="676">
        <v>94</v>
      </c>
      <c r="M30" s="677">
        <v>2501.34</v>
      </c>
    </row>
    <row r="31" spans="1:13" ht="14.4" customHeight="1" x14ac:dyDescent="0.3">
      <c r="A31" s="672" t="s">
        <v>483</v>
      </c>
      <c r="B31" s="673" t="s">
        <v>1542</v>
      </c>
      <c r="C31" s="673" t="s">
        <v>1274</v>
      </c>
      <c r="D31" s="673" t="s">
        <v>1545</v>
      </c>
      <c r="E31" s="673" t="s">
        <v>1546</v>
      </c>
      <c r="F31" s="676">
        <v>5.7</v>
      </c>
      <c r="G31" s="676">
        <v>1801.3710000000003</v>
      </c>
      <c r="H31" s="697">
        <v>1</v>
      </c>
      <c r="I31" s="676"/>
      <c r="J31" s="676"/>
      <c r="K31" s="697">
        <v>0</v>
      </c>
      <c r="L31" s="676">
        <v>5.7</v>
      </c>
      <c r="M31" s="677">
        <v>1801.3710000000003</v>
      </c>
    </row>
    <row r="32" spans="1:13" ht="14.4" customHeight="1" x14ac:dyDescent="0.3">
      <c r="A32" s="672" t="s">
        <v>483</v>
      </c>
      <c r="B32" s="673" t="s">
        <v>1547</v>
      </c>
      <c r="C32" s="673" t="s">
        <v>1369</v>
      </c>
      <c r="D32" s="673" t="s">
        <v>1548</v>
      </c>
      <c r="E32" s="673" t="s">
        <v>1549</v>
      </c>
      <c r="F32" s="676"/>
      <c r="G32" s="676"/>
      <c r="H32" s="697">
        <v>0</v>
      </c>
      <c r="I32" s="676">
        <v>37.6</v>
      </c>
      <c r="J32" s="676">
        <v>35830.26</v>
      </c>
      <c r="K32" s="697">
        <v>1</v>
      </c>
      <c r="L32" s="676">
        <v>37.6</v>
      </c>
      <c r="M32" s="677">
        <v>35830.26</v>
      </c>
    </row>
    <row r="33" spans="1:13" ht="14.4" customHeight="1" x14ac:dyDescent="0.3">
      <c r="A33" s="672" t="s">
        <v>483</v>
      </c>
      <c r="B33" s="673" t="s">
        <v>1550</v>
      </c>
      <c r="C33" s="673" t="s">
        <v>1353</v>
      </c>
      <c r="D33" s="673" t="s">
        <v>1354</v>
      </c>
      <c r="E33" s="673" t="s">
        <v>1551</v>
      </c>
      <c r="F33" s="676"/>
      <c r="G33" s="676"/>
      <c r="H33" s="697">
        <v>0</v>
      </c>
      <c r="I33" s="676">
        <v>2.5</v>
      </c>
      <c r="J33" s="676">
        <v>810.25</v>
      </c>
      <c r="K33" s="697">
        <v>1</v>
      </c>
      <c r="L33" s="676">
        <v>2.5</v>
      </c>
      <c r="M33" s="677">
        <v>810.25</v>
      </c>
    </row>
    <row r="34" spans="1:13" ht="14.4" customHeight="1" x14ac:dyDescent="0.3">
      <c r="A34" s="672" t="s">
        <v>483</v>
      </c>
      <c r="B34" s="673" t="s">
        <v>1552</v>
      </c>
      <c r="C34" s="673" t="s">
        <v>1364</v>
      </c>
      <c r="D34" s="673" t="s">
        <v>1553</v>
      </c>
      <c r="E34" s="673" t="s">
        <v>1554</v>
      </c>
      <c r="F34" s="676"/>
      <c r="G34" s="676"/>
      <c r="H34" s="697">
        <v>0</v>
      </c>
      <c r="I34" s="676">
        <v>10</v>
      </c>
      <c r="J34" s="676">
        <v>346.59999999999997</v>
      </c>
      <c r="K34" s="697">
        <v>1</v>
      </c>
      <c r="L34" s="676">
        <v>10</v>
      </c>
      <c r="M34" s="677">
        <v>346.59999999999997</v>
      </c>
    </row>
    <row r="35" spans="1:13" ht="14.4" customHeight="1" x14ac:dyDescent="0.3">
      <c r="A35" s="672" t="s">
        <v>483</v>
      </c>
      <c r="B35" s="673" t="s">
        <v>1552</v>
      </c>
      <c r="C35" s="673" t="s">
        <v>1366</v>
      </c>
      <c r="D35" s="673" t="s">
        <v>1553</v>
      </c>
      <c r="E35" s="673" t="s">
        <v>1555</v>
      </c>
      <c r="F35" s="676"/>
      <c r="G35" s="676"/>
      <c r="H35" s="697">
        <v>0</v>
      </c>
      <c r="I35" s="676">
        <v>10</v>
      </c>
      <c r="J35" s="676">
        <v>560.99999999999989</v>
      </c>
      <c r="K35" s="697">
        <v>1</v>
      </c>
      <c r="L35" s="676">
        <v>10</v>
      </c>
      <c r="M35" s="677">
        <v>560.99999999999989</v>
      </c>
    </row>
    <row r="36" spans="1:13" ht="14.4" customHeight="1" x14ac:dyDescent="0.3">
      <c r="A36" s="672" t="s">
        <v>483</v>
      </c>
      <c r="B36" s="673" t="s">
        <v>1556</v>
      </c>
      <c r="C36" s="673" t="s">
        <v>1357</v>
      </c>
      <c r="D36" s="673" t="s">
        <v>1557</v>
      </c>
      <c r="E36" s="673" t="s">
        <v>1558</v>
      </c>
      <c r="F36" s="676"/>
      <c r="G36" s="676"/>
      <c r="H36" s="697">
        <v>0</v>
      </c>
      <c r="I36" s="676">
        <v>685</v>
      </c>
      <c r="J36" s="676">
        <v>20104.055537135442</v>
      </c>
      <c r="K36" s="697">
        <v>1</v>
      </c>
      <c r="L36" s="676">
        <v>685</v>
      </c>
      <c r="M36" s="677">
        <v>20104.055537135442</v>
      </c>
    </row>
    <row r="37" spans="1:13" ht="14.4" customHeight="1" x14ac:dyDescent="0.3">
      <c r="A37" s="672" t="s">
        <v>483</v>
      </c>
      <c r="B37" s="673" t="s">
        <v>1559</v>
      </c>
      <c r="C37" s="673" t="s">
        <v>1384</v>
      </c>
      <c r="D37" s="673" t="s">
        <v>1560</v>
      </c>
      <c r="E37" s="673" t="s">
        <v>1561</v>
      </c>
      <c r="F37" s="676"/>
      <c r="G37" s="676"/>
      <c r="H37" s="697">
        <v>0</v>
      </c>
      <c r="I37" s="676">
        <v>16.799999999999997</v>
      </c>
      <c r="J37" s="676">
        <v>2679.6000000000004</v>
      </c>
      <c r="K37" s="697">
        <v>1</v>
      </c>
      <c r="L37" s="676">
        <v>16.799999999999997</v>
      </c>
      <c r="M37" s="677">
        <v>2679.6000000000004</v>
      </c>
    </row>
    <row r="38" spans="1:13" ht="14.4" customHeight="1" x14ac:dyDescent="0.3">
      <c r="A38" s="672" t="s">
        <v>483</v>
      </c>
      <c r="B38" s="673" t="s">
        <v>1559</v>
      </c>
      <c r="C38" s="673" t="s">
        <v>1387</v>
      </c>
      <c r="D38" s="673" t="s">
        <v>1560</v>
      </c>
      <c r="E38" s="673" t="s">
        <v>1562</v>
      </c>
      <c r="F38" s="676"/>
      <c r="G38" s="676"/>
      <c r="H38" s="697">
        <v>0</v>
      </c>
      <c r="I38" s="676">
        <v>13.2</v>
      </c>
      <c r="J38" s="676">
        <v>4065.6</v>
      </c>
      <c r="K38" s="697">
        <v>1</v>
      </c>
      <c r="L38" s="676">
        <v>13.2</v>
      </c>
      <c r="M38" s="677">
        <v>4065.6</v>
      </c>
    </row>
    <row r="39" spans="1:13" ht="14.4" customHeight="1" x14ac:dyDescent="0.3">
      <c r="A39" s="672" t="s">
        <v>483</v>
      </c>
      <c r="B39" s="673" t="s">
        <v>1563</v>
      </c>
      <c r="C39" s="673" t="s">
        <v>1389</v>
      </c>
      <c r="D39" s="673" t="s">
        <v>1564</v>
      </c>
      <c r="E39" s="673" t="s">
        <v>1565</v>
      </c>
      <c r="F39" s="676"/>
      <c r="G39" s="676"/>
      <c r="H39" s="697">
        <v>0</v>
      </c>
      <c r="I39" s="676">
        <v>30</v>
      </c>
      <c r="J39" s="676">
        <v>14803.8</v>
      </c>
      <c r="K39" s="697">
        <v>1</v>
      </c>
      <c r="L39" s="676">
        <v>30</v>
      </c>
      <c r="M39" s="677">
        <v>14803.8</v>
      </c>
    </row>
    <row r="40" spans="1:13" ht="14.4" customHeight="1" x14ac:dyDescent="0.3">
      <c r="A40" s="672" t="s">
        <v>483</v>
      </c>
      <c r="B40" s="673" t="s">
        <v>1566</v>
      </c>
      <c r="C40" s="673" t="s">
        <v>520</v>
      </c>
      <c r="D40" s="673" t="s">
        <v>521</v>
      </c>
      <c r="E40" s="673" t="s">
        <v>1567</v>
      </c>
      <c r="F40" s="676">
        <v>1</v>
      </c>
      <c r="G40" s="676">
        <v>103.31999999999998</v>
      </c>
      <c r="H40" s="697">
        <v>1</v>
      </c>
      <c r="I40" s="676"/>
      <c r="J40" s="676"/>
      <c r="K40" s="697">
        <v>0</v>
      </c>
      <c r="L40" s="676">
        <v>1</v>
      </c>
      <c r="M40" s="677">
        <v>103.31999999999998</v>
      </c>
    </row>
    <row r="41" spans="1:13" ht="14.4" customHeight="1" x14ac:dyDescent="0.3">
      <c r="A41" s="672" t="s">
        <v>483</v>
      </c>
      <c r="B41" s="673" t="s">
        <v>1568</v>
      </c>
      <c r="C41" s="673" t="s">
        <v>1144</v>
      </c>
      <c r="D41" s="673" t="s">
        <v>1569</v>
      </c>
      <c r="E41" s="673" t="s">
        <v>1570</v>
      </c>
      <c r="F41" s="676"/>
      <c r="G41" s="676"/>
      <c r="H41" s="697">
        <v>0</v>
      </c>
      <c r="I41" s="676">
        <v>30</v>
      </c>
      <c r="J41" s="676">
        <v>20562.007832337244</v>
      </c>
      <c r="K41" s="697">
        <v>1</v>
      </c>
      <c r="L41" s="676">
        <v>30</v>
      </c>
      <c r="M41" s="677">
        <v>20562.007832337244</v>
      </c>
    </row>
    <row r="42" spans="1:13" ht="14.4" customHeight="1" x14ac:dyDescent="0.3">
      <c r="A42" s="672" t="s">
        <v>483</v>
      </c>
      <c r="B42" s="673" t="s">
        <v>1568</v>
      </c>
      <c r="C42" s="673" t="s">
        <v>498</v>
      </c>
      <c r="D42" s="673" t="s">
        <v>1571</v>
      </c>
      <c r="E42" s="673" t="s">
        <v>1572</v>
      </c>
      <c r="F42" s="676">
        <v>30</v>
      </c>
      <c r="G42" s="676">
        <v>4315.7800000000007</v>
      </c>
      <c r="H42" s="697">
        <v>1</v>
      </c>
      <c r="I42" s="676"/>
      <c r="J42" s="676"/>
      <c r="K42" s="697">
        <v>0</v>
      </c>
      <c r="L42" s="676">
        <v>30</v>
      </c>
      <c r="M42" s="677">
        <v>4315.7800000000007</v>
      </c>
    </row>
    <row r="43" spans="1:13" ht="14.4" customHeight="1" x14ac:dyDescent="0.3">
      <c r="A43" s="672" t="s">
        <v>483</v>
      </c>
      <c r="B43" s="673" t="s">
        <v>1573</v>
      </c>
      <c r="C43" s="673" t="s">
        <v>1187</v>
      </c>
      <c r="D43" s="673" t="s">
        <v>1574</v>
      </c>
      <c r="E43" s="673" t="s">
        <v>1575</v>
      </c>
      <c r="F43" s="676"/>
      <c r="G43" s="676"/>
      <c r="H43" s="697">
        <v>0</v>
      </c>
      <c r="I43" s="676">
        <v>11</v>
      </c>
      <c r="J43" s="676">
        <v>6170.9941447427937</v>
      </c>
      <c r="K43" s="697">
        <v>1</v>
      </c>
      <c r="L43" s="676">
        <v>11</v>
      </c>
      <c r="M43" s="677">
        <v>6170.9941447427937</v>
      </c>
    </row>
    <row r="44" spans="1:13" ht="14.4" customHeight="1" x14ac:dyDescent="0.3">
      <c r="A44" s="672" t="s">
        <v>483</v>
      </c>
      <c r="B44" s="673" t="s">
        <v>1573</v>
      </c>
      <c r="C44" s="673" t="s">
        <v>1172</v>
      </c>
      <c r="D44" s="673" t="s">
        <v>1574</v>
      </c>
      <c r="E44" s="673" t="s">
        <v>1576</v>
      </c>
      <c r="F44" s="676"/>
      <c r="G44" s="676"/>
      <c r="H44" s="697">
        <v>0</v>
      </c>
      <c r="I44" s="676">
        <v>3</v>
      </c>
      <c r="J44" s="676">
        <v>330</v>
      </c>
      <c r="K44" s="697">
        <v>1</v>
      </c>
      <c r="L44" s="676">
        <v>3</v>
      </c>
      <c r="M44" s="677">
        <v>330</v>
      </c>
    </row>
    <row r="45" spans="1:13" ht="14.4" customHeight="1" x14ac:dyDescent="0.3">
      <c r="A45" s="672" t="s">
        <v>483</v>
      </c>
      <c r="B45" s="673" t="s">
        <v>1573</v>
      </c>
      <c r="C45" s="673" t="s">
        <v>1197</v>
      </c>
      <c r="D45" s="673" t="s">
        <v>1574</v>
      </c>
      <c r="E45" s="673" t="s">
        <v>1577</v>
      </c>
      <c r="F45" s="676"/>
      <c r="G45" s="676"/>
      <c r="H45" s="697">
        <v>0</v>
      </c>
      <c r="I45" s="676">
        <v>14</v>
      </c>
      <c r="J45" s="676">
        <v>10995.6</v>
      </c>
      <c r="K45" s="697">
        <v>1</v>
      </c>
      <c r="L45" s="676">
        <v>14</v>
      </c>
      <c r="M45" s="677">
        <v>10995.6</v>
      </c>
    </row>
    <row r="46" spans="1:13" ht="14.4" customHeight="1" x14ac:dyDescent="0.3">
      <c r="A46" s="672" t="s">
        <v>483</v>
      </c>
      <c r="B46" s="673" t="s">
        <v>1578</v>
      </c>
      <c r="C46" s="673" t="s">
        <v>1098</v>
      </c>
      <c r="D46" s="673" t="s">
        <v>1579</v>
      </c>
      <c r="E46" s="673" t="s">
        <v>1580</v>
      </c>
      <c r="F46" s="676"/>
      <c r="G46" s="676"/>
      <c r="H46" s="697">
        <v>0</v>
      </c>
      <c r="I46" s="676">
        <v>4</v>
      </c>
      <c r="J46" s="676">
        <v>178.36041962467638</v>
      </c>
      <c r="K46" s="697">
        <v>1</v>
      </c>
      <c r="L46" s="676">
        <v>4</v>
      </c>
      <c r="M46" s="677">
        <v>178.36041962467638</v>
      </c>
    </row>
    <row r="47" spans="1:13" ht="14.4" customHeight="1" x14ac:dyDescent="0.3">
      <c r="A47" s="672" t="s">
        <v>483</v>
      </c>
      <c r="B47" s="673" t="s">
        <v>1578</v>
      </c>
      <c r="C47" s="673" t="s">
        <v>1082</v>
      </c>
      <c r="D47" s="673" t="s">
        <v>1581</v>
      </c>
      <c r="E47" s="673" t="s">
        <v>1582</v>
      </c>
      <c r="F47" s="676"/>
      <c r="G47" s="676"/>
      <c r="H47" s="697">
        <v>0</v>
      </c>
      <c r="I47" s="676">
        <v>76</v>
      </c>
      <c r="J47" s="676">
        <v>4322.8799477487255</v>
      </c>
      <c r="K47" s="697">
        <v>1</v>
      </c>
      <c r="L47" s="676">
        <v>76</v>
      </c>
      <c r="M47" s="677">
        <v>4322.8799477487255</v>
      </c>
    </row>
    <row r="48" spans="1:13" ht="14.4" customHeight="1" x14ac:dyDescent="0.3">
      <c r="A48" s="672" t="s">
        <v>483</v>
      </c>
      <c r="B48" s="673" t="s">
        <v>1583</v>
      </c>
      <c r="C48" s="673" t="s">
        <v>1140</v>
      </c>
      <c r="D48" s="673" t="s">
        <v>1584</v>
      </c>
      <c r="E48" s="673" t="s">
        <v>1585</v>
      </c>
      <c r="F48" s="676"/>
      <c r="G48" s="676"/>
      <c r="H48" s="697">
        <v>0</v>
      </c>
      <c r="I48" s="676">
        <v>8</v>
      </c>
      <c r="J48" s="676">
        <v>2601.2799999999997</v>
      </c>
      <c r="K48" s="697">
        <v>1</v>
      </c>
      <c r="L48" s="676">
        <v>8</v>
      </c>
      <c r="M48" s="677">
        <v>2601.2799999999997</v>
      </c>
    </row>
    <row r="49" spans="1:13" ht="14.4" customHeight="1" x14ac:dyDescent="0.3">
      <c r="A49" s="672" t="s">
        <v>483</v>
      </c>
      <c r="B49" s="673" t="s">
        <v>1586</v>
      </c>
      <c r="C49" s="673" t="s">
        <v>1148</v>
      </c>
      <c r="D49" s="673" t="s">
        <v>1149</v>
      </c>
      <c r="E49" s="673" t="s">
        <v>1587</v>
      </c>
      <c r="F49" s="676"/>
      <c r="G49" s="676"/>
      <c r="H49" s="697">
        <v>0</v>
      </c>
      <c r="I49" s="676">
        <v>6</v>
      </c>
      <c r="J49" s="676">
        <v>5761.5000000000009</v>
      </c>
      <c r="K49" s="697">
        <v>1</v>
      </c>
      <c r="L49" s="676">
        <v>6</v>
      </c>
      <c r="M49" s="677">
        <v>5761.5000000000009</v>
      </c>
    </row>
    <row r="50" spans="1:13" ht="14.4" customHeight="1" x14ac:dyDescent="0.3">
      <c r="A50" s="672" t="s">
        <v>483</v>
      </c>
      <c r="B50" s="673" t="s">
        <v>1588</v>
      </c>
      <c r="C50" s="673" t="s">
        <v>494</v>
      </c>
      <c r="D50" s="673" t="s">
        <v>1589</v>
      </c>
      <c r="E50" s="673" t="s">
        <v>1590</v>
      </c>
      <c r="F50" s="676">
        <v>1</v>
      </c>
      <c r="G50" s="676">
        <v>107.45000000000003</v>
      </c>
      <c r="H50" s="697">
        <v>1</v>
      </c>
      <c r="I50" s="676"/>
      <c r="J50" s="676"/>
      <c r="K50" s="697">
        <v>0</v>
      </c>
      <c r="L50" s="676">
        <v>1</v>
      </c>
      <c r="M50" s="677">
        <v>107.45000000000003</v>
      </c>
    </row>
    <row r="51" spans="1:13" ht="14.4" customHeight="1" x14ac:dyDescent="0.3">
      <c r="A51" s="672" t="s">
        <v>483</v>
      </c>
      <c r="B51" s="673" t="s">
        <v>1588</v>
      </c>
      <c r="C51" s="673" t="s">
        <v>506</v>
      </c>
      <c r="D51" s="673" t="s">
        <v>1589</v>
      </c>
      <c r="E51" s="673" t="s">
        <v>1591</v>
      </c>
      <c r="F51" s="676">
        <v>1</v>
      </c>
      <c r="G51" s="676">
        <v>465.10999999999996</v>
      </c>
      <c r="H51" s="697">
        <v>1</v>
      </c>
      <c r="I51" s="676"/>
      <c r="J51" s="676"/>
      <c r="K51" s="697">
        <v>0</v>
      </c>
      <c r="L51" s="676">
        <v>1</v>
      </c>
      <c r="M51" s="677">
        <v>465.10999999999996</v>
      </c>
    </row>
    <row r="52" spans="1:13" ht="14.4" customHeight="1" x14ac:dyDescent="0.3">
      <c r="A52" s="672" t="s">
        <v>483</v>
      </c>
      <c r="B52" s="673" t="s">
        <v>1588</v>
      </c>
      <c r="C52" s="673" t="s">
        <v>490</v>
      </c>
      <c r="D52" s="673" t="s">
        <v>1589</v>
      </c>
      <c r="E52" s="673" t="s">
        <v>1592</v>
      </c>
      <c r="F52" s="676">
        <v>2</v>
      </c>
      <c r="G52" s="676">
        <v>507.2200000000002</v>
      </c>
      <c r="H52" s="697">
        <v>1</v>
      </c>
      <c r="I52" s="676"/>
      <c r="J52" s="676"/>
      <c r="K52" s="697">
        <v>0</v>
      </c>
      <c r="L52" s="676">
        <v>2</v>
      </c>
      <c r="M52" s="677">
        <v>507.2200000000002</v>
      </c>
    </row>
    <row r="53" spans="1:13" ht="14.4" customHeight="1" x14ac:dyDescent="0.3">
      <c r="A53" s="672" t="s">
        <v>483</v>
      </c>
      <c r="B53" s="673" t="s">
        <v>1593</v>
      </c>
      <c r="C53" s="673" t="s">
        <v>1190</v>
      </c>
      <c r="D53" s="673" t="s">
        <v>1594</v>
      </c>
      <c r="E53" s="673" t="s">
        <v>1595</v>
      </c>
      <c r="F53" s="676"/>
      <c r="G53" s="676"/>
      <c r="H53" s="697">
        <v>0</v>
      </c>
      <c r="I53" s="676">
        <v>2</v>
      </c>
      <c r="J53" s="676">
        <v>98.74</v>
      </c>
      <c r="K53" s="697">
        <v>1</v>
      </c>
      <c r="L53" s="676">
        <v>2</v>
      </c>
      <c r="M53" s="677">
        <v>98.74</v>
      </c>
    </row>
    <row r="54" spans="1:13" ht="14.4" customHeight="1" x14ac:dyDescent="0.3">
      <c r="A54" s="672" t="s">
        <v>483</v>
      </c>
      <c r="B54" s="673" t="s">
        <v>1593</v>
      </c>
      <c r="C54" s="673" t="s">
        <v>1193</v>
      </c>
      <c r="D54" s="673" t="s">
        <v>1594</v>
      </c>
      <c r="E54" s="673" t="s">
        <v>1596</v>
      </c>
      <c r="F54" s="676"/>
      <c r="G54" s="676"/>
      <c r="H54" s="697">
        <v>0</v>
      </c>
      <c r="I54" s="676">
        <v>1</v>
      </c>
      <c r="J54" s="676">
        <v>67.320124071830293</v>
      </c>
      <c r="K54" s="697">
        <v>1</v>
      </c>
      <c r="L54" s="676">
        <v>1</v>
      </c>
      <c r="M54" s="677">
        <v>67.320124071830293</v>
      </c>
    </row>
    <row r="55" spans="1:13" ht="14.4" customHeight="1" x14ac:dyDescent="0.3">
      <c r="A55" s="672" t="s">
        <v>483</v>
      </c>
      <c r="B55" s="673" t="s">
        <v>1593</v>
      </c>
      <c r="C55" s="673" t="s">
        <v>1195</v>
      </c>
      <c r="D55" s="673" t="s">
        <v>1594</v>
      </c>
      <c r="E55" s="673" t="s">
        <v>1597</v>
      </c>
      <c r="F55" s="676"/>
      <c r="G55" s="676"/>
      <c r="H55" s="697">
        <v>0</v>
      </c>
      <c r="I55" s="676">
        <v>5</v>
      </c>
      <c r="J55" s="676">
        <v>476.85</v>
      </c>
      <c r="K55" s="697">
        <v>1</v>
      </c>
      <c r="L55" s="676">
        <v>5</v>
      </c>
      <c r="M55" s="677">
        <v>476.85</v>
      </c>
    </row>
    <row r="56" spans="1:13" ht="14.4" customHeight="1" x14ac:dyDescent="0.3">
      <c r="A56" s="672" t="s">
        <v>483</v>
      </c>
      <c r="B56" s="673" t="s">
        <v>1593</v>
      </c>
      <c r="C56" s="673" t="s">
        <v>1151</v>
      </c>
      <c r="D56" s="673" t="s">
        <v>1594</v>
      </c>
      <c r="E56" s="673" t="s">
        <v>1598</v>
      </c>
      <c r="F56" s="676"/>
      <c r="G56" s="676"/>
      <c r="H56" s="697">
        <v>0</v>
      </c>
      <c r="I56" s="676">
        <v>5</v>
      </c>
      <c r="J56" s="676">
        <v>1654.9507383214068</v>
      </c>
      <c r="K56" s="697">
        <v>1</v>
      </c>
      <c r="L56" s="676">
        <v>5</v>
      </c>
      <c r="M56" s="677">
        <v>1654.9507383214068</v>
      </c>
    </row>
    <row r="57" spans="1:13" ht="14.4" customHeight="1" x14ac:dyDescent="0.3">
      <c r="A57" s="672" t="s">
        <v>483</v>
      </c>
      <c r="B57" s="673" t="s">
        <v>1593</v>
      </c>
      <c r="C57" s="673" t="s">
        <v>508</v>
      </c>
      <c r="D57" s="673" t="s">
        <v>1599</v>
      </c>
      <c r="E57" s="673" t="s">
        <v>1600</v>
      </c>
      <c r="F57" s="676">
        <v>1</v>
      </c>
      <c r="G57" s="676">
        <v>495.84</v>
      </c>
      <c r="H57" s="697">
        <v>1</v>
      </c>
      <c r="I57" s="676"/>
      <c r="J57" s="676"/>
      <c r="K57" s="697">
        <v>0</v>
      </c>
      <c r="L57" s="676">
        <v>1</v>
      </c>
      <c r="M57" s="677">
        <v>495.84</v>
      </c>
    </row>
    <row r="58" spans="1:13" ht="14.4" customHeight="1" x14ac:dyDescent="0.3">
      <c r="A58" s="672" t="s">
        <v>483</v>
      </c>
      <c r="B58" s="673" t="s">
        <v>1601</v>
      </c>
      <c r="C58" s="673" t="s">
        <v>1161</v>
      </c>
      <c r="D58" s="673" t="s">
        <v>1162</v>
      </c>
      <c r="E58" s="673" t="s">
        <v>1602</v>
      </c>
      <c r="F58" s="676"/>
      <c r="G58" s="676"/>
      <c r="H58" s="697">
        <v>0</v>
      </c>
      <c r="I58" s="676">
        <v>1</v>
      </c>
      <c r="J58" s="676">
        <v>22.090000000000003</v>
      </c>
      <c r="K58" s="697">
        <v>1</v>
      </c>
      <c r="L58" s="676">
        <v>1</v>
      </c>
      <c r="M58" s="677">
        <v>22.090000000000003</v>
      </c>
    </row>
    <row r="59" spans="1:13" ht="14.4" customHeight="1" x14ac:dyDescent="0.3">
      <c r="A59" s="672" t="s">
        <v>483</v>
      </c>
      <c r="B59" s="673" t="s">
        <v>1603</v>
      </c>
      <c r="C59" s="673" t="s">
        <v>1132</v>
      </c>
      <c r="D59" s="673" t="s">
        <v>1133</v>
      </c>
      <c r="E59" s="673" t="s">
        <v>1604</v>
      </c>
      <c r="F59" s="676"/>
      <c r="G59" s="676"/>
      <c r="H59" s="697">
        <v>0</v>
      </c>
      <c r="I59" s="676">
        <v>1</v>
      </c>
      <c r="J59" s="676">
        <v>27.25</v>
      </c>
      <c r="K59" s="697">
        <v>1</v>
      </c>
      <c r="L59" s="676">
        <v>1</v>
      </c>
      <c r="M59" s="677">
        <v>27.25</v>
      </c>
    </row>
    <row r="60" spans="1:13" ht="14.4" customHeight="1" x14ac:dyDescent="0.3">
      <c r="A60" s="672" t="s">
        <v>483</v>
      </c>
      <c r="B60" s="673" t="s">
        <v>1605</v>
      </c>
      <c r="C60" s="673" t="s">
        <v>1157</v>
      </c>
      <c r="D60" s="673" t="s">
        <v>1606</v>
      </c>
      <c r="E60" s="673" t="s">
        <v>1607</v>
      </c>
      <c r="F60" s="676"/>
      <c r="G60" s="676"/>
      <c r="H60" s="697">
        <v>0</v>
      </c>
      <c r="I60" s="676">
        <v>1</v>
      </c>
      <c r="J60" s="676">
        <v>139.47000000000003</v>
      </c>
      <c r="K60" s="697">
        <v>1</v>
      </c>
      <c r="L60" s="676">
        <v>1</v>
      </c>
      <c r="M60" s="677">
        <v>139.47000000000003</v>
      </c>
    </row>
    <row r="61" spans="1:13" ht="14.4" customHeight="1" x14ac:dyDescent="0.3">
      <c r="A61" s="672" t="s">
        <v>483</v>
      </c>
      <c r="B61" s="673" t="s">
        <v>1608</v>
      </c>
      <c r="C61" s="673" t="s">
        <v>1101</v>
      </c>
      <c r="D61" s="673" t="s">
        <v>1609</v>
      </c>
      <c r="E61" s="673" t="s">
        <v>1610</v>
      </c>
      <c r="F61" s="676"/>
      <c r="G61" s="676"/>
      <c r="H61" s="697">
        <v>0</v>
      </c>
      <c r="I61" s="676">
        <v>25</v>
      </c>
      <c r="J61" s="676">
        <v>2030.33</v>
      </c>
      <c r="K61" s="697">
        <v>1</v>
      </c>
      <c r="L61" s="676">
        <v>25</v>
      </c>
      <c r="M61" s="677">
        <v>2030.33</v>
      </c>
    </row>
    <row r="62" spans="1:13" ht="14.4" customHeight="1" x14ac:dyDescent="0.3">
      <c r="A62" s="672" t="s">
        <v>483</v>
      </c>
      <c r="B62" s="673" t="s">
        <v>1611</v>
      </c>
      <c r="C62" s="673" t="s">
        <v>1154</v>
      </c>
      <c r="D62" s="673" t="s">
        <v>1612</v>
      </c>
      <c r="E62" s="673" t="s">
        <v>1613</v>
      </c>
      <c r="F62" s="676"/>
      <c r="G62" s="676"/>
      <c r="H62" s="697">
        <v>0</v>
      </c>
      <c r="I62" s="676">
        <v>1</v>
      </c>
      <c r="J62" s="676">
        <v>680.1</v>
      </c>
      <c r="K62" s="697">
        <v>1</v>
      </c>
      <c r="L62" s="676">
        <v>1</v>
      </c>
      <c r="M62" s="677">
        <v>680.1</v>
      </c>
    </row>
    <row r="63" spans="1:13" ht="14.4" customHeight="1" x14ac:dyDescent="0.3">
      <c r="A63" s="672" t="s">
        <v>483</v>
      </c>
      <c r="B63" s="673" t="s">
        <v>1614</v>
      </c>
      <c r="C63" s="673" t="s">
        <v>1230</v>
      </c>
      <c r="D63" s="673" t="s">
        <v>1231</v>
      </c>
      <c r="E63" s="673" t="s">
        <v>1232</v>
      </c>
      <c r="F63" s="676"/>
      <c r="G63" s="676"/>
      <c r="H63" s="697">
        <v>0</v>
      </c>
      <c r="I63" s="676">
        <v>16</v>
      </c>
      <c r="J63" s="676">
        <v>654.72</v>
      </c>
      <c r="K63" s="697">
        <v>1</v>
      </c>
      <c r="L63" s="676">
        <v>16</v>
      </c>
      <c r="M63" s="677">
        <v>654.72</v>
      </c>
    </row>
    <row r="64" spans="1:13" ht="14.4" customHeight="1" x14ac:dyDescent="0.3">
      <c r="A64" s="672" t="s">
        <v>483</v>
      </c>
      <c r="B64" s="673" t="s">
        <v>1614</v>
      </c>
      <c r="C64" s="673" t="s">
        <v>1234</v>
      </c>
      <c r="D64" s="673" t="s">
        <v>1235</v>
      </c>
      <c r="E64" s="673" t="s">
        <v>1232</v>
      </c>
      <c r="F64" s="676"/>
      <c r="G64" s="676"/>
      <c r="H64" s="697">
        <v>0</v>
      </c>
      <c r="I64" s="676">
        <v>32</v>
      </c>
      <c r="J64" s="676">
        <v>1309.44</v>
      </c>
      <c r="K64" s="697">
        <v>1</v>
      </c>
      <c r="L64" s="676">
        <v>32</v>
      </c>
      <c r="M64" s="677">
        <v>1309.44</v>
      </c>
    </row>
    <row r="65" spans="1:13" ht="14.4" customHeight="1" x14ac:dyDescent="0.3">
      <c r="A65" s="672" t="s">
        <v>483</v>
      </c>
      <c r="B65" s="673" t="s">
        <v>1614</v>
      </c>
      <c r="C65" s="673" t="s">
        <v>1237</v>
      </c>
      <c r="D65" s="673" t="s">
        <v>1615</v>
      </c>
      <c r="E65" s="673" t="s">
        <v>1232</v>
      </c>
      <c r="F65" s="676"/>
      <c r="G65" s="676"/>
      <c r="H65" s="697">
        <v>0</v>
      </c>
      <c r="I65" s="676">
        <v>8</v>
      </c>
      <c r="J65" s="676">
        <v>329.44</v>
      </c>
      <c r="K65" s="697">
        <v>1</v>
      </c>
      <c r="L65" s="676">
        <v>8</v>
      </c>
      <c r="M65" s="677">
        <v>329.44</v>
      </c>
    </row>
    <row r="66" spans="1:13" ht="14.4" customHeight="1" x14ac:dyDescent="0.3">
      <c r="A66" s="672" t="s">
        <v>483</v>
      </c>
      <c r="B66" s="673" t="s">
        <v>1614</v>
      </c>
      <c r="C66" s="673" t="s">
        <v>1240</v>
      </c>
      <c r="D66" s="673" t="s">
        <v>1616</v>
      </c>
      <c r="E66" s="673" t="s">
        <v>1232</v>
      </c>
      <c r="F66" s="676"/>
      <c r="G66" s="676"/>
      <c r="H66" s="697">
        <v>0</v>
      </c>
      <c r="I66" s="676">
        <v>8</v>
      </c>
      <c r="J66" s="676">
        <v>329.43999999999994</v>
      </c>
      <c r="K66" s="697">
        <v>1</v>
      </c>
      <c r="L66" s="676">
        <v>8</v>
      </c>
      <c r="M66" s="677">
        <v>329.43999999999994</v>
      </c>
    </row>
    <row r="67" spans="1:13" ht="14.4" customHeight="1" x14ac:dyDescent="0.3">
      <c r="A67" s="672" t="s">
        <v>483</v>
      </c>
      <c r="B67" s="673" t="s">
        <v>1614</v>
      </c>
      <c r="C67" s="673" t="s">
        <v>1243</v>
      </c>
      <c r="D67" s="673" t="s">
        <v>1244</v>
      </c>
      <c r="E67" s="673" t="s">
        <v>1617</v>
      </c>
      <c r="F67" s="676"/>
      <c r="G67" s="676"/>
      <c r="H67" s="697">
        <v>0</v>
      </c>
      <c r="I67" s="676">
        <v>16</v>
      </c>
      <c r="J67" s="676">
        <v>4723.3600000000006</v>
      </c>
      <c r="K67" s="697">
        <v>1</v>
      </c>
      <c r="L67" s="676">
        <v>16</v>
      </c>
      <c r="M67" s="677">
        <v>4723.3600000000006</v>
      </c>
    </row>
    <row r="68" spans="1:13" ht="14.4" customHeight="1" x14ac:dyDescent="0.3">
      <c r="A68" s="672" t="s">
        <v>483</v>
      </c>
      <c r="B68" s="673" t="s">
        <v>1614</v>
      </c>
      <c r="C68" s="673" t="s">
        <v>1256</v>
      </c>
      <c r="D68" s="673" t="s">
        <v>1257</v>
      </c>
      <c r="E68" s="673" t="s">
        <v>1618</v>
      </c>
      <c r="F68" s="676"/>
      <c r="G68" s="676"/>
      <c r="H68" s="697">
        <v>0</v>
      </c>
      <c r="I68" s="676">
        <v>5</v>
      </c>
      <c r="J68" s="676">
        <v>559.74963651221537</v>
      </c>
      <c r="K68" s="697">
        <v>1</v>
      </c>
      <c r="L68" s="676">
        <v>5</v>
      </c>
      <c r="M68" s="677">
        <v>559.74963651221537</v>
      </c>
    </row>
    <row r="69" spans="1:13" ht="14.4" customHeight="1" x14ac:dyDescent="0.3">
      <c r="A69" s="672" t="s">
        <v>483</v>
      </c>
      <c r="B69" s="673" t="s">
        <v>1614</v>
      </c>
      <c r="C69" s="673" t="s">
        <v>1246</v>
      </c>
      <c r="D69" s="673" t="s">
        <v>1247</v>
      </c>
      <c r="E69" s="673" t="s">
        <v>1618</v>
      </c>
      <c r="F69" s="676"/>
      <c r="G69" s="676"/>
      <c r="H69" s="697">
        <v>0</v>
      </c>
      <c r="I69" s="676">
        <v>4</v>
      </c>
      <c r="J69" s="676">
        <v>447.80035079883362</v>
      </c>
      <c r="K69" s="697">
        <v>1</v>
      </c>
      <c r="L69" s="676">
        <v>4</v>
      </c>
      <c r="M69" s="677">
        <v>447.80035079883362</v>
      </c>
    </row>
    <row r="70" spans="1:13" ht="14.4" customHeight="1" x14ac:dyDescent="0.3">
      <c r="A70" s="672" t="s">
        <v>483</v>
      </c>
      <c r="B70" s="673" t="s">
        <v>1614</v>
      </c>
      <c r="C70" s="673" t="s">
        <v>1249</v>
      </c>
      <c r="D70" s="673" t="s">
        <v>1250</v>
      </c>
      <c r="E70" s="673" t="s">
        <v>1618</v>
      </c>
      <c r="F70" s="676"/>
      <c r="G70" s="676"/>
      <c r="H70" s="697">
        <v>0</v>
      </c>
      <c r="I70" s="676">
        <v>4</v>
      </c>
      <c r="J70" s="676">
        <v>447.8</v>
      </c>
      <c r="K70" s="697">
        <v>1</v>
      </c>
      <c r="L70" s="676">
        <v>4</v>
      </c>
      <c r="M70" s="677">
        <v>447.8</v>
      </c>
    </row>
    <row r="71" spans="1:13" ht="14.4" customHeight="1" x14ac:dyDescent="0.3">
      <c r="A71" s="672" t="s">
        <v>483</v>
      </c>
      <c r="B71" s="673" t="s">
        <v>1614</v>
      </c>
      <c r="C71" s="673" t="s">
        <v>1252</v>
      </c>
      <c r="D71" s="673" t="s">
        <v>1619</v>
      </c>
      <c r="E71" s="673" t="s">
        <v>1618</v>
      </c>
      <c r="F71" s="676"/>
      <c r="G71" s="676"/>
      <c r="H71" s="697">
        <v>0</v>
      </c>
      <c r="I71" s="676">
        <v>1</v>
      </c>
      <c r="J71" s="676">
        <v>111.95000000000003</v>
      </c>
      <c r="K71" s="697">
        <v>1</v>
      </c>
      <c r="L71" s="676">
        <v>1</v>
      </c>
      <c r="M71" s="677">
        <v>111.95000000000003</v>
      </c>
    </row>
    <row r="72" spans="1:13" ht="14.4" customHeight="1" x14ac:dyDescent="0.3">
      <c r="A72" s="672" t="s">
        <v>483</v>
      </c>
      <c r="B72" s="673" t="s">
        <v>1614</v>
      </c>
      <c r="C72" s="673" t="s">
        <v>1261</v>
      </c>
      <c r="D72" s="673" t="s">
        <v>1262</v>
      </c>
      <c r="E72" s="673" t="s">
        <v>1260</v>
      </c>
      <c r="F72" s="676"/>
      <c r="G72" s="676"/>
      <c r="H72" s="697">
        <v>0</v>
      </c>
      <c r="I72" s="676">
        <v>9</v>
      </c>
      <c r="J72" s="676">
        <v>1104.2099999999998</v>
      </c>
      <c r="K72" s="697">
        <v>1</v>
      </c>
      <c r="L72" s="676">
        <v>9</v>
      </c>
      <c r="M72" s="677">
        <v>1104.2099999999998</v>
      </c>
    </row>
    <row r="73" spans="1:13" ht="14.4" customHeight="1" x14ac:dyDescent="0.3">
      <c r="A73" s="672" t="s">
        <v>483</v>
      </c>
      <c r="B73" s="673" t="s">
        <v>1614</v>
      </c>
      <c r="C73" s="673" t="s">
        <v>1258</v>
      </c>
      <c r="D73" s="673" t="s">
        <v>1259</v>
      </c>
      <c r="E73" s="673" t="s">
        <v>1260</v>
      </c>
      <c r="F73" s="676"/>
      <c r="G73" s="676"/>
      <c r="H73" s="697">
        <v>0</v>
      </c>
      <c r="I73" s="676">
        <v>7</v>
      </c>
      <c r="J73" s="676">
        <v>858.83</v>
      </c>
      <c r="K73" s="697">
        <v>1</v>
      </c>
      <c r="L73" s="676">
        <v>7</v>
      </c>
      <c r="M73" s="677">
        <v>858.83</v>
      </c>
    </row>
    <row r="74" spans="1:13" ht="14.4" customHeight="1" x14ac:dyDescent="0.3">
      <c r="A74" s="672" t="s">
        <v>483</v>
      </c>
      <c r="B74" s="673" t="s">
        <v>1614</v>
      </c>
      <c r="C74" s="673" t="s">
        <v>1265</v>
      </c>
      <c r="D74" s="673" t="s">
        <v>1266</v>
      </c>
      <c r="E74" s="673" t="s">
        <v>1260</v>
      </c>
      <c r="F74" s="676"/>
      <c r="G74" s="676"/>
      <c r="H74" s="697">
        <v>0</v>
      </c>
      <c r="I74" s="676">
        <v>2</v>
      </c>
      <c r="J74" s="676">
        <v>259.94</v>
      </c>
      <c r="K74" s="697">
        <v>1</v>
      </c>
      <c r="L74" s="676">
        <v>2</v>
      </c>
      <c r="M74" s="677">
        <v>259.94</v>
      </c>
    </row>
    <row r="75" spans="1:13" ht="14.4" customHeight="1" x14ac:dyDescent="0.3">
      <c r="A75" s="672" t="s">
        <v>483</v>
      </c>
      <c r="B75" s="673" t="s">
        <v>1614</v>
      </c>
      <c r="C75" s="673" t="s">
        <v>1263</v>
      </c>
      <c r="D75" s="673" t="s">
        <v>1264</v>
      </c>
      <c r="E75" s="673" t="s">
        <v>1260</v>
      </c>
      <c r="F75" s="676"/>
      <c r="G75" s="676"/>
      <c r="H75" s="697">
        <v>0</v>
      </c>
      <c r="I75" s="676">
        <v>5</v>
      </c>
      <c r="J75" s="676">
        <v>649.85000000000014</v>
      </c>
      <c r="K75" s="697">
        <v>1</v>
      </c>
      <c r="L75" s="676">
        <v>5</v>
      </c>
      <c r="M75" s="677">
        <v>649.85000000000014</v>
      </c>
    </row>
    <row r="76" spans="1:13" ht="14.4" customHeight="1" thickBot="1" x14ac:dyDescent="0.35">
      <c r="A76" s="678" t="s">
        <v>483</v>
      </c>
      <c r="B76" s="679" t="s">
        <v>1614</v>
      </c>
      <c r="C76" s="679" t="s">
        <v>1268</v>
      </c>
      <c r="D76" s="679" t="s">
        <v>1269</v>
      </c>
      <c r="E76" s="679" t="s">
        <v>1232</v>
      </c>
      <c r="F76" s="682"/>
      <c r="G76" s="682"/>
      <c r="H76" s="690">
        <v>0</v>
      </c>
      <c r="I76" s="682">
        <v>4</v>
      </c>
      <c r="J76" s="682">
        <v>122.67999999999998</v>
      </c>
      <c r="K76" s="690">
        <v>1</v>
      </c>
      <c r="L76" s="682">
        <v>4</v>
      </c>
      <c r="M76" s="683">
        <v>122.67999999999998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20" customWidth="1"/>
    <col min="2" max="2" width="5.44140625" style="310" bestFit="1" customWidth="1"/>
    <col min="3" max="3" width="6.109375" style="310" bestFit="1" customWidth="1"/>
    <col min="4" max="4" width="7.44140625" style="310" bestFit="1" customWidth="1"/>
    <col min="5" max="5" width="6.21875" style="310" bestFit="1" customWidth="1"/>
    <col min="6" max="6" width="6.33203125" style="313" bestFit="1" customWidth="1"/>
    <col min="7" max="7" width="6.109375" style="313" bestFit="1" customWidth="1"/>
    <col min="8" max="8" width="7.44140625" style="313" bestFit="1" customWidth="1"/>
    <col min="9" max="9" width="6.21875" style="313" bestFit="1" customWidth="1"/>
    <col min="10" max="10" width="5.44140625" style="310" bestFit="1" customWidth="1"/>
    <col min="11" max="11" width="6.109375" style="310" bestFit="1" customWidth="1"/>
    <col min="12" max="12" width="7.44140625" style="310" bestFit="1" customWidth="1"/>
    <col min="13" max="13" width="6.21875" style="310" bestFit="1" customWidth="1"/>
    <col min="14" max="14" width="5.33203125" style="313" bestFit="1" customWidth="1"/>
    <col min="15" max="15" width="6.109375" style="313" bestFit="1" customWidth="1"/>
    <col min="16" max="16" width="7.44140625" style="313" bestFit="1" customWidth="1"/>
    <col min="17" max="17" width="6.21875" style="313" bestFit="1" customWidth="1"/>
    <col min="18" max="16384" width="8.88671875" style="231"/>
  </cols>
  <sheetData>
    <row r="1" spans="1:17" ht="18.600000000000001" customHeight="1" thickBot="1" x14ac:dyDescent="0.4">
      <c r="A1" s="533" t="s">
        <v>226</v>
      </c>
      <c r="B1" s="533"/>
      <c r="C1" s="533"/>
      <c r="D1" s="533"/>
      <c r="E1" s="533"/>
      <c r="F1" s="495"/>
      <c r="G1" s="495"/>
      <c r="H1" s="495"/>
      <c r="I1" s="495"/>
      <c r="J1" s="526"/>
      <c r="K1" s="526"/>
      <c r="L1" s="526"/>
      <c r="M1" s="526"/>
      <c r="N1" s="526"/>
      <c r="O1" s="526"/>
      <c r="P1" s="526"/>
      <c r="Q1" s="526"/>
    </row>
    <row r="2" spans="1:17" ht="14.4" customHeight="1" thickBot="1" x14ac:dyDescent="0.35">
      <c r="A2" s="351" t="s">
        <v>288</v>
      </c>
      <c r="B2" s="317"/>
      <c r="C2" s="317"/>
      <c r="D2" s="317"/>
      <c r="E2" s="317"/>
    </row>
    <row r="3" spans="1:17" ht="14.4" customHeight="1" thickBot="1" x14ac:dyDescent="0.35">
      <c r="A3" s="409" t="s">
        <v>3</v>
      </c>
      <c r="B3" s="413">
        <f>SUM(B6:B1048576)</f>
        <v>854</v>
      </c>
      <c r="C3" s="414">
        <f>SUM(C6:C1048576)</f>
        <v>314</v>
      </c>
      <c r="D3" s="414">
        <f>SUM(D6:D1048576)</f>
        <v>582</v>
      </c>
      <c r="E3" s="415">
        <f>SUM(E6:E1048576)</f>
        <v>0</v>
      </c>
      <c r="F3" s="412">
        <f>IF(SUM($B3:$E3)=0,"",B3/SUM($B3:$E3))</f>
        <v>0.48799999999999999</v>
      </c>
      <c r="G3" s="410">
        <f t="shared" ref="G3:I3" si="0">IF(SUM($B3:$E3)=0,"",C3/SUM($B3:$E3))</f>
        <v>0.17942857142857144</v>
      </c>
      <c r="H3" s="410">
        <f t="shared" si="0"/>
        <v>0.33257142857142857</v>
      </c>
      <c r="I3" s="411">
        <f t="shared" si="0"/>
        <v>0</v>
      </c>
      <c r="J3" s="414">
        <f>SUM(J6:J1048576)</f>
        <v>58</v>
      </c>
      <c r="K3" s="414">
        <f>SUM(K6:K1048576)</f>
        <v>119</v>
      </c>
      <c r="L3" s="414">
        <f>SUM(L6:L1048576)</f>
        <v>582</v>
      </c>
      <c r="M3" s="415">
        <f>SUM(M6:M1048576)</f>
        <v>0</v>
      </c>
      <c r="N3" s="412">
        <f>IF(SUM($J3:$M3)=0,"",J3/SUM($J3:$M3))</f>
        <v>7.6416337285902497E-2</v>
      </c>
      <c r="O3" s="410">
        <f t="shared" ref="O3:Q3" si="1">IF(SUM($J3:$M3)=0,"",K3/SUM($J3:$M3))</f>
        <v>0.15678524374176547</v>
      </c>
      <c r="P3" s="410">
        <f t="shared" si="1"/>
        <v>0.76679841897233203</v>
      </c>
      <c r="Q3" s="411">
        <f t="shared" si="1"/>
        <v>0</v>
      </c>
    </row>
    <row r="4" spans="1:17" ht="14.4" customHeight="1" thickBot="1" x14ac:dyDescent="0.35">
      <c r="A4" s="408"/>
      <c r="B4" s="546" t="s">
        <v>228</v>
      </c>
      <c r="C4" s="547"/>
      <c r="D4" s="547"/>
      <c r="E4" s="548"/>
      <c r="F4" s="543" t="s">
        <v>233</v>
      </c>
      <c r="G4" s="544"/>
      <c r="H4" s="544"/>
      <c r="I4" s="545"/>
      <c r="J4" s="546" t="s">
        <v>234</v>
      </c>
      <c r="K4" s="547"/>
      <c r="L4" s="547"/>
      <c r="M4" s="548"/>
      <c r="N4" s="543" t="s">
        <v>235</v>
      </c>
      <c r="O4" s="544"/>
      <c r="P4" s="544"/>
      <c r="Q4" s="545"/>
    </row>
    <row r="5" spans="1:17" ht="14.4" customHeight="1" thickBot="1" x14ac:dyDescent="0.35">
      <c r="A5" s="707" t="s">
        <v>227</v>
      </c>
      <c r="B5" s="708" t="s">
        <v>229</v>
      </c>
      <c r="C5" s="708" t="s">
        <v>230</v>
      </c>
      <c r="D5" s="708" t="s">
        <v>231</v>
      </c>
      <c r="E5" s="709" t="s">
        <v>232</v>
      </c>
      <c r="F5" s="710" t="s">
        <v>229</v>
      </c>
      <c r="G5" s="711" t="s">
        <v>230</v>
      </c>
      <c r="H5" s="711" t="s">
        <v>231</v>
      </c>
      <c r="I5" s="712" t="s">
        <v>232</v>
      </c>
      <c r="J5" s="708" t="s">
        <v>229</v>
      </c>
      <c r="K5" s="708" t="s">
        <v>230</v>
      </c>
      <c r="L5" s="708" t="s">
        <v>231</v>
      </c>
      <c r="M5" s="709" t="s">
        <v>232</v>
      </c>
      <c r="N5" s="710" t="s">
        <v>229</v>
      </c>
      <c r="O5" s="711" t="s">
        <v>230</v>
      </c>
      <c r="P5" s="711" t="s">
        <v>231</v>
      </c>
      <c r="Q5" s="712" t="s">
        <v>232</v>
      </c>
    </row>
    <row r="6" spans="1:17" ht="14.4" customHeight="1" x14ac:dyDescent="0.3">
      <c r="A6" s="715" t="s">
        <v>1621</v>
      </c>
      <c r="B6" s="719"/>
      <c r="C6" s="670"/>
      <c r="D6" s="670"/>
      <c r="E6" s="671"/>
      <c r="F6" s="717"/>
      <c r="G6" s="689"/>
      <c r="H6" s="689"/>
      <c r="I6" s="721"/>
      <c r="J6" s="719"/>
      <c r="K6" s="670"/>
      <c r="L6" s="670"/>
      <c r="M6" s="671"/>
      <c r="N6" s="717"/>
      <c r="O6" s="689"/>
      <c r="P6" s="689"/>
      <c r="Q6" s="713"/>
    </row>
    <row r="7" spans="1:17" ht="14.4" customHeight="1" thickBot="1" x14ac:dyDescent="0.35">
      <c r="A7" s="716" t="s">
        <v>1622</v>
      </c>
      <c r="B7" s="720">
        <v>854</v>
      </c>
      <c r="C7" s="682">
        <v>314</v>
      </c>
      <c r="D7" s="682">
        <v>582</v>
      </c>
      <c r="E7" s="683"/>
      <c r="F7" s="718">
        <v>0.48799999999999999</v>
      </c>
      <c r="G7" s="690">
        <v>0.17942857142857144</v>
      </c>
      <c r="H7" s="690">
        <v>0.33257142857142857</v>
      </c>
      <c r="I7" s="722">
        <v>0</v>
      </c>
      <c r="J7" s="720">
        <v>58</v>
      </c>
      <c r="K7" s="682">
        <v>119</v>
      </c>
      <c r="L7" s="682">
        <v>582</v>
      </c>
      <c r="M7" s="683"/>
      <c r="N7" s="718">
        <v>7.6416337285902497E-2</v>
      </c>
      <c r="O7" s="690">
        <v>0.15678524374176547</v>
      </c>
      <c r="P7" s="690">
        <v>0.76679841897233203</v>
      </c>
      <c r="Q7" s="71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24" t="s">
        <v>159</v>
      </c>
      <c r="B1" s="525"/>
      <c r="C1" s="525"/>
      <c r="D1" s="525"/>
      <c r="E1" s="525"/>
      <c r="F1" s="525"/>
      <c r="G1" s="495"/>
      <c r="H1" s="526"/>
      <c r="I1" s="526"/>
    </row>
    <row r="2" spans="1:10" ht="14.4" customHeight="1" thickBot="1" x14ac:dyDescent="0.35">
      <c r="A2" s="351" t="s">
        <v>288</v>
      </c>
      <c r="B2" s="309"/>
      <c r="C2" s="309"/>
      <c r="D2" s="309"/>
      <c r="E2" s="309"/>
      <c r="F2" s="309"/>
    </row>
    <row r="3" spans="1:10" ht="14.4" customHeight="1" thickBot="1" x14ac:dyDescent="0.35">
      <c r="A3" s="351"/>
      <c r="B3" s="452"/>
      <c r="C3" s="395">
        <v>2015</v>
      </c>
      <c r="D3" s="396">
        <v>2016</v>
      </c>
      <c r="E3" s="11"/>
      <c r="F3" s="503">
        <v>2017</v>
      </c>
      <c r="G3" s="521"/>
      <c r="H3" s="521"/>
      <c r="I3" s="504"/>
    </row>
    <row r="4" spans="1:10" ht="14.4" customHeight="1" thickBot="1" x14ac:dyDescent="0.35">
      <c r="A4" s="400" t="s">
        <v>0</v>
      </c>
      <c r="B4" s="401" t="s">
        <v>224</v>
      </c>
      <c r="C4" s="522" t="s">
        <v>81</v>
      </c>
      <c r="D4" s="523"/>
      <c r="E4" s="402"/>
      <c r="F4" s="397" t="s">
        <v>81</v>
      </c>
      <c r="G4" s="398" t="s">
        <v>82</v>
      </c>
      <c r="H4" s="398" t="s">
        <v>56</v>
      </c>
      <c r="I4" s="399" t="s">
        <v>83</v>
      </c>
    </row>
    <row r="5" spans="1:10" ht="14.4" customHeight="1" x14ac:dyDescent="0.3">
      <c r="A5" s="654" t="s">
        <v>478</v>
      </c>
      <c r="B5" s="655" t="s">
        <v>479</v>
      </c>
      <c r="C5" s="656" t="s">
        <v>480</v>
      </c>
      <c r="D5" s="656" t="s">
        <v>480</v>
      </c>
      <c r="E5" s="656"/>
      <c r="F5" s="656" t="s">
        <v>480</v>
      </c>
      <c r="G5" s="656" t="s">
        <v>480</v>
      </c>
      <c r="H5" s="656" t="s">
        <v>480</v>
      </c>
      <c r="I5" s="657" t="s">
        <v>480</v>
      </c>
      <c r="J5" s="658" t="s">
        <v>61</v>
      </c>
    </row>
    <row r="6" spans="1:10" ht="14.4" customHeight="1" x14ac:dyDescent="0.3">
      <c r="A6" s="654" t="s">
        <v>478</v>
      </c>
      <c r="B6" s="655" t="s">
        <v>311</v>
      </c>
      <c r="C6" s="656">
        <v>54.183719999999994</v>
      </c>
      <c r="D6" s="656">
        <v>92.974679999999992</v>
      </c>
      <c r="E6" s="656"/>
      <c r="F6" s="656">
        <v>128.68738999999999</v>
      </c>
      <c r="G6" s="656">
        <v>130.09451645172601</v>
      </c>
      <c r="H6" s="656">
        <v>-1.4071264517260147</v>
      </c>
      <c r="I6" s="657">
        <v>0.98918381427515312</v>
      </c>
      <c r="J6" s="658" t="s">
        <v>1</v>
      </c>
    </row>
    <row r="7" spans="1:10" ht="14.4" customHeight="1" x14ac:dyDescent="0.3">
      <c r="A7" s="654" t="s">
        <v>478</v>
      </c>
      <c r="B7" s="655" t="s">
        <v>312</v>
      </c>
      <c r="C7" s="656">
        <v>0</v>
      </c>
      <c r="D7" s="656">
        <v>0</v>
      </c>
      <c r="E7" s="656"/>
      <c r="F7" s="656">
        <v>0.14349999999999999</v>
      </c>
      <c r="G7" s="656">
        <v>0.25</v>
      </c>
      <c r="H7" s="656">
        <v>-0.10650000000000001</v>
      </c>
      <c r="I7" s="657">
        <v>0.57399999999999995</v>
      </c>
      <c r="J7" s="658" t="s">
        <v>1</v>
      </c>
    </row>
    <row r="8" spans="1:10" ht="14.4" customHeight="1" x14ac:dyDescent="0.3">
      <c r="A8" s="654" t="s">
        <v>478</v>
      </c>
      <c r="B8" s="655" t="s">
        <v>313</v>
      </c>
      <c r="C8" s="656">
        <v>102.96129999999999</v>
      </c>
      <c r="D8" s="656">
        <v>111.15880999999999</v>
      </c>
      <c r="E8" s="656"/>
      <c r="F8" s="656">
        <v>131.48383000000001</v>
      </c>
      <c r="G8" s="656">
        <v>139.08807077481575</v>
      </c>
      <c r="H8" s="656">
        <v>-7.6042407748157359</v>
      </c>
      <c r="I8" s="657">
        <v>0.94532787224342885</v>
      </c>
      <c r="J8" s="658" t="s">
        <v>1</v>
      </c>
    </row>
    <row r="9" spans="1:10" ht="14.4" customHeight="1" x14ac:dyDescent="0.3">
      <c r="A9" s="654" t="s">
        <v>478</v>
      </c>
      <c r="B9" s="655" t="s">
        <v>314</v>
      </c>
      <c r="C9" s="656">
        <v>526.29600000000096</v>
      </c>
      <c r="D9" s="656">
        <v>465.73385999999999</v>
      </c>
      <c r="E9" s="656"/>
      <c r="F9" s="656">
        <v>714.01522999999997</v>
      </c>
      <c r="G9" s="656">
        <v>616.41223724433746</v>
      </c>
      <c r="H9" s="656">
        <v>97.602992755662513</v>
      </c>
      <c r="I9" s="657">
        <v>1.1583404527982692</v>
      </c>
      <c r="J9" s="658" t="s">
        <v>1</v>
      </c>
    </row>
    <row r="10" spans="1:10" ht="14.4" customHeight="1" x14ac:dyDescent="0.3">
      <c r="A10" s="654" t="s">
        <v>478</v>
      </c>
      <c r="B10" s="655" t="s">
        <v>315</v>
      </c>
      <c r="C10" s="656">
        <v>19.297059999999998</v>
      </c>
      <c r="D10" s="656">
        <v>29.8855</v>
      </c>
      <c r="E10" s="656"/>
      <c r="F10" s="656">
        <v>61.297200000000004</v>
      </c>
      <c r="G10" s="656">
        <v>51.300382158147002</v>
      </c>
      <c r="H10" s="656">
        <v>9.9968178418530016</v>
      </c>
      <c r="I10" s="657">
        <v>1.194868291839136</v>
      </c>
      <c r="J10" s="658" t="s">
        <v>1</v>
      </c>
    </row>
    <row r="11" spans="1:10" ht="14.4" customHeight="1" x14ac:dyDescent="0.3">
      <c r="A11" s="654" t="s">
        <v>478</v>
      </c>
      <c r="B11" s="655" t="s">
        <v>316</v>
      </c>
      <c r="C11" s="656">
        <v>12.431450000000002</v>
      </c>
      <c r="D11" s="656">
        <v>3.4303799999999995</v>
      </c>
      <c r="E11" s="656"/>
      <c r="F11" s="656">
        <v>6.47865</v>
      </c>
      <c r="G11" s="656">
        <v>7.6128762642597501</v>
      </c>
      <c r="H11" s="656">
        <v>-1.13422626425975</v>
      </c>
      <c r="I11" s="657">
        <v>0.85101212407922433</v>
      </c>
      <c r="J11" s="658" t="s">
        <v>1</v>
      </c>
    </row>
    <row r="12" spans="1:10" ht="14.4" customHeight="1" x14ac:dyDescent="0.3">
      <c r="A12" s="654" t="s">
        <v>478</v>
      </c>
      <c r="B12" s="655" t="s">
        <v>317</v>
      </c>
      <c r="C12" s="656">
        <v>7.3609200000000001</v>
      </c>
      <c r="D12" s="656">
        <v>8.6919500000000003</v>
      </c>
      <c r="E12" s="656"/>
      <c r="F12" s="656">
        <v>6.45343</v>
      </c>
      <c r="G12" s="656">
        <v>15.065667783261251</v>
      </c>
      <c r="H12" s="656">
        <v>-8.61223778326125</v>
      </c>
      <c r="I12" s="657">
        <v>0.42835339878993617</v>
      </c>
      <c r="J12" s="658" t="s">
        <v>1</v>
      </c>
    </row>
    <row r="13" spans="1:10" ht="14.4" customHeight="1" x14ac:dyDescent="0.3">
      <c r="A13" s="654" t="s">
        <v>478</v>
      </c>
      <c r="B13" s="655" t="s">
        <v>318</v>
      </c>
      <c r="C13" s="656">
        <v>45.003099999999996</v>
      </c>
      <c r="D13" s="656">
        <v>53.361800000000002</v>
      </c>
      <c r="E13" s="656"/>
      <c r="F13" s="656">
        <v>55.327259999999995</v>
      </c>
      <c r="G13" s="656">
        <v>91.191522161123757</v>
      </c>
      <c r="H13" s="656">
        <v>-35.864262161123762</v>
      </c>
      <c r="I13" s="657">
        <v>0.60671495210096182</v>
      </c>
      <c r="J13" s="658" t="s">
        <v>1</v>
      </c>
    </row>
    <row r="14" spans="1:10" ht="14.4" customHeight="1" x14ac:dyDescent="0.3">
      <c r="A14" s="654" t="s">
        <v>478</v>
      </c>
      <c r="B14" s="655" t="s">
        <v>319</v>
      </c>
      <c r="C14" s="656">
        <v>50.083479999999994</v>
      </c>
      <c r="D14" s="656">
        <v>14.96988</v>
      </c>
      <c r="E14" s="656"/>
      <c r="F14" s="656">
        <v>57.902579999999993</v>
      </c>
      <c r="G14" s="656">
        <v>52.483377807293252</v>
      </c>
      <c r="H14" s="656">
        <v>5.4192021927067415</v>
      </c>
      <c r="I14" s="657">
        <v>1.1032555909912047</v>
      </c>
      <c r="J14" s="658" t="s">
        <v>1</v>
      </c>
    </row>
    <row r="15" spans="1:10" ht="14.4" customHeight="1" x14ac:dyDescent="0.3">
      <c r="A15" s="654" t="s">
        <v>478</v>
      </c>
      <c r="B15" s="655" t="s">
        <v>320</v>
      </c>
      <c r="C15" s="656">
        <v>32.282119999999999</v>
      </c>
      <c r="D15" s="656">
        <v>41.612749999999998</v>
      </c>
      <c r="E15" s="656"/>
      <c r="F15" s="656">
        <v>50.936770000000003</v>
      </c>
      <c r="G15" s="656">
        <v>68.760296549224748</v>
      </c>
      <c r="H15" s="656">
        <v>-17.823526549224745</v>
      </c>
      <c r="I15" s="657">
        <v>0.74078752646936197</v>
      </c>
      <c r="J15" s="658" t="s">
        <v>1</v>
      </c>
    </row>
    <row r="16" spans="1:10" ht="14.4" customHeight="1" x14ac:dyDescent="0.3">
      <c r="A16" s="654" t="s">
        <v>478</v>
      </c>
      <c r="B16" s="655" t="s">
        <v>321</v>
      </c>
      <c r="C16" s="656">
        <v>0.58109999999999995</v>
      </c>
      <c r="D16" s="656">
        <v>0.84620000000000006</v>
      </c>
      <c r="E16" s="656"/>
      <c r="F16" s="656">
        <v>0.37240000000000001</v>
      </c>
      <c r="G16" s="656">
        <v>2.1735305081127501</v>
      </c>
      <c r="H16" s="656">
        <v>-1.80113050811275</v>
      </c>
      <c r="I16" s="657">
        <v>0.17133414903080904</v>
      </c>
      <c r="J16" s="658" t="s">
        <v>1</v>
      </c>
    </row>
    <row r="17" spans="1:10" ht="14.4" customHeight="1" x14ac:dyDescent="0.3">
      <c r="A17" s="654" t="s">
        <v>478</v>
      </c>
      <c r="B17" s="655" t="s">
        <v>481</v>
      </c>
      <c r="C17" s="656">
        <v>850.48025000000086</v>
      </c>
      <c r="D17" s="656">
        <v>822.66580999999996</v>
      </c>
      <c r="E17" s="656"/>
      <c r="F17" s="656">
        <v>1213.09824</v>
      </c>
      <c r="G17" s="656">
        <v>1174.4324777023014</v>
      </c>
      <c r="H17" s="656">
        <v>38.66576229769862</v>
      </c>
      <c r="I17" s="657">
        <v>1.0329229334438583</v>
      </c>
      <c r="J17" s="658" t="s">
        <v>482</v>
      </c>
    </row>
    <row r="19" spans="1:10" ht="14.4" customHeight="1" x14ac:dyDescent="0.3">
      <c r="A19" s="654" t="s">
        <v>478</v>
      </c>
      <c r="B19" s="655" t="s">
        <v>479</v>
      </c>
      <c r="C19" s="656" t="s">
        <v>480</v>
      </c>
      <c r="D19" s="656" t="s">
        <v>480</v>
      </c>
      <c r="E19" s="656"/>
      <c r="F19" s="656" t="s">
        <v>480</v>
      </c>
      <c r="G19" s="656" t="s">
        <v>480</v>
      </c>
      <c r="H19" s="656" t="s">
        <v>480</v>
      </c>
      <c r="I19" s="657" t="s">
        <v>480</v>
      </c>
      <c r="J19" s="658" t="s">
        <v>61</v>
      </c>
    </row>
    <row r="20" spans="1:10" ht="14.4" customHeight="1" x14ac:dyDescent="0.3">
      <c r="A20" s="654" t="s">
        <v>483</v>
      </c>
      <c r="B20" s="655" t="s">
        <v>484</v>
      </c>
      <c r="C20" s="656" t="s">
        <v>480</v>
      </c>
      <c r="D20" s="656" t="s">
        <v>480</v>
      </c>
      <c r="E20" s="656"/>
      <c r="F20" s="656" t="s">
        <v>480</v>
      </c>
      <c r="G20" s="656" t="s">
        <v>480</v>
      </c>
      <c r="H20" s="656" t="s">
        <v>480</v>
      </c>
      <c r="I20" s="657" t="s">
        <v>480</v>
      </c>
      <c r="J20" s="658" t="s">
        <v>0</v>
      </c>
    </row>
    <row r="21" spans="1:10" ht="14.4" customHeight="1" x14ac:dyDescent="0.3">
      <c r="A21" s="654" t="s">
        <v>483</v>
      </c>
      <c r="B21" s="655" t="s">
        <v>311</v>
      </c>
      <c r="C21" s="656">
        <v>54.183719999999994</v>
      </c>
      <c r="D21" s="656">
        <v>92.974679999999992</v>
      </c>
      <c r="E21" s="656"/>
      <c r="F21" s="656">
        <v>128.68738999999999</v>
      </c>
      <c r="G21" s="656">
        <v>130.09451645172601</v>
      </c>
      <c r="H21" s="656">
        <v>-1.4071264517260147</v>
      </c>
      <c r="I21" s="657">
        <v>0.98918381427515312</v>
      </c>
      <c r="J21" s="658" t="s">
        <v>1</v>
      </c>
    </row>
    <row r="22" spans="1:10" ht="14.4" customHeight="1" x14ac:dyDescent="0.3">
      <c r="A22" s="654" t="s">
        <v>483</v>
      </c>
      <c r="B22" s="655" t="s">
        <v>312</v>
      </c>
      <c r="C22" s="656">
        <v>0</v>
      </c>
      <c r="D22" s="656">
        <v>0</v>
      </c>
      <c r="E22" s="656"/>
      <c r="F22" s="656">
        <v>0.14349999999999999</v>
      </c>
      <c r="G22" s="656">
        <v>0.25</v>
      </c>
      <c r="H22" s="656">
        <v>-0.10650000000000001</v>
      </c>
      <c r="I22" s="657">
        <v>0.57399999999999995</v>
      </c>
      <c r="J22" s="658" t="s">
        <v>1</v>
      </c>
    </row>
    <row r="23" spans="1:10" ht="14.4" customHeight="1" x14ac:dyDescent="0.3">
      <c r="A23" s="654" t="s">
        <v>483</v>
      </c>
      <c r="B23" s="655" t="s">
        <v>313</v>
      </c>
      <c r="C23" s="656">
        <v>102.96129999999999</v>
      </c>
      <c r="D23" s="656">
        <v>111.15880999999999</v>
      </c>
      <c r="E23" s="656"/>
      <c r="F23" s="656">
        <v>131.48383000000001</v>
      </c>
      <c r="G23" s="656">
        <v>139.08807077481575</v>
      </c>
      <c r="H23" s="656">
        <v>-7.6042407748157359</v>
      </c>
      <c r="I23" s="657">
        <v>0.94532787224342885</v>
      </c>
      <c r="J23" s="658" t="s">
        <v>1</v>
      </c>
    </row>
    <row r="24" spans="1:10" ht="14.4" customHeight="1" x14ac:dyDescent="0.3">
      <c r="A24" s="654" t="s">
        <v>483</v>
      </c>
      <c r="B24" s="655" t="s">
        <v>314</v>
      </c>
      <c r="C24" s="656">
        <v>526.29600000000096</v>
      </c>
      <c r="D24" s="656">
        <v>465.73385999999999</v>
      </c>
      <c r="E24" s="656"/>
      <c r="F24" s="656">
        <v>714.01522999999997</v>
      </c>
      <c r="G24" s="656">
        <v>616.41223724433746</v>
      </c>
      <c r="H24" s="656">
        <v>97.602992755662513</v>
      </c>
      <c r="I24" s="657">
        <v>1.1583404527982692</v>
      </c>
      <c r="J24" s="658" t="s">
        <v>1</v>
      </c>
    </row>
    <row r="25" spans="1:10" ht="14.4" customHeight="1" x14ac:dyDescent="0.3">
      <c r="A25" s="654" t="s">
        <v>483</v>
      </c>
      <c r="B25" s="655" t="s">
        <v>315</v>
      </c>
      <c r="C25" s="656">
        <v>19.297059999999998</v>
      </c>
      <c r="D25" s="656">
        <v>29.8855</v>
      </c>
      <c r="E25" s="656"/>
      <c r="F25" s="656">
        <v>61.297200000000004</v>
      </c>
      <c r="G25" s="656">
        <v>51.300382158147002</v>
      </c>
      <c r="H25" s="656">
        <v>9.9968178418530016</v>
      </c>
      <c r="I25" s="657">
        <v>1.194868291839136</v>
      </c>
      <c r="J25" s="658" t="s">
        <v>1</v>
      </c>
    </row>
    <row r="26" spans="1:10" ht="14.4" customHeight="1" x14ac:dyDescent="0.3">
      <c r="A26" s="654" t="s">
        <v>483</v>
      </c>
      <c r="B26" s="655" t="s">
        <v>316</v>
      </c>
      <c r="C26" s="656">
        <v>12.431450000000002</v>
      </c>
      <c r="D26" s="656">
        <v>3.4303799999999995</v>
      </c>
      <c r="E26" s="656"/>
      <c r="F26" s="656">
        <v>6.47865</v>
      </c>
      <c r="G26" s="656">
        <v>7.6128762642597501</v>
      </c>
      <c r="H26" s="656">
        <v>-1.13422626425975</v>
      </c>
      <c r="I26" s="657">
        <v>0.85101212407922433</v>
      </c>
      <c r="J26" s="658" t="s">
        <v>1</v>
      </c>
    </row>
    <row r="27" spans="1:10" ht="14.4" customHeight="1" x14ac:dyDescent="0.3">
      <c r="A27" s="654" t="s">
        <v>483</v>
      </c>
      <c r="B27" s="655" t="s">
        <v>317</v>
      </c>
      <c r="C27" s="656">
        <v>7.3609200000000001</v>
      </c>
      <c r="D27" s="656">
        <v>8.6919500000000003</v>
      </c>
      <c r="E27" s="656"/>
      <c r="F27" s="656">
        <v>6.45343</v>
      </c>
      <c r="G27" s="656">
        <v>15.065667783261251</v>
      </c>
      <c r="H27" s="656">
        <v>-8.61223778326125</v>
      </c>
      <c r="I27" s="657">
        <v>0.42835339878993617</v>
      </c>
      <c r="J27" s="658" t="s">
        <v>1</v>
      </c>
    </row>
    <row r="28" spans="1:10" ht="14.4" customHeight="1" x14ac:dyDescent="0.3">
      <c r="A28" s="654" t="s">
        <v>483</v>
      </c>
      <c r="B28" s="655" t="s">
        <v>318</v>
      </c>
      <c r="C28" s="656">
        <v>45.003099999999996</v>
      </c>
      <c r="D28" s="656">
        <v>53.361800000000002</v>
      </c>
      <c r="E28" s="656"/>
      <c r="F28" s="656">
        <v>55.327259999999995</v>
      </c>
      <c r="G28" s="656">
        <v>91.191522161123757</v>
      </c>
      <c r="H28" s="656">
        <v>-35.864262161123762</v>
      </c>
      <c r="I28" s="657">
        <v>0.60671495210096182</v>
      </c>
      <c r="J28" s="658" t="s">
        <v>1</v>
      </c>
    </row>
    <row r="29" spans="1:10" ht="14.4" customHeight="1" x14ac:dyDescent="0.3">
      <c r="A29" s="654" t="s">
        <v>483</v>
      </c>
      <c r="B29" s="655" t="s">
        <v>319</v>
      </c>
      <c r="C29" s="656">
        <v>50.083479999999994</v>
      </c>
      <c r="D29" s="656">
        <v>14.96988</v>
      </c>
      <c r="E29" s="656"/>
      <c r="F29" s="656">
        <v>57.902579999999993</v>
      </c>
      <c r="G29" s="656">
        <v>52.483377807293252</v>
      </c>
      <c r="H29" s="656">
        <v>5.4192021927067415</v>
      </c>
      <c r="I29" s="657">
        <v>1.1032555909912047</v>
      </c>
      <c r="J29" s="658" t="s">
        <v>1</v>
      </c>
    </row>
    <row r="30" spans="1:10" ht="14.4" customHeight="1" x14ac:dyDescent="0.3">
      <c r="A30" s="654" t="s">
        <v>483</v>
      </c>
      <c r="B30" s="655" t="s">
        <v>320</v>
      </c>
      <c r="C30" s="656">
        <v>32.282119999999999</v>
      </c>
      <c r="D30" s="656">
        <v>41.612749999999998</v>
      </c>
      <c r="E30" s="656"/>
      <c r="F30" s="656">
        <v>50.936770000000003</v>
      </c>
      <c r="G30" s="656">
        <v>68.760296549224748</v>
      </c>
      <c r="H30" s="656">
        <v>-17.823526549224745</v>
      </c>
      <c r="I30" s="657">
        <v>0.74078752646936197</v>
      </c>
      <c r="J30" s="658" t="s">
        <v>1</v>
      </c>
    </row>
    <row r="31" spans="1:10" ht="14.4" customHeight="1" x14ac:dyDescent="0.3">
      <c r="A31" s="654" t="s">
        <v>483</v>
      </c>
      <c r="B31" s="655" t="s">
        <v>321</v>
      </c>
      <c r="C31" s="656">
        <v>0.58109999999999995</v>
      </c>
      <c r="D31" s="656">
        <v>0.84620000000000006</v>
      </c>
      <c r="E31" s="656"/>
      <c r="F31" s="656">
        <v>0.37240000000000001</v>
      </c>
      <c r="G31" s="656">
        <v>2.1735305081127501</v>
      </c>
      <c r="H31" s="656">
        <v>-1.80113050811275</v>
      </c>
      <c r="I31" s="657">
        <v>0.17133414903080904</v>
      </c>
      <c r="J31" s="658" t="s">
        <v>1</v>
      </c>
    </row>
    <row r="32" spans="1:10" ht="14.4" customHeight="1" x14ac:dyDescent="0.3">
      <c r="A32" s="654" t="s">
        <v>483</v>
      </c>
      <c r="B32" s="655" t="s">
        <v>485</v>
      </c>
      <c r="C32" s="656">
        <v>850.48025000000086</v>
      </c>
      <c r="D32" s="656">
        <v>822.66580999999996</v>
      </c>
      <c r="E32" s="656"/>
      <c r="F32" s="656">
        <v>1213.09824</v>
      </c>
      <c r="G32" s="656">
        <v>1174.4324777023014</v>
      </c>
      <c r="H32" s="656">
        <v>38.66576229769862</v>
      </c>
      <c r="I32" s="657">
        <v>1.0329229334438583</v>
      </c>
      <c r="J32" s="658" t="s">
        <v>486</v>
      </c>
    </row>
    <row r="33" spans="1:10" ht="14.4" customHeight="1" x14ac:dyDescent="0.3">
      <c r="A33" s="654" t="s">
        <v>480</v>
      </c>
      <c r="B33" s="655" t="s">
        <v>480</v>
      </c>
      <c r="C33" s="656" t="s">
        <v>480</v>
      </c>
      <c r="D33" s="656" t="s">
        <v>480</v>
      </c>
      <c r="E33" s="656"/>
      <c r="F33" s="656" t="s">
        <v>480</v>
      </c>
      <c r="G33" s="656" t="s">
        <v>480</v>
      </c>
      <c r="H33" s="656" t="s">
        <v>480</v>
      </c>
      <c r="I33" s="657" t="s">
        <v>480</v>
      </c>
      <c r="J33" s="658" t="s">
        <v>487</v>
      </c>
    </row>
    <row r="34" spans="1:10" ht="14.4" customHeight="1" x14ac:dyDescent="0.3">
      <c r="A34" s="654" t="s">
        <v>478</v>
      </c>
      <c r="B34" s="655" t="s">
        <v>481</v>
      </c>
      <c r="C34" s="656">
        <v>850.48025000000086</v>
      </c>
      <c r="D34" s="656">
        <v>822.66580999999996</v>
      </c>
      <c r="E34" s="656"/>
      <c r="F34" s="656">
        <v>1213.09824</v>
      </c>
      <c r="G34" s="656">
        <v>1174.4324777023014</v>
      </c>
      <c r="H34" s="656">
        <v>38.66576229769862</v>
      </c>
      <c r="I34" s="657">
        <v>1.0329229334438583</v>
      </c>
      <c r="J34" s="658" t="s">
        <v>482</v>
      </c>
    </row>
  </sheetData>
  <mergeCells count="3">
    <mergeCell ref="A1:I1"/>
    <mergeCell ref="F3:I3"/>
    <mergeCell ref="C4:D4"/>
  </mergeCells>
  <conditionalFormatting sqref="F18 F35:F65537">
    <cfRule type="cellIs" dxfId="45" priority="18" stopIfTrue="1" operator="greaterThan">
      <formula>1</formula>
    </cfRule>
  </conditionalFormatting>
  <conditionalFormatting sqref="H5:H17">
    <cfRule type="expression" dxfId="44" priority="14">
      <formula>$H5&gt;0</formula>
    </cfRule>
  </conditionalFormatting>
  <conditionalFormatting sqref="I5:I17">
    <cfRule type="expression" dxfId="43" priority="15">
      <formula>$I5&gt;1</formula>
    </cfRule>
  </conditionalFormatting>
  <conditionalFormatting sqref="B5:B17">
    <cfRule type="expression" dxfId="42" priority="11">
      <formula>OR($J5="NS",$J5="SumaNS",$J5="Účet")</formula>
    </cfRule>
  </conditionalFormatting>
  <conditionalFormatting sqref="F5:I17 B5:D17">
    <cfRule type="expression" dxfId="41" priority="17">
      <formula>AND($J5&lt;&gt;"",$J5&lt;&gt;"mezeraKL")</formula>
    </cfRule>
  </conditionalFormatting>
  <conditionalFormatting sqref="B5:D17 F5:I17">
    <cfRule type="expression" dxfId="40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39" priority="13">
      <formula>OR($J5="SumaNS",$J5="NS")</formula>
    </cfRule>
  </conditionalFormatting>
  <conditionalFormatting sqref="A5:A17">
    <cfRule type="expression" dxfId="38" priority="9">
      <formula>AND($J5&lt;&gt;"mezeraKL",$J5&lt;&gt;"")</formula>
    </cfRule>
  </conditionalFormatting>
  <conditionalFormatting sqref="A5:A17">
    <cfRule type="expression" dxfId="37" priority="10">
      <formula>AND($J5&lt;&gt;"",$J5&lt;&gt;"mezeraKL")</formula>
    </cfRule>
  </conditionalFormatting>
  <conditionalFormatting sqref="H19:H34">
    <cfRule type="expression" dxfId="36" priority="5">
      <formula>$H19&gt;0</formula>
    </cfRule>
  </conditionalFormatting>
  <conditionalFormatting sqref="A19:A34">
    <cfRule type="expression" dxfId="35" priority="2">
      <formula>AND($J19&lt;&gt;"mezeraKL",$J19&lt;&gt;"")</formula>
    </cfRule>
  </conditionalFormatting>
  <conditionalFormatting sqref="I19:I34">
    <cfRule type="expression" dxfId="34" priority="6">
      <formula>$I19&gt;1</formula>
    </cfRule>
  </conditionalFormatting>
  <conditionalFormatting sqref="B19:B34">
    <cfRule type="expression" dxfId="33" priority="1">
      <formula>OR($J19="NS",$J19="SumaNS",$J19="Účet")</formula>
    </cfRule>
  </conditionalFormatting>
  <conditionalFormatting sqref="A19:D34 F19:I34">
    <cfRule type="expression" dxfId="32" priority="8">
      <formula>AND($J19&lt;&gt;"",$J19&lt;&gt;"mezeraKL")</formula>
    </cfRule>
  </conditionalFormatting>
  <conditionalFormatting sqref="B19:D34 F19:I34">
    <cfRule type="expression" dxfId="31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34 F19:I34">
    <cfRule type="expression" dxfId="30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3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312" bestFit="1" customWidth="1"/>
    <col min="6" max="6" width="18.77734375" style="316" customWidth="1"/>
    <col min="7" max="7" width="12.44140625" style="312" hidden="1" customWidth="1" outlineLevel="1"/>
    <col min="8" max="8" width="25.77734375" style="312" customWidth="1" collapsed="1"/>
    <col min="9" max="9" width="7.77734375" style="310" customWidth="1"/>
    <col min="10" max="10" width="10" style="310" customWidth="1"/>
    <col min="11" max="11" width="11.109375" style="310" customWidth="1"/>
    <col min="12" max="16384" width="8.88671875" style="231"/>
  </cols>
  <sheetData>
    <row r="1" spans="1:11" ht="18.600000000000001" customHeight="1" thickBot="1" x14ac:dyDescent="0.4">
      <c r="A1" s="531" t="s">
        <v>2097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</row>
    <row r="2" spans="1:11" ht="14.4" customHeight="1" thickBot="1" x14ac:dyDescent="0.35">
      <c r="A2" s="351" t="s">
        <v>288</v>
      </c>
      <c r="B2" s="66"/>
      <c r="C2" s="314"/>
      <c r="D2" s="314"/>
      <c r="E2" s="314"/>
      <c r="F2" s="314"/>
      <c r="G2" s="314"/>
      <c r="H2" s="314"/>
      <c r="I2" s="315"/>
      <c r="J2" s="315"/>
      <c r="K2" s="315"/>
    </row>
    <row r="3" spans="1:11" ht="14.4" customHeight="1" thickBot="1" x14ac:dyDescent="0.35">
      <c r="A3" s="66"/>
      <c r="B3" s="66"/>
      <c r="C3" s="527"/>
      <c r="D3" s="528"/>
      <c r="E3" s="528"/>
      <c r="F3" s="528"/>
      <c r="G3" s="528"/>
      <c r="H3" s="244" t="s">
        <v>142</v>
      </c>
      <c r="I3" s="188">
        <f>IF(J3&lt;&gt;0,K3/J3,0)</f>
        <v>5.5074239328811574</v>
      </c>
      <c r="J3" s="188">
        <f>SUBTOTAL(9,J5:J1048576)</f>
        <v>220266</v>
      </c>
      <c r="K3" s="189">
        <f>SUBTOTAL(9,K5:K1048576)</f>
        <v>1213098.2400000009</v>
      </c>
    </row>
    <row r="4" spans="1:11" s="311" customFormat="1" ht="14.4" customHeight="1" thickBot="1" x14ac:dyDescent="0.35">
      <c r="A4" s="659" t="s">
        <v>4</v>
      </c>
      <c r="B4" s="660" t="s">
        <v>5</v>
      </c>
      <c r="C4" s="660" t="s">
        <v>0</v>
      </c>
      <c r="D4" s="660" t="s">
        <v>6</v>
      </c>
      <c r="E4" s="660" t="s">
        <v>7</v>
      </c>
      <c r="F4" s="660" t="s">
        <v>1</v>
      </c>
      <c r="G4" s="660" t="s">
        <v>77</v>
      </c>
      <c r="H4" s="661" t="s">
        <v>11</v>
      </c>
      <c r="I4" s="662" t="s">
        <v>165</v>
      </c>
      <c r="J4" s="662" t="s">
        <v>13</v>
      </c>
      <c r="K4" s="663" t="s">
        <v>176</v>
      </c>
    </row>
    <row r="5" spans="1:11" ht="14.4" customHeight="1" x14ac:dyDescent="0.3">
      <c r="A5" s="666" t="s">
        <v>478</v>
      </c>
      <c r="B5" s="667" t="s">
        <v>1446</v>
      </c>
      <c r="C5" s="668" t="s">
        <v>483</v>
      </c>
      <c r="D5" s="669" t="s">
        <v>484</v>
      </c>
      <c r="E5" s="668" t="s">
        <v>2075</v>
      </c>
      <c r="F5" s="669" t="s">
        <v>2076</v>
      </c>
      <c r="G5" s="668" t="s">
        <v>1623</v>
      </c>
      <c r="H5" s="668" t="s">
        <v>1624</v>
      </c>
      <c r="I5" s="670">
        <v>183.08</v>
      </c>
      <c r="J5" s="670">
        <v>2</v>
      </c>
      <c r="K5" s="671">
        <v>366.16</v>
      </c>
    </row>
    <row r="6" spans="1:11" ht="14.4" customHeight="1" x14ac:dyDescent="0.3">
      <c r="A6" s="672" t="s">
        <v>478</v>
      </c>
      <c r="B6" s="673" t="s">
        <v>1446</v>
      </c>
      <c r="C6" s="674" t="s">
        <v>483</v>
      </c>
      <c r="D6" s="675" t="s">
        <v>484</v>
      </c>
      <c r="E6" s="674" t="s">
        <v>2075</v>
      </c>
      <c r="F6" s="675" t="s">
        <v>2076</v>
      </c>
      <c r="G6" s="674" t="s">
        <v>1625</v>
      </c>
      <c r="H6" s="674" t="s">
        <v>1626</v>
      </c>
      <c r="I6" s="676">
        <v>4.3</v>
      </c>
      <c r="J6" s="676">
        <v>36</v>
      </c>
      <c r="K6" s="677">
        <v>154.80000000000001</v>
      </c>
    </row>
    <row r="7" spans="1:11" ht="14.4" customHeight="1" x14ac:dyDescent="0.3">
      <c r="A7" s="672" t="s">
        <v>478</v>
      </c>
      <c r="B7" s="673" t="s">
        <v>1446</v>
      </c>
      <c r="C7" s="674" t="s">
        <v>483</v>
      </c>
      <c r="D7" s="675" t="s">
        <v>484</v>
      </c>
      <c r="E7" s="674" t="s">
        <v>2075</v>
      </c>
      <c r="F7" s="675" t="s">
        <v>2076</v>
      </c>
      <c r="G7" s="674" t="s">
        <v>1627</v>
      </c>
      <c r="H7" s="674" t="s">
        <v>1628</v>
      </c>
      <c r="I7" s="676">
        <v>4.8449999999999998</v>
      </c>
      <c r="J7" s="676">
        <v>300</v>
      </c>
      <c r="K7" s="677">
        <v>1453.3600000000001</v>
      </c>
    </row>
    <row r="8" spans="1:11" ht="14.4" customHeight="1" x14ac:dyDescent="0.3">
      <c r="A8" s="672" t="s">
        <v>478</v>
      </c>
      <c r="B8" s="673" t="s">
        <v>1446</v>
      </c>
      <c r="C8" s="674" t="s">
        <v>483</v>
      </c>
      <c r="D8" s="675" t="s">
        <v>484</v>
      </c>
      <c r="E8" s="674" t="s">
        <v>2075</v>
      </c>
      <c r="F8" s="675" t="s">
        <v>2076</v>
      </c>
      <c r="G8" s="674" t="s">
        <v>1629</v>
      </c>
      <c r="H8" s="674" t="s">
        <v>1630</v>
      </c>
      <c r="I8" s="676">
        <v>85.08</v>
      </c>
      <c r="J8" s="676">
        <v>12</v>
      </c>
      <c r="K8" s="677">
        <v>1020.96</v>
      </c>
    </row>
    <row r="9" spans="1:11" ht="14.4" customHeight="1" x14ac:dyDescent="0.3">
      <c r="A9" s="672" t="s">
        <v>478</v>
      </c>
      <c r="B9" s="673" t="s">
        <v>1446</v>
      </c>
      <c r="C9" s="674" t="s">
        <v>483</v>
      </c>
      <c r="D9" s="675" t="s">
        <v>484</v>
      </c>
      <c r="E9" s="674" t="s">
        <v>2075</v>
      </c>
      <c r="F9" s="675" t="s">
        <v>2076</v>
      </c>
      <c r="G9" s="674" t="s">
        <v>1631</v>
      </c>
      <c r="H9" s="674" t="s">
        <v>1632</v>
      </c>
      <c r="I9" s="676">
        <v>2.5049999999999999</v>
      </c>
      <c r="J9" s="676">
        <v>60</v>
      </c>
      <c r="K9" s="677">
        <v>150.19999999999999</v>
      </c>
    </row>
    <row r="10" spans="1:11" ht="14.4" customHeight="1" x14ac:dyDescent="0.3">
      <c r="A10" s="672" t="s">
        <v>478</v>
      </c>
      <c r="B10" s="673" t="s">
        <v>1446</v>
      </c>
      <c r="C10" s="674" t="s">
        <v>483</v>
      </c>
      <c r="D10" s="675" t="s">
        <v>484</v>
      </c>
      <c r="E10" s="674" t="s">
        <v>2075</v>
      </c>
      <c r="F10" s="675" t="s">
        <v>2076</v>
      </c>
      <c r="G10" s="674" t="s">
        <v>1633</v>
      </c>
      <c r="H10" s="674" t="s">
        <v>1634</v>
      </c>
      <c r="I10" s="676">
        <v>3.27</v>
      </c>
      <c r="J10" s="676">
        <v>40</v>
      </c>
      <c r="K10" s="677">
        <v>130.80000000000001</v>
      </c>
    </row>
    <row r="11" spans="1:11" ht="14.4" customHeight="1" x14ac:dyDescent="0.3">
      <c r="A11" s="672" t="s">
        <v>478</v>
      </c>
      <c r="B11" s="673" t="s">
        <v>1446</v>
      </c>
      <c r="C11" s="674" t="s">
        <v>483</v>
      </c>
      <c r="D11" s="675" t="s">
        <v>484</v>
      </c>
      <c r="E11" s="674" t="s">
        <v>2075</v>
      </c>
      <c r="F11" s="675" t="s">
        <v>2076</v>
      </c>
      <c r="G11" s="674" t="s">
        <v>1635</v>
      </c>
      <c r="H11" s="674" t="s">
        <v>1636</v>
      </c>
      <c r="I11" s="676">
        <v>3.96</v>
      </c>
      <c r="J11" s="676">
        <v>60</v>
      </c>
      <c r="K11" s="677">
        <v>237.60000000000002</v>
      </c>
    </row>
    <row r="12" spans="1:11" ht="14.4" customHeight="1" x14ac:dyDescent="0.3">
      <c r="A12" s="672" t="s">
        <v>478</v>
      </c>
      <c r="B12" s="673" t="s">
        <v>1446</v>
      </c>
      <c r="C12" s="674" t="s">
        <v>483</v>
      </c>
      <c r="D12" s="675" t="s">
        <v>484</v>
      </c>
      <c r="E12" s="674" t="s">
        <v>2075</v>
      </c>
      <c r="F12" s="675" t="s">
        <v>2076</v>
      </c>
      <c r="G12" s="674" t="s">
        <v>1637</v>
      </c>
      <c r="H12" s="674" t="s">
        <v>1638</v>
      </c>
      <c r="I12" s="676">
        <v>9.2899999999999991</v>
      </c>
      <c r="J12" s="676">
        <v>50</v>
      </c>
      <c r="K12" s="677">
        <v>464.68</v>
      </c>
    </row>
    <row r="13" spans="1:11" ht="14.4" customHeight="1" x14ac:dyDescent="0.3">
      <c r="A13" s="672" t="s">
        <v>478</v>
      </c>
      <c r="B13" s="673" t="s">
        <v>1446</v>
      </c>
      <c r="C13" s="674" t="s">
        <v>483</v>
      </c>
      <c r="D13" s="675" t="s">
        <v>484</v>
      </c>
      <c r="E13" s="674" t="s">
        <v>2075</v>
      </c>
      <c r="F13" s="675" t="s">
        <v>2076</v>
      </c>
      <c r="G13" s="674" t="s">
        <v>1639</v>
      </c>
      <c r="H13" s="674" t="s">
        <v>1640</v>
      </c>
      <c r="I13" s="676">
        <v>0.42</v>
      </c>
      <c r="J13" s="676">
        <v>5000</v>
      </c>
      <c r="K13" s="677">
        <v>2100</v>
      </c>
    </row>
    <row r="14" spans="1:11" ht="14.4" customHeight="1" x14ac:dyDescent="0.3">
      <c r="A14" s="672" t="s">
        <v>478</v>
      </c>
      <c r="B14" s="673" t="s">
        <v>1446</v>
      </c>
      <c r="C14" s="674" t="s">
        <v>483</v>
      </c>
      <c r="D14" s="675" t="s">
        <v>484</v>
      </c>
      <c r="E14" s="674" t="s">
        <v>2075</v>
      </c>
      <c r="F14" s="675" t="s">
        <v>2076</v>
      </c>
      <c r="G14" s="674" t="s">
        <v>1641</v>
      </c>
      <c r="H14" s="674" t="s">
        <v>1642</v>
      </c>
      <c r="I14" s="676">
        <v>28.73</v>
      </c>
      <c r="J14" s="676">
        <v>216</v>
      </c>
      <c r="K14" s="677">
        <v>6205.68</v>
      </c>
    </row>
    <row r="15" spans="1:11" ht="14.4" customHeight="1" x14ac:dyDescent="0.3">
      <c r="A15" s="672" t="s">
        <v>478</v>
      </c>
      <c r="B15" s="673" t="s">
        <v>1446</v>
      </c>
      <c r="C15" s="674" t="s">
        <v>483</v>
      </c>
      <c r="D15" s="675" t="s">
        <v>484</v>
      </c>
      <c r="E15" s="674" t="s">
        <v>2075</v>
      </c>
      <c r="F15" s="675" t="s">
        <v>2076</v>
      </c>
      <c r="G15" s="674" t="s">
        <v>1643</v>
      </c>
      <c r="H15" s="674" t="s">
        <v>1644</v>
      </c>
      <c r="I15" s="676">
        <v>46.31</v>
      </c>
      <c r="J15" s="676">
        <v>12</v>
      </c>
      <c r="K15" s="677">
        <v>555.72</v>
      </c>
    </row>
    <row r="16" spans="1:11" ht="14.4" customHeight="1" x14ac:dyDescent="0.3">
      <c r="A16" s="672" t="s">
        <v>478</v>
      </c>
      <c r="B16" s="673" t="s">
        <v>1446</v>
      </c>
      <c r="C16" s="674" t="s">
        <v>483</v>
      </c>
      <c r="D16" s="675" t="s">
        <v>484</v>
      </c>
      <c r="E16" s="674" t="s">
        <v>2075</v>
      </c>
      <c r="F16" s="675" t="s">
        <v>2076</v>
      </c>
      <c r="G16" s="674" t="s">
        <v>1645</v>
      </c>
      <c r="H16" s="674" t="s">
        <v>1646</v>
      </c>
      <c r="I16" s="676">
        <v>4.1050000000000004</v>
      </c>
      <c r="J16" s="676">
        <v>200</v>
      </c>
      <c r="K16" s="677">
        <v>820.7</v>
      </c>
    </row>
    <row r="17" spans="1:11" ht="14.4" customHeight="1" x14ac:dyDescent="0.3">
      <c r="A17" s="672" t="s">
        <v>478</v>
      </c>
      <c r="B17" s="673" t="s">
        <v>1446</v>
      </c>
      <c r="C17" s="674" t="s">
        <v>483</v>
      </c>
      <c r="D17" s="675" t="s">
        <v>484</v>
      </c>
      <c r="E17" s="674" t="s">
        <v>2075</v>
      </c>
      <c r="F17" s="675" t="s">
        <v>2076</v>
      </c>
      <c r="G17" s="674" t="s">
        <v>1647</v>
      </c>
      <c r="H17" s="674" t="s">
        <v>1648</v>
      </c>
      <c r="I17" s="676">
        <v>6.24</v>
      </c>
      <c r="J17" s="676">
        <v>100</v>
      </c>
      <c r="K17" s="677">
        <v>624</v>
      </c>
    </row>
    <row r="18" spans="1:11" ht="14.4" customHeight="1" x14ac:dyDescent="0.3">
      <c r="A18" s="672" t="s">
        <v>478</v>
      </c>
      <c r="B18" s="673" t="s">
        <v>1446</v>
      </c>
      <c r="C18" s="674" t="s">
        <v>483</v>
      </c>
      <c r="D18" s="675" t="s">
        <v>484</v>
      </c>
      <c r="E18" s="674" t="s">
        <v>2075</v>
      </c>
      <c r="F18" s="675" t="s">
        <v>2076</v>
      </c>
      <c r="G18" s="674" t="s">
        <v>1649</v>
      </c>
      <c r="H18" s="674" t="s">
        <v>1650</v>
      </c>
      <c r="I18" s="676">
        <v>3.01</v>
      </c>
      <c r="J18" s="676">
        <v>4440</v>
      </c>
      <c r="K18" s="677">
        <v>13368</v>
      </c>
    </row>
    <row r="19" spans="1:11" ht="14.4" customHeight="1" x14ac:dyDescent="0.3">
      <c r="A19" s="672" t="s">
        <v>478</v>
      </c>
      <c r="B19" s="673" t="s">
        <v>1446</v>
      </c>
      <c r="C19" s="674" t="s">
        <v>483</v>
      </c>
      <c r="D19" s="675" t="s">
        <v>484</v>
      </c>
      <c r="E19" s="674" t="s">
        <v>2075</v>
      </c>
      <c r="F19" s="675" t="s">
        <v>2076</v>
      </c>
      <c r="G19" s="674" t="s">
        <v>1651</v>
      </c>
      <c r="H19" s="674" t="s">
        <v>1652</v>
      </c>
      <c r="I19" s="676">
        <v>0.88</v>
      </c>
      <c r="J19" s="676">
        <v>8000</v>
      </c>
      <c r="K19" s="677">
        <v>7040</v>
      </c>
    </row>
    <row r="20" spans="1:11" ht="14.4" customHeight="1" x14ac:dyDescent="0.3">
      <c r="A20" s="672" t="s">
        <v>478</v>
      </c>
      <c r="B20" s="673" t="s">
        <v>1446</v>
      </c>
      <c r="C20" s="674" t="s">
        <v>483</v>
      </c>
      <c r="D20" s="675" t="s">
        <v>484</v>
      </c>
      <c r="E20" s="674" t="s">
        <v>2075</v>
      </c>
      <c r="F20" s="675" t="s">
        <v>2076</v>
      </c>
      <c r="G20" s="674" t="s">
        <v>1653</v>
      </c>
      <c r="H20" s="674" t="s">
        <v>1654</v>
      </c>
      <c r="I20" s="676">
        <v>1.42</v>
      </c>
      <c r="J20" s="676">
        <v>600</v>
      </c>
      <c r="K20" s="677">
        <v>851.23</v>
      </c>
    </row>
    <row r="21" spans="1:11" ht="14.4" customHeight="1" x14ac:dyDescent="0.3">
      <c r="A21" s="672" t="s">
        <v>478</v>
      </c>
      <c r="B21" s="673" t="s">
        <v>1446</v>
      </c>
      <c r="C21" s="674" t="s">
        <v>483</v>
      </c>
      <c r="D21" s="675" t="s">
        <v>484</v>
      </c>
      <c r="E21" s="674" t="s">
        <v>2075</v>
      </c>
      <c r="F21" s="675" t="s">
        <v>2076</v>
      </c>
      <c r="G21" s="674" t="s">
        <v>1655</v>
      </c>
      <c r="H21" s="674" t="s">
        <v>1656</v>
      </c>
      <c r="I21" s="676">
        <v>86.37</v>
      </c>
      <c r="J21" s="676">
        <v>30</v>
      </c>
      <c r="K21" s="677">
        <v>2591.1000000000004</v>
      </c>
    </row>
    <row r="22" spans="1:11" ht="14.4" customHeight="1" x14ac:dyDescent="0.3">
      <c r="A22" s="672" t="s">
        <v>478</v>
      </c>
      <c r="B22" s="673" t="s">
        <v>1446</v>
      </c>
      <c r="C22" s="674" t="s">
        <v>483</v>
      </c>
      <c r="D22" s="675" t="s">
        <v>484</v>
      </c>
      <c r="E22" s="674" t="s">
        <v>2075</v>
      </c>
      <c r="F22" s="675" t="s">
        <v>2076</v>
      </c>
      <c r="G22" s="674" t="s">
        <v>1657</v>
      </c>
      <c r="H22" s="674" t="s">
        <v>1658</v>
      </c>
      <c r="I22" s="676">
        <v>0.99</v>
      </c>
      <c r="J22" s="676">
        <v>160</v>
      </c>
      <c r="K22" s="677">
        <v>158.4</v>
      </c>
    </row>
    <row r="23" spans="1:11" ht="14.4" customHeight="1" x14ac:dyDescent="0.3">
      <c r="A23" s="672" t="s">
        <v>478</v>
      </c>
      <c r="B23" s="673" t="s">
        <v>1446</v>
      </c>
      <c r="C23" s="674" t="s">
        <v>483</v>
      </c>
      <c r="D23" s="675" t="s">
        <v>484</v>
      </c>
      <c r="E23" s="674" t="s">
        <v>2075</v>
      </c>
      <c r="F23" s="675" t="s">
        <v>2076</v>
      </c>
      <c r="G23" s="674" t="s">
        <v>1659</v>
      </c>
      <c r="H23" s="674" t="s">
        <v>1660</v>
      </c>
      <c r="I23" s="676">
        <v>233.8</v>
      </c>
      <c r="J23" s="676">
        <v>5</v>
      </c>
      <c r="K23" s="677">
        <v>1168.98</v>
      </c>
    </row>
    <row r="24" spans="1:11" ht="14.4" customHeight="1" x14ac:dyDescent="0.3">
      <c r="A24" s="672" t="s">
        <v>478</v>
      </c>
      <c r="B24" s="673" t="s">
        <v>1446</v>
      </c>
      <c r="C24" s="674" t="s">
        <v>483</v>
      </c>
      <c r="D24" s="675" t="s">
        <v>484</v>
      </c>
      <c r="E24" s="674" t="s">
        <v>2075</v>
      </c>
      <c r="F24" s="675" t="s">
        <v>2076</v>
      </c>
      <c r="G24" s="674" t="s">
        <v>1661</v>
      </c>
      <c r="H24" s="674" t="s">
        <v>1662</v>
      </c>
      <c r="I24" s="676">
        <v>0.43</v>
      </c>
      <c r="J24" s="676">
        <v>10500</v>
      </c>
      <c r="K24" s="677">
        <v>4541.55</v>
      </c>
    </row>
    <row r="25" spans="1:11" ht="14.4" customHeight="1" x14ac:dyDescent="0.3">
      <c r="A25" s="672" t="s">
        <v>478</v>
      </c>
      <c r="B25" s="673" t="s">
        <v>1446</v>
      </c>
      <c r="C25" s="674" t="s">
        <v>483</v>
      </c>
      <c r="D25" s="675" t="s">
        <v>484</v>
      </c>
      <c r="E25" s="674" t="s">
        <v>2075</v>
      </c>
      <c r="F25" s="675" t="s">
        <v>2076</v>
      </c>
      <c r="G25" s="674" t="s">
        <v>1663</v>
      </c>
      <c r="H25" s="674" t="s">
        <v>1664</v>
      </c>
      <c r="I25" s="676">
        <v>22.145</v>
      </c>
      <c r="J25" s="676">
        <v>175</v>
      </c>
      <c r="K25" s="677">
        <v>3875</v>
      </c>
    </row>
    <row r="26" spans="1:11" ht="14.4" customHeight="1" x14ac:dyDescent="0.3">
      <c r="A26" s="672" t="s">
        <v>478</v>
      </c>
      <c r="B26" s="673" t="s">
        <v>1446</v>
      </c>
      <c r="C26" s="674" t="s">
        <v>483</v>
      </c>
      <c r="D26" s="675" t="s">
        <v>484</v>
      </c>
      <c r="E26" s="674" t="s">
        <v>2075</v>
      </c>
      <c r="F26" s="675" t="s">
        <v>2076</v>
      </c>
      <c r="G26" s="674" t="s">
        <v>1665</v>
      </c>
      <c r="H26" s="674" t="s">
        <v>1666</v>
      </c>
      <c r="I26" s="676">
        <v>30.18</v>
      </c>
      <c r="J26" s="676">
        <v>100</v>
      </c>
      <c r="K26" s="677">
        <v>3018</v>
      </c>
    </row>
    <row r="27" spans="1:11" ht="14.4" customHeight="1" x14ac:dyDescent="0.3">
      <c r="A27" s="672" t="s">
        <v>478</v>
      </c>
      <c r="B27" s="673" t="s">
        <v>1446</v>
      </c>
      <c r="C27" s="674" t="s">
        <v>483</v>
      </c>
      <c r="D27" s="675" t="s">
        <v>484</v>
      </c>
      <c r="E27" s="674" t="s">
        <v>2075</v>
      </c>
      <c r="F27" s="675" t="s">
        <v>2076</v>
      </c>
      <c r="G27" s="674" t="s">
        <v>1667</v>
      </c>
      <c r="H27" s="674" t="s">
        <v>1668</v>
      </c>
      <c r="I27" s="676">
        <v>272.44</v>
      </c>
      <c r="J27" s="676">
        <v>6</v>
      </c>
      <c r="K27" s="677">
        <v>1634.64</v>
      </c>
    </row>
    <row r="28" spans="1:11" ht="14.4" customHeight="1" x14ac:dyDescent="0.3">
      <c r="A28" s="672" t="s">
        <v>478</v>
      </c>
      <c r="B28" s="673" t="s">
        <v>1446</v>
      </c>
      <c r="C28" s="674" t="s">
        <v>483</v>
      </c>
      <c r="D28" s="675" t="s">
        <v>484</v>
      </c>
      <c r="E28" s="674" t="s">
        <v>2075</v>
      </c>
      <c r="F28" s="675" t="s">
        <v>2076</v>
      </c>
      <c r="G28" s="674" t="s">
        <v>1669</v>
      </c>
      <c r="H28" s="674" t="s">
        <v>1670</v>
      </c>
      <c r="I28" s="676">
        <v>1.2533333333333332</v>
      </c>
      <c r="J28" s="676">
        <v>1000</v>
      </c>
      <c r="K28" s="677">
        <v>1253.47</v>
      </c>
    </row>
    <row r="29" spans="1:11" ht="14.4" customHeight="1" x14ac:dyDescent="0.3">
      <c r="A29" s="672" t="s">
        <v>478</v>
      </c>
      <c r="B29" s="673" t="s">
        <v>1446</v>
      </c>
      <c r="C29" s="674" t="s">
        <v>483</v>
      </c>
      <c r="D29" s="675" t="s">
        <v>484</v>
      </c>
      <c r="E29" s="674" t="s">
        <v>2075</v>
      </c>
      <c r="F29" s="675" t="s">
        <v>2076</v>
      </c>
      <c r="G29" s="674" t="s">
        <v>1671</v>
      </c>
      <c r="H29" s="674" t="s">
        <v>1672</v>
      </c>
      <c r="I29" s="676">
        <v>13.043333333333331</v>
      </c>
      <c r="J29" s="676">
        <v>420</v>
      </c>
      <c r="K29" s="677">
        <v>5478.2</v>
      </c>
    </row>
    <row r="30" spans="1:11" ht="14.4" customHeight="1" x14ac:dyDescent="0.3">
      <c r="A30" s="672" t="s">
        <v>478</v>
      </c>
      <c r="B30" s="673" t="s">
        <v>1446</v>
      </c>
      <c r="C30" s="674" t="s">
        <v>483</v>
      </c>
      <c r="D30" s="675" t="s">
        <v>484</v>
      </c>
      <c r="E30" s="674" t="s">
        <v>2075</v>
      </c>
      <c r="F30" s="675" t="s">
        <v>2076</v>
      </c>
      <c r="G30" s="674" t="s">
        <v>1673</v>
      </c>
      <c r="H30" s="674" t="s">
        <v>1674</v>
      </c>
      <c r="I30" s="676">
        <v>1.38</v>
      </c>
      <c r="J30" s="676">
        <v>150</v>
      </c>
      <c r="K30" s="677">
        <v>207</v>
      </c>
    </row>
    <row r="31" spans="1:11" ht="14.4" customHeight="1" x14ac:dyDescent="0.3">
      <c r="A31" s="672" t="s">
        <v>478</v>
      </c>
      <c r="B31" s="673" t="s">
        <v>1446</v>
      </c>
      <c r="C31" s="674" t="s">
        <v>483</v>
      </c>
      <c r="D31" s="675" t="s">
        <v>484</v>
      </c>
      <c r="E31" s="674" t="s">
        <v>2075</v>
      </c>
      <c r="F31" s="675" t="s">
        <v>2076</v>
      </c>
      <c r="G31" s="674" t="s">
        <v>1675</v>
      </c>
      <c r="H31" s="674" t="s">
        <v>1676</v>
      </c>
      <c r="I31" s="676">
        <v>3.94</v>
      </c>
      <c r="J31" s="676">
        <v>2750</v>
      </c>
      <c r="K31" s="677">
        <v>10847.65</v>
      </c>
    </row>
    <row r="32" spans="1:11" ht="14.4" customHeight="1" x14ac:dyDescent="0.3">
      <c r="A32" s="672" t="s">
        <v>478</v>
      </c>
      <c r="B32" s="673" t="s">
        <v>1446</v>
      </c>
      <c r="C32" s="674" t="s">
        <v>483</v>
      </c>
      <c r="D32" s="675" t="s">
        <v>484</v>
      </c>
      <c r="E32" s="674" t="s">
        <v>2075</v>
      </c>
      <c r="F32" s="675" t="s">
        <v>2076</v>
      </c>
      <c r="G32" s="674" t="s">
        <v>1677</v>
      </c>
      <c r="H32" s="674" t="s">
        <v>1678</v>
      </c>
      <c r="I32" s="676">
        <v>0.44</v>
      </c>
      <c r="J32" s="676">
        <v>500</v>
      </c>
      <c r="K32" s="677">
        <v>220</v>
      </c>
    </row>
    <row r="33" spans="1:11" ht="14.4" customHeight="1" x14ac:dyDescent="0.3">
      <c r="A33" s="672" t="s">
        <v>478</v>
      </c>
      <c r="B33" s="673" t="s">
        <v>1446</v>
      </c>
      <c r="C33" s="674" t="s">
        <v>483</v>
      </c>
      <c r="D33" s="675" t="s">
        <v>484</v>
      </c>
      <c r="E33" s="674" t="s">
        <v>2075</v>
      </c>
      <c r="F33" s="675" t="s">
        <v>2076</v>
      </c>
      <c r="G33" s="674" t="s">
        <v>1679</v>
      </c>
      <c r="H33" s="674" t="s">
        <v>1680</v>
      </c>
      <c r="I33" s="676">
        <v>775.93</v>
      </c>
      <c r="J33" s="676">
        <v>3</v>
      </c>
      <c r="K33" s="677">
        <v>2327.79</v>
      </c>
    </row>
    <row r="34" spans="1:11" ht="14.4" customHeight="1" x14ac:dyDescent="0.3">
      <c r="A34" s="672" t="s">
        <v>478</v>
      </c>
      <c r="B34" s="673" t="s">
        <v>1446</v>
      </c>
      <c r="C34" s="674" t="s">
        <v>483</v>
      </c>
      <c r="D34" s="675" t="s">
        <v>484</v>
      </c>
      <c r="E34" s="674" t="s">
        <v>2075</v>
      </c>
      <c r="F34" s="675" t="s">
        <v>2076</v>
      </c>
      <c r="G34" s="674" t="s">
        <v>1681</v>
      </c>
      <c r="H34" s="674" t="s">
        <v>1682</v>
      </c>
      <c r="I34" s="676">
        <v>8.5775000000000006</v>
      </c>
      <c r="J34" s="676">
        <v>168</v>
      </c>
      <c r="K34" s="677">
        <v>1440.8400000000001</v>
      </c>
    </row>
    <row r="35" spans="1:11" ht="14.4" customHeight="1" x14ac:dyDescent="0.3">
      <c r="A35" s="672" t="s">
        <v>478</v>
      </c>
      <c r="B35" s="673" t="s">
        <v>1446</v>
      </c>
      <c r="C35" s="674" t="s">
        <v>483</v>
      </c>
      <c r="D35" s="675" t="s">
        <v>484</v>
      </c>
      <c r="E35" s="674" t="s">
        <v>2075</v>
      </c>
      <c r="F35" s="675" t="s">
        <v>2076</v>
      </c>
      <c r="G35" s="674" t="s">
        <v>1683</v>
      </c>
      <c r="H35" s="674" t="s">
        <v>1684</v>
      </c>
      <c r="I35" s="676">
        <v>27.874000000000002</v>
      </c>
      <c r="J35" s="676">
        <v>15</v>
      </c>
      <c r="K35" s="677">
        <v>418.10999999999996</v>
      </c>
    </row>
    <row r="36" spans="1:11" ht="14.4" customHeight="1" x14ac:dyDescent="0.3">
      <c r="A36" s="672" t="s">
        <v>478</v>
      </c>
      <c r="B36" s="673" t="s">
        <v>1446</v>
      </c>
      <c r="C36" s="674" t="s">
        <v>483</v>
      </c>
      <c r="D36" s="675" t="s">
        <v>484</v>
      </c>
      <c r="E36" s="674" t="s">
        <v>2075</v>
      </c>
      <c r="F36" s="675" t="s">
        <v>2076</v>
      </c>
      <c r="G36" s="674" t="s">
        <v>1685</v>
      </c>
      <c r="H36" s="674" t="s">
        <v>1686</v>
      </c>
      <c r="I36" s="676">
        <v>0.62</v>
      </c>
      <c r="J36" s="676">
        <v>500</v>
      </c>
      <c r="K36" s="677">
        <v>310</v>
      </c>
    </row>
    <row r="37" spans="1:11" ht="14.4" customHeight="1" x14ac:dyDescent="0.3">
      <c r="A37" s="672" t="s">
        <v>478</v>
      </c>
      <c r="B37" s="673" t="s">
        <v>1446</v>
      </c>
      <c r="C37" s="674" t="s">
        <v>483</v>
      </c>
      <c r="D37" s="675" t="s">
        <v>484</v>
      </c>
      <c r="E37" s="674" t="s">
        <v>2075</v>
      </c>
      <c r="F37" s="675" t="s">
        <v>2076</v>
      </c>
      <c r="G37" s="674" t="s">
        <v>1687</v>
      </c>
      <c r="H37" s="674" t="s">
        <v>1688</v>
      </c>
      <c r="I37" s="676">
        <v>3.2450000000000001</v>
      </c>
      <c r="J37" s="676">
        <v>340</v>
      </c>
      <c r="K37" s="677">
        <v>1103.56</v>
      </c>
    </row>
    <row r="38" spans="1:11" ht="14.4" customHeight="1" x14ac:dyDescent="0.3">
      <c r="A38" s="672" t="s">
        <v>478</v>
      </c>
      <c r="B38" s="673" t="s">
        <v>1446</v>
      </c>
      <c r="C38" s="674" t="s">
        <v>483</v>
      </c>
      <c r="D38" s="675" t="s">
        <v>484</v>
      </c>
      <c r="E38" s="674" t="s">
        <v>2075</v>
      </c>
      <c r="F38" s="675" t="s">
        <v>2076</v>
      </c>
      <c r="G38" s="674" t="s">
        <v>1689</v>
      </c>
      <c r="H38" s="674" t="s">
        <v>1690</v>
      </c>
      <c r="I38" s="676">
        <v>1.29</v>
      </c>
      <c r="J38" s="676">
        <v>10000</v>
      </c>
      <c r="K38" s="677">
        <v>12900</v>
      </c>
    </row>
    <row r="39" spans="1:11" ht="14.4" customHeight="1" x14ac:dyDescent="0.3">
      <c r="A39" s="672" t="s">
        <v>478</v>
      </c>
      <c r="B39" s="673" t="s">
        <v>1446</v>
      </c>
      <c r="C39" s="674" t="s">
        <v>483</v>
      </c>
      <c r="D39" s="675" t="s">
        <v>484</v>
      </c>
      <c r="E39" s="674" t="s">
        <v>2075</v>
      </c>
      <c r="F39" s="675" t="s">
        <v>2076</v>
      </c>
      <c r="G39" s="674" t="s">
        <v>1691</v>
      </c>
      <c r="H39" s="674" t="s">
        <v>1692</v>
      </c>
      <c r="I39" s="676">
        <v>9.02</v>
      </c>
      <c r="J39" s="676">
        <v>140</v>
      </c>
      <c r="K39" s="677">
        <v>1262.8</v>
      </c>
    </row>
    <row r="40" spans="1:11" ht="14.4" customHeight="1" x14ac:dyDescent="0.3">
      <c r="A40" s="672" t="s">
        <v>478</v>
      </c>
      <c r="B40" s="673" t="s">
        <v>1446</v>
      </c>
      <c r="C40" s="674" t="s">
        <v>483</v>
      </c>
      <c r="D40" s="675" t="s">
        <v>484</v>
      </c>
      <c r="E40" s="674" t="s">
        <v>2075</v>
      </c>
      <c r="F40" s="675" t="s">
        <v>2076</v>
      </c>
      <c r="G40" s="674" t="s">
        <v>1693</v>
      </c>
      <c r="H40" s="674" t="s">
        <v>1694</v>
      </c>
      <c r="I40" s="676">
        <v>46</v>
      </c>
      <c r="J40" s="676">
        <v>2</v>
      </c>
      <c r="K40" s="677">
        <v>92</v>
      </c>
    </row>
    <row r="41" spans="1:11" ht="14.4" customHeight="1" x14ac:dyDescent="0.3">
      <c r="A41" s="672" t="s">
        <v>478</v>
      </c>
      <c r="B41" s="673" t="s">
        <v>1446</v>
      </c>
      <c r="C41" s="674" t="s">
        <v>483</v>
      </c>
      <c r="D41" s="675" t="s">
        <v>484</v>
      </c>
      <c r="E41" s="674" t="s">
        <v>2075</v>
      </c>
      <c r="F41" s="675" t="s">
        <v>2076</v>
      </c>
      <c r="G41" s="674" t="s">
        <v>1695</v>
      </c>
      <c r="H41" s="674" t="s">
        <v>1696</v>
      </c>
      <c r="I41" s="676">
        <v>29.9</v>
      </c>
      <c r="J41" s="676">
        <v>20</v>
      </c>
      <c r="K41" s="677">
        <v>598</v>
      </c>
    </row>
    <row r="42" spans="1:11" ht="14.4" customHeight="1" x14ac:dyDescent="0.3">
      <c r="A42" s="672" t="s">
        <v>478</v>
      </c>
      <c r="B42" s="673" t="s">
        <v>1446</v>
      </c>
      <c r="C42" s="674" t="s">
        <v>483</v>
      </c>
      <c r="D42" s="675" t="s">
        <v>484</v>
      </c>
      <c r="E42" s="674" t="s">
        <v>2075</v>
      </c>
      <c r="F42" s="675" t="s">
        <v>2076</v>
      </c>
      <c r="G42" s="674" t="s">
        <v>1697</v>
      </c>
      <c r="H42" s="674" t="s">
        <v>1698</v>
      </c>
      <c r="I42" s="676">
        <v>283.02</v>
      </c>
      <c r="J42" s="676">
        <v>5</v>
      </c>
      <c r="K42" s="677">
        <v>1415.08</v>
      </c>
    </row>
    <row r="43" spans="1:11" ht="14.4" customHeight="1" x14ac:dyDescent="0.3">
      <c r="A43" s="672" t="s">
        <v>478</v>
      </c>
      <c r="B43" s="673" t="s">
        <v>1446</v>
      </c>
      <c r="C43" s="674" t="s">
        <v>483</v>
      </c>
      <c r="D43" s="675" t="s">
        <v>484</v>
      </c>
      <c r="E43" s="674" t="s">
        <v>2075</v>
      </c>
      <c r="F43" s="675" t="s">
        <v>2076</v>
      </c>
      <c r="G43" s="674" t="s">
        <v>1699</v>
      </c>
      <c r="H43" s="674" t="s">
        <v>1700</v>
      </c>
      <c r="I43" s="676">
        <v>0.97</v>
      </c>
      <c r="J43" s="676">
        <v>500</v>
      </c>
      <c r="K43" s="677">
        <v>485</v>
      </c>
    </row>
    <row r="44" spans="1:11" ht="14.4" customHeight="1" x14ac:dyDescent="0.3">
      <c r="A44" s="672" t="s">
        <v>478</v>
      </c>
      <c r="B44" s="673" t="s">
        <v>1446</v>
      </c>
      <c r="C44" s="674" t="s">
        <v>483</v>
      </c>
      <c r="D44" s="675" t="s">
        <v>484</v>
      </c>
      <c r="E44" s="674" t="s">
        <v>2075</v>
      </c>
      <c r="F44" s="675" t="s">
        <v>2076</v>
      </c>
      <c r="G44" s="674" t="s">
        <v>1701</v>
      </c>
      <c r="H44" s="674" t="s">
        <v>1702</v>
      </c>
      <c r="I44" s="676">
        <v>7.51</v>
      </c>
      <c r="J44" s="676">
        <v>36</v>
      </c>
      <c r="K44" s="677">
        <v>270.36</v>
      </c>
    </row>
    <row r="45" spans="1:11" ht="14.4" customHeight="1" x14ac:dyDescent="0.3">
      <c r="A45" s="672" t="s">
        <v>478</v>
      </c>
      <c r="B45" s="673" t="s">
        <v>1446</v>
      </c>
      <c r="C45" s="674" t="s">
        <v>483</v>
      </c>
      <c r="D45" s="675" t="s">
        <v>484</v>
      </c>
      <c r="E45" s="674" t="s">
        <v>2075</v>
      </c>
      <c r="F45" s="675" t="s">
        <v>2076</v>
      </c>
      <c r="G45" s="674" t="s">
        <v>1703</v>
      </c>
      <c r="H45" s="674" t="s">
        <v>1704</v>
      </c>
      <c r="I45" s="676">
        <v>0.85333333333333339</v>
      </c>
      <c r="J45" s="676">
        <v>700</v>
      </c>
      <c r="K45" s="677">
        <v>598</v>
      </c>
    </row>
    <row r="46" spans="1:11" ht="14.4" customHeight="1" x14ac:dyDescent="0.3">
      <c r="A46" s="672" t="s">
        <v>478</v>
      </c>
      <c r="B46" s="673" t="s">
        <v>1446</v>
      </c>
      <c r="C46" s="674" t="s">
        <v>483</v>
      </c>
      <c r="D46" s="675" t="s">
        <v>484</v>
      </c>
      <c r="E46" s="674" t="s">
        <v>2075</v>
      </c>
      <c r="F46" s="675" t="s">
        <v>2076</v>
      </c>
      <c r="G46" s="674" t="s">
        <v>1705</v>
      </c>
      <c r="H46" s="674" t="s">
        <v>1706</v>
      </c>
      <c r="I46" s="676">
        <v>1.5133333333333334</v>
      </c>
      <c r="J46" s="676">
        <v>600</v>
      </c>
      <c r="K46" s="677">
        <v>908</v>
      </c>
    </row>
    <row r="47" spans="1:11" ht="14.4" customHeight="1" x14ac:dyDescent="0.3">
      <c r="A47" s="672" t="s">
        <v>478</v>
      </c>
      <c r="B47" s="673" t="s">
        <v>1446</v>
      </c>
      <c r="C47" s="674" t="s">
        <v>483</v>
      </c>
      <c r="D47" s="675" t="s">
        <v>484</v>
      </c>
      <c r="E47" s="674" t="s">
        <v>2075</v>
      </c>
      <c r="F47" s="675" t="s">
        <v>2076</v>
      </c>
      <c r="G47" s="674" t="s">
        <v>1707</v>
      </c>
      <c r="H47" s="674" t="s">
        <v>1708</v>
      </c>
      <c r="I47" s="676">
        <v>2.06</v>
      </c>
      <c r="J47" s="676">
        <v>300</v>
      </c>
      <c r="K47" s="677">
        <v>618</v>
      </c>
    </row>
    <row r="48" spans="1:11" ht="14.4" customHeight="1" x14ac:dyDescent="0.3">
      <c r="A48" s="672" t="s">
        <v>478</v>
      </c>
      <c r="B48" s="673" t="s">
        <v>1446</v>
      </c>
      <c r="C48" s="674" t="s">
        <v>483</v>
      </c>
      <c r="D48" s="675" t="s">
        <v>484</v>
      </c>
      <c r="E48" s="674" t="s">
        <v>2075</v>
      </c>
      <c r="F48" s="675" t="s">
        <v>2076</v>
      </c>
      <c r="G48" s="674" t="s">
        <v>1709</v>
      </c>
      <c r="H48" s="674" t="s">
        <v>1710</v>
      </c>
      <c r="I48" s="676">
        <v>3.3650000000000002</v>
      </c>
      <c r="J48" s="676">
        <v>100</v>
      </c>
      <c r="K48" s="677">
        <v>336.5</v>
      </c>
    </row>
    <row r="49" spans="1:11" ht="14.4" customHeight="1" x14ac:dyDescent="0.3">
      <c r="A49" s="672" t="s">
        <v>478</v>
      </c>
      <c r="B49" s="673" t="s">
        <v>1446</v>
      </c>
      <c r="C49" s="674" t="s">
        <v>483</v>
      </c>
      <c r="D49" s="675" t="s">
        <v>484</v>
      </c>
      <c r="E49" s="674" t="s">
        <v>2075</v>
      </c>
      <c r="F49" s="675" t="s">
        <v>2076</v>
      </c>
      <c r="G49" s="674" t="s">
        <v>1711</v>
      </c>
      <c r="H49" s="674" t="s">
        <v>1712</v>
      </c>
      <c r="I49" s="676">
        <v>174.20666666666668</v>
      </c>
      <c r="J49" s="676">
        <v>61</v>
      </c>
      <c r="K49" s="677">
        <v>10135.829999999998</v>
      </c>
    </row>
    <row r="50" spans="1:11" ht="14.4" customHeight="1" x14ac:dyDescent="0.3">
      <c r="A50" s="672" t="s">
        <v>478</v>
      </c>
      <c r="B50" s="673" t="s">
        <v>1446</v>
      </c>
      <c r="C50" s="674" t="s">
        <v>483</v>
      </c>
      <c r="D50" s="675" t="s">
        <v>484</v>
      </c>
      <c r="E50" s="674" t="s">
        <v>2075</v>
      </c>
      <c r="F50" s="675" t="s">
        <v>2076</v>
      </c>
      <c r="G50" s="674" t="s">
        <v>1713</v>
      </c>
      <c r="H50" s="674" t="s">
        <v>1714</v>
      </c>
      <c r="I50" s="676">
        <v>243.53</v>
      </c>
      <c r="J50" s="676">
        <v>1</v>
      </c>
      <c r="K50" s="677">
        <v>243.53</v>
      </c>
    </row>
    <row r="51" spans="1:11" ht="14.4" customHeight="1" x14ac:dyDescent="0.3">
      <c r="A51" s="672" t="s">
        <v>478</v>
      </c>
      <c r="B51" s="673" t="s">
        <v>1446</v>
      </c>
      <c r="C51" s="674" t="s">
        <v>483</v>
      </c>
      <c r="D51" s="675" t="s">
        <v>484</v>
      </c>
      <c r="E51" s="674" t="s">
        <v>2075</v>
      </c>
      <c r="F51" s="675" t="s">
        <v>2076</v>
      </c>
      <c r="G51" s="674" t="s">
        <v>1715</v>
      </c>
      <c r="H51" s="674" t="s">
        <v>1716</v>
      </c>
      <c r="I51" s="676">
        <v>3.01</v>
      </c>
      <c r="J51" s="676">
        <v>50</v>
      </c>
      <c r="K51" s="677">
        <v>150.49</v>
      </c>
    </row>
    <row r="52" spans="1:11" ht="14.4" customHeight="1" x14ac:dyDescent="0.3">
      <c r="A52" s="672" t="s">
        <v>478</v>
      </c>
      <c r="B52" s="673" t="s">
        <v>1446</v>
      </c>
      <c r="C52" s="674" t="s">
        <v>483</v>
      </c>
      <c r="D52" s="675" t="s">
        <v>484</v>
      </c>
      <c r="E52" s="674" t="s">
        <v>2075</v>
      </c>
      <c r="F52" s="675" t="s">
        <v>2076</v>
      </c>
      <c r="G52" s="674" t="s">
        <v>1717</v>
      </c>
      <c r="H52" s="674" t="s">
        <v>1718</v>
      </c>
      <c r="I52" s="676">
        <v>9.7799999999999994</v>
      </c>
      <c r="J52" s="676">
        <v>200</v>
      </c>
      <c r="K52" s="677">
        <v>1955</v>
      </c>
    </row>
    <row r="53" spans="1:11" ht="14.4" customHeight="1" x14ac:dyDescent="0.3">
      <c r="A53" s="672" t="s">
        <v>478</v>
      </c>
      <c r="B53" s="673" t="s">
        <v>1446</v>
      </c>
      <c r="C53" s="674" t="s">
        <v>483</v>
      </c>
      <c r="D53" s="675" t="s">
        <v>484</v>
      </c>
      <c r="E53" s="674" t="s">
        <v>2075</v>
      </c>
      <c r="F53" s="675" t="s">
        <v>2076</v>
      </c>
      <c r="G53" s="674" t="s">
        <v>1719</v>
      </c>
      <c r="H53" s="674" t="s">
        <v>1720</v>
      </c>
      <c r="I53" s="676">
        <v>185.98</v>
      </c>
      <c r="J53" s="676">
        <v>27</v>
      </c>
      <c r="K53" s="677">
        <v>5021.46</v>
      </c>
    </row>
    <row r="54" spans="1:11" ht="14.4" customHeight="1" x14ac:dyDescent="0.3">
      <c r="A54" s="672" t="s">
        <v>478</v>
      </c>
      <c r="B54" s="673" t="s">
        <v>1446</v>
      </c>
      <c r="C54" s="674" t="s">
        <v>483</v>
      </c>
      <c r="D54" s="675" t="s">
        <v>484</v>
      </c>
      <c r="E54" s="674" t="s">
        <v>2075</v>
      </c>
      <c r="F54" s="675" t="s">
        <v>2076</v>
      </c>
      <c r="G54" s="674" t="s">
        <v>1721</v>
      </c>
      <c r="H54" s="674" t="s">
        <v>1722</v>
      </c>
      <c r="I54" s="676">
        <v>685.05</v>
      </c>
      <c r="J54" s="676">
        <v>3</v>
      </c>
      <c r="K54" s="677">
        <v>2055.15</v>
      </c>
    </row>
    <row r="55" spans="1:11" ht="14.4" customHeight="1" x14ac:dyDescent="0.3">
      <c r="A55" s="672" t="s">
        <v>478</v>
      </c>
      <c r="B55" s="673" t="s">
        <v>1446</v>
      </c>
      <c r="C55" s="674" t="s">
        <v>483</v>
      </c>
      <c r="D55" s="675" t="s">
        <v>484</v>
      </c>
      <c r="E55" s="674" t="s">
        <v>2075</v>
      </c>
      <c r="F55" s="675" t="s">
        <v>2076</v>
      </c>
      <c r="G55" s="674" t="s">
        <v>1723</v>
      </c>
      <c r="H55" s="674" t="s">
        <v>1724</v>
      </c>
      <c r="I55" s="676">
        <v>899.84</v>
      </c>
      <c r="J55" s="676">
        <v>3</v>
      </c>
      <c r="K55" s="677">
        <v>2699.52</v>
      </c>
    </row>
    <row r="56" spans="1:11" ht="14.4" customHeight="1" x14ac:dyDescent="0.3">
      <c r="A56" s="672" t="s">
        <v>478</v>
      </c>
      <c r="B56" s="673" t="s">
        <v>1446</v>
      </c>
      <c r="C56" s="674" t="s">
        <v>483</v>
      </c>
      <c r="D56" s="675" t="s">
        <v>484</v>
      </c>
      <c r="E56" s="674" t="s">
        <v>2075</v>
      </c>
      <c r="F56" s="675" t="s">
        <v>2076</v>
      </c>
      <c r="G56" s="674" t="s">
        <v>1725</v>
      </c>
      <c r="H56" s="674" t="s">
        <v>1726</v>
      </c>
      <c r="I56" s="676">
        <v>5.2725</v>
      </c>
      <c r="J56" s="676">
        <v>230</v>
      </c>
      <c r="K56" s="677">
        <v>1212.5999999999999</v>
      </c>
    </row>
    <row r="57" spans="1:11" ht="14.4" customHeight="1" x14ac:dyDescent="0.3">
      <c r="A57" s="672" t="s">
        <v>478</v>
      </c>
      <c r="B57" s="673" t="s">
        <v>1446</v>
      </c>
      <c r="C57" s="674" t="s">
        <v>483</v>
      </c>
      <c r="D57" s="675" t="s">
        <v>484</v>
      </c>
      <c r="E57" s="674" t="s">
        <v>2075</v>
      </c>
      <c r="F57" s="675" t="s">
        <v>2076</v>
      </c>
      <c r="G57" s="674" t="s">
        <v>1727</v>
      </c>
      <c r="H57" s="674" t="s">
        <v>1728</v>
      </c>
      <c r="I57" s="676">
        <v>128.71</v>
      </c>
      <c r="J57" s="676">
        <v>5</v>
      </c>
      <c r="K57" s="677">
        <v>643.54</v>
      </c>
    </row>
    <row r="58" spans="1:11" ht="14.4" customHeight="1" x14ac:dyDescent="0.3">
      <c r="A58" s="672" t="s">
        <v>478</v>
      </c>
      <c r="B58" s="673" t="s">
        <v>1446</v>
      </c>
      <c r="C58" s="674" t="s">
        <v>483</v>
      </c>
      <c r="D58" s="675" t="s">
        <v>484</v>
      </c>
      <c r="E58" s="674" t="s">
        <v>2075</v>
      </c>
      <c r="F58" s="675" t="s">
        <v>2076</v>
      </c>
      <c r="G58" s="674" t="s">
        <v>1729</v>
      </c>
      <c r="H58" s="674" t="s">
        <v>1730</v>
      </c>
      <c r="I58" s="676">
        <v>5.17</v>
      </c>
      <c r="J58" s="676">
        <v>300</v>
      </c>
      <c r="K58" s="677">
        <v>1552.5</v>
      </c>
    </row>
    <row r="59" spans="1:11" ht="14.4" customHeight="1" x14ac:dyDescent="0.3">
      <c r="A59" s="672" t="s">
        <v>478</v>
      </c>
      <c r="B59" s="673" t="s">
        <v>1446</v>
      </c>
      <c r="C59" s="674" t="s">
        <v>483</v>
      </c>
      <c r="D59" s="675" t="s">
        <v>484</v>
      </c>
      <c r="E59" s="674" t="s">
        <v>2075</v>
      </c>
      <c r="F59" s="675" t="s">
        <v>2076</v>
      </c>
      <c r="G59" s="674" t="s">
        <v>1731</v>
      </c>
      <c r="H59" s="674" t="s">
        <v>1732</v>
      </c>
      <c r="I59" s="676">
        <v>314.8</v>
      </c>
      <c r="J59" s="676">
        <v>6</v>
      </c>
      <c r="K59" s="677">
        <v>1888.81</v>
      </c>
    </row>
    <row r="60" spans="1:11" ht="14.4" customHeight="1" x14ac:dyDescent="0.3">
      <c r="A60" s="672" t="s">
        <v>478</v>
      </c>
      <c r="B60" s="673" t="s">
        <v>1446</v>
      </c>
      <c r="C60" s="674" t="s">
        <v>483</v>
      </c>
      <c r="D60" s="675" t="s">
        <v>484</v>
      </c>
      <c r="E60" s="674" t="s">
        <v>2075</v>
      </c>
      <c r="F60" s="675" t="s">
        <v>2076</v>
      </c>
      <c r="G60" s="674" t="s">
        <v>1733</v>
      </c>
      <c r="H60" s="674" t="s">
        <v>1734</v>
      </c>
      <c r="I60" s="676">
        <v>8.77</v>
      </c>
      <c r="J60" s="676">
        <v>672</v>
      </c>
      <c r="K60" s="677">
        <v>5896.48</v>
      </c>
    </row>
    <row r="61" spans="1:11" ht="14.4" customHeight="1" x14ac:dyDescent="0.3">
      <c r="A61" s="672" t="s">
        <v>478</v>
      </c>
      <c r="B61" s="673" t="s">
        <v>1446</v>
      </c>
      <c r="C61" s="674" t="s">
        <v>483</v>
      </c>
      <c r="D61" s="675" t="s">
        <v>484</v>
      </c>
      <c r="E61" s="674" t="s">
        <v>2075</v>
      </c>
      <c r="F61" s="675" t="s">
        <v>2076</v>
      </c>
      <c r="G61" s="674" t="s">
        <v>1735</v>
      </c>
      <c r="H61" s="674" t="s">
        <v>1736</v>
      </c>
      <c r="I61" s="676">
        <v>2.9</v>
      </c>
      <c r="J61" s="676">
        <v>100</v>
      </c>
      <c r="K61" s="677">
        <v>289.8</v>
      </c>
    </row>
    <row r="62" spans="1:11" ht="14.4" customHeight="1" x14ac:dyDescent="0.3">
      <c r="A62" s="672" t="s">
        <v>478</v>
      </c>
      <c r="B62" s="673" t="s">
        <v>1446</v>
      </c>
      <c r="C62" s="674" t="s">
        <v>483</v>
      </c>
      <c r="D62" s="675" t="s">
        <v>484</v>
      </c>
      <c r="E62" s="674" t="s">
        <v>2075</v>
      </c>
      <c r="F62" s="675" t="s">
        <v>2076</v>
      </c>
      <c r="G62" s="674" t="s">
        <v>1737</v>
      </c>
      <c r="H62" s="674" t="s">
        <v>1738</v>
      </c>
      <c r="I62" s="676">
        <v>10.52</v>
      </c>
      <c r="J62" s="676">
        <v>20</v>
      </c>
      <c r="K62" s="677">
        <v>210.4</v>
      </c>
    </row>
    <row r="63" spans="1:11" ht="14.4" customHeight="1" x14ac:dyDescent="0.3">
      <c r="A63" s="672" t="s">
        <v>478</v>
      </c>
      <c r="B63" s="673" t="s">
        <v>1446</v>
      </c>
      <c r="C63" s="674" t="s">
        <v>483</v>
      </c>
      <c r="D63" s="675" t="s">
        <v>484</v>
      </c>
      <c r="E63" s="674" t="s">
        <v>2075</v>
      </c>
      <c r="F63" s="675" t="s">
        <v>2076</v>
      </c>
      <c r="G63" s="674" t="s">
        <v>1739</v>
      </c>
      <c r="H63" s="674" t="s">
        <v>1740</v>
      </c>
      <c r="I63" s="676">
        <v>13.223333333333334</v>
      </c>
      <c r="J63" s="676">
        <v>50</v>
      </c>
      <c r="K63" s="677">
        <v>661.3</v>
      </c>
    </row>
    <row r="64" spans="1:11" ht="14.4" customHeight="1" x14ac:dyDescent="0.3">
      <c r="A64" s="672" t="s">
        <v>478</v>
      </c>
      <c r="B64" s="673" t="s">
        <v>1446</v>
      </c>
      <c r="C64" s="674" t="s">
        <v>483</v>
      </c>
      <c r="D64" s="675" t="s">
        <v>484</v>
      </c>
      <c r="E64" s="674" t="s">
        <v>2075</v>
      </c>
      <c r="F64" s="675" t="s">
        <v>2076</v>
      </c>
      <c r="G64" s="674" t="s">
        <v>1741</v>
      </c>
      <c r="H64" s="674" t="s">
        <v>1742</v>
      </c>
      <c r="I64" s="676">
        <v>124.55</v>
      </c>
      <c r="J64" s="676">
        <v>10</v>
      </c>
      <c r="K64" s="677">
        <v>1245.5</v>
      </c>
    </row>
    <row r="65" spans="1:11" ht="14.4" customHeight="1" x14ac:dyDescent="0.3">
      <c r="A65" s="672" t="s">
        <v>478</v>
      </c>
      <c r="B65" s="673" t="s">
        <v>1446</v>
      </c>
      <c r="C65" s="674" t="s">
        <v>483</v>
      </c>
      <c r="D65" s="675" t="s">
        <v>484</v>
      </c>
      <c r="E65" s="674" t="s">
        <v>2077</v>
      </c>
      <c r="F65" s="675" t="s">
        <v>2078</v>
      </c>
      <c r="G65" s="674" t="s">
        <v>1743</v>
      </c>
      <c r="H65" s="674" t="s">
        <v>1744</v>
      </c>
      <c r="I65" s="676">
        <v>229.9</v>
      </c>
      <c r="J65" s="676">
        <v>160</v>
      </c>
      <c r="K65" s="677">
        <v>36784.050000000003</v>
      </c>
    </row>
    <row r="66" spans="1:11" ht="14.4" customHeight="1" x14ac:dyDescent="0.3">
      <c r="A66" s="672" t="s">
        <v>478</v>
      </c>
      <c r="B66" s="673" t="s">
        <v>1446</v>
      </c>
      <c r="C66" s="674" t="s">
        <v>483</v>
      </c>
      <c r="D66" s="675" t="s">
        <v>484</v>
      </c>
      <c r="E66" s="674" t="s">
        <v>2077</v>
      </c>
      <c r="F66" s="675" t="s">
        <v>2078</v>
      </c>
      <c r="G66" s="674" t="s">
        <v>1745</v>
      </c>
      <c r="H66" s="674" t="s">
        <v>1746</v>
      </c>
      <c r="I66" s="676">
        <v>268.62</v>
      </c>
      <c r="J66" s="676">
        <v>310</v>
      </c>
      <c r="K66" s="677">
        <v>83272.2</v>
      </c>
    </row>
    <row r="67" spans="1:11" ht="14.4" customHeight="1" x14ac:dyDescent="0.3">
      <c r="A67" s="672" t="s">
        <v>478</v>
      </c>
      <c r="B67" s="673" t="s">
        <v>1446</v>
      </c>
      <c r="C67" s="674" t="s">
        <v>483</v>
      </c>
      <c r="D67" s="675" t="s">
        <v>484</v>
      </c>
      <c r="E67" s="674" t="s">
        <v>2077</v>
      </c>
      <c r="F67" s="675" t="s">
        <v>2078</v>
      </c>
      <c r="G67" s="674" t="s">
        <v>1747</v>
      </c>
      <c r="H67" s="674" t="s">
        <v>1748</v>
      </c>
      <c r="I67" s="676">
        <v>37.51</v>
      </c>
      <c r="J67" s="676">
        <v>840</v>
      </c>
      <c r="K67" s="677">
        <v>31508.400000000001</v>
      </c>
    </row>
    <row r="68" spans="1:11" ht="14.4" customHeight="1" x14ac:dyDescent="0.3">
      <c r="A68" s="672" t="s">
        <v>478</v>
      </c>
      <c r="B68" s="673" t="s">
        <v>1446</v>
      </c>
      <c r="C68" s="674" t="s">
        <v>483</v>
      </c>
      <c r="D68" s="675" t="s">
        <v>484</v>
      </c>
      <c r="E68" s="674" t="s">
        <v>2077</v>
      </c>
      <c r="F68" s="675" t="s">
        <v>2078</v>
      </c>
      <c r="G68" s="674" t="s">
        <v>1749</v>
      </c>
      <c r="H68" s="674" t="s">
        <v>1750</v>
      </c>
      <c r="I68" s="676">
        <v>0.255</v>
      </c>
      <c r="J68" s="676">
        <v>400</v>
      </c>
      <c r="K68" s="677">
        <v>102</v>
      </c>
    </row>
    <row r="69" spans="1:11" ht="14.4" customHeight="1" x14ac:dyDescent="0.3">
      <c r="A69" s="672" t="s">
        <v>478</v>
      </c>
      <c r="B69" s="673" t="s">
        <v>1446</v>
      </c>
      <c r="C69" s="674" t="s">
        <v>483</v>
      </c>
      <c r="D69" s="675" t="s">
        <v>484</v>
      </c>
      <c r="E69" s="674" t="s">
        <v>2077</v>
      </c>
      <c r="F69" s="675" t="s">
        <v>2078</v>
      </c>
      <c r="G69" s="674" t="s">
        <v>1751</v>
      </c>
      <c r="H69" s="674" t="s">
        <v>1752</v>
      </c>
      <c r="I69" s="676">
        <v>11.147499999999999</v>
      </c>
      <c r="J69" s="676">
        <v>1900</v>
      </c>
      <c r="K69" s="677">
        <v>21179</v>
      </c>
    </row>
    <row r="70" spans="1:11" ht="14.4" customHeight="1" x14ac:dyDescent="0.3">
      <c r="A70" s="672" t="s">
        <v>478</v>
      </c>
      <c r="B70" s="673" t="s">
        <v>1446</v>
      </c>
      <c r="C70" s="674" t="s">
        <v>483</v>
      </c>
      <c r="D70" s="675" t="s">
        <v>484</v>
      </c>
      <c r="E70" s="674" t="s">
        <v>2077</v>
      </c>
      <c r="F70" s="675" t="s">
        <v>2078</v>
      </c>
      <c r="G70" s="674" t="s">
        <v>1753</v>
      </c>
      <c r="H70" s="674" t="s">
        <v>1754</v>
      </c>
      <c r="I70" s="676">
        <v>1.0900000000000001</v>
      </c>
      <c r="J70" s="676">
        <v>9800</v>
      </c>
      <c r="K70" s="677">
        <v>10682</v>
      </c>
    </row>
    <row r="71" spans="1:11" ht="14.4" customHeight="1" x14ac:dyDescent="0.3">
      <c r="A71" s="672" t="s">
        <v>478</v>
      </c>
      <c r="B71" s="673" t="s">
        <v>1446</v>
      </c>
      <c r="C71" s="674" t="s">
        <v>483</v>
      </c>
      <c r="D71" s="675" t="s">
        <v>484</v>
      </c>
      <c r="E71" s="674" t="s">
        <v>2077</v>
      </c>
      <c r="F71" s="675" t="s">
        <v>2078</v>
      </c>
      <c r="G71" s="674" t="s">
        <v>1755</v>
      </c>
      <c r="H71" s="674" t="s">
        <v>1756</v>
      </c>
      <c r="I71" s="676">
        <v>1.68</v>
      </c>
      <c r="J71" s="676">
        <v>10600</v>
      </c>
      <c r="K71" s="677">
        <v>17808</v>
      </c>
    </row>
    <row r="72" spans="1:11" ht="14.4" customHeight="1" x14ac:dyDescent="0.3">
      <c r="A72" s="672" t="s">
        <v>478</v>
      </c>
      <c r="B72" s="673" t="s">
        <v>1446</v>
      </c>
      <c r="C72" s="674" t="s">
        <v>483</v>
      </c>
      <c r="D72" s="675" t="s">
        <v>484</v>
      </c>
      <c r="E72" s="674" t="s">
        <v>2077</v>
      </c>
      <c r="F72" s="675" t="s">
        <v>2078</v>
      </c>
      <c r="G72" s="674" t="s">
        <v>1757</v>
      </c>
      <c r="H72" s="674" t="s">
        <v>1758</v>
      </c>
      <c r="I72" s="676">
        <v>0.47</v>
      </c>
      <c r="J72" s="676">
        <v>7000</v>
      </c>
      <c r="K72" s="677">
        <v>3290</v>
      </c>
    </row>
    <row r="73" spans="1:11" ht="14.4" customHeight="1" x14ac:dyDescent="0.3">
      <c r="A73" s="672" t="s">
        <v>478</v>
      </c>
      <c r="B73" s="673" t="s">
        <v>1446</v>
      </c>
      <c r="C73" s="674" t="s">
        <v>483</v>
      </c>
      <c r="D73" s="675" t="s">
        <v>484</v>
      </c>
      <c r="E73" s="674" t="s">
        <v>2077</v>
      </c>
      <c r="F73" s="675" t="s">
        <v>2078</v>
      </c>
      <c r="G73" s="674" t="s">
        <v>1759</v>
      </c>
      <c r="H73" s="674" t="s">
        <v>1760</v>
      </c>
      <c r="I73" s="676">
        <v>0.67</v>
      </c>
      <c r="J73" s="676">
        <v>3000</v>
      </c>
      <c r="K73" s="677">
        <v>2010</v>
      </c>
    </row>
    <row r="74" spans="1:11" ht="14.4" customHeight="1" x14ac:dyDescent="0.3">
      <c r="A74" s="672" t="s">
        <v>478</v>
      </c>
      <c r="B74" s="673" t="s">
        <v>1446</v>
      </c>
      <c r="C74" s="674" t="s">
        <v>483</v>
      </c>
      <c r="D74" s="675" t="s">
        <v>484</v>
      </c>
      <c r="E74" s="674" t="s">
        <v>2077</v>
      </c>
      <c r="F74" s="675" t="s">
        <v>2078</v>
      </c>
      <c r="G74" s="674" t="s">
        <v>1761</v>
      </c>
      <c r="H74" s="674" t="s">
        <v>1762</v>
      </c>
      <c r="I74" s="676">
        <v>3.13</v>
      </c>
      <c r="J74" s="676">
        <v>700</v>
      </c>
      <c r="K74" s="677">
        <v>2191</v>
      </c>
    </row>
    <row r="75" spans="1:11" ht="14.4" customHeight="1" x14ac:dyDescent="0.3">
      <c r="A75" s="672" t="s">
        <v>478</v>
      </c>
      <c r="B75" s="673" t="s">
        <v>1446</v>
      </c>
      <c r="C75" s="674" t="s">
        <v>483</v>
      </c>
      <c r="D75" s="675" t="s">
        <v>484</v>
      </c>
      <c r="E75" s="674" t="s">
        <v>2077</v>
      </c>
      <c r="F75" s="675" t="s">
        <v>2078</v>
      </c>
      <c r="G75" s="674" t="s">
        <v>1763</v>
      </c>
      <c r="H75" s="674" t="s">
        <v>1764</v>
      </c>
      <c r="I75" s="676">
        <v>6.29</v>
      </c>
      <c r="J75" s="676">
        <v>5</v>
      </c>
      <c r="K75" s="677">
        <v>31.45</v>
      </c>
    </row>
    <row r="76" spans="1:11" ht="14.4" customHeight="1" x14ac:dyDescent="0.3">
      <c r="A76" s="672" t="s">
        <v>478</v>
      </c>
      <c r="B76" s="673" t="s">
        <v>1446</v>
      </c>
      <c r="C76" s="674" t="s">
        <v>483</v>
      </c>
      <c r="D76" s="675" t="s">
        <v>484</v>
      </c>
      <c r="E76" s="674" t="s">
        <v>2077</v>
      </c>
      <c r="F76" s="675" t="s">
        <v>2078</v>
      </c>
      <c r="G76" s="674" t="s">
        <v>1765</v>
      </c>
      <c r="H76" s="674" t="s">
        <v>1766</v>
      </c>
      <c r="I76" s="676">
        <v>6.2333333333333343</v>
      </c>
      <c r="J76" s="676">
        <v>750</v>
      </c>
      <c r="K76" s="677">
        <v>4675.2999999999993</v>
      </c>
    </row>
    <row r="77" spans="1:11" ht="14.4" customHeight="1" x14ac:dyDescent="0.3">
      <c r="A77" s="672" t="s">
        <v>478</v>
      </c>
      <c r="B77" s="673" t="s">
        <v>1446</v>
      </c>
      <c r="C77" s="674" t="s">
        <v>483</v>
      </c>
      <c r="D77" s="675" t="s">
        <v>484</v>
      </c>
      <c r="E77" s="674" t="s">
        <v>2077</v>
      </c>
      <c r="F77" s="675" t="s">
        <v>2078</v>
      </c>
      <c r="G77" s="674" t="s">
        <v>1767</v>
      </c>
      <c r="H77" s="674" t="s">
        <v>1768</v>
      </c>
      <c r="I77" s="676">
        <v>204.405</v>
      </c>
      <c r="J77" s="676">
        <v>90</v>
      </c>
      <c r="K77" s="677">
        <v>18396.3</v>
      </c>
    </row>
    <row r="78" spans="1:11" ht="14.4" customHeight="1" x14ac:dyDescent="0.3">
      <c r="A78" s="672" t="s">
        <v>478</v>
      </c>
      <c r="B78" s="673" t="s">
        <v>1446</v>
      </c>
      <c r="C78" s="674" t="s">
        <v>483</v>
      </c>
      <c r="D78" s="675" t="s">
        <v>484</v>
      </c>
      <c r="E78" s="674" t="s">
        <v>2077</v>
      </c>
      <c r="F78" s="675" t="s">
        <v>2078</v>
      </c>
      <c r="G78" s="674" t="s">
        <v>1769</v>
      </c>
      <c r="H78" s="674" t="s">
        <v>1770</v>
      </c>
      <c r="I78" s="676">
        <v>80.58</v>
      </c>
      <c r="J78" s="676">
        <v>10</v>
      </c>
      <c r="K78" s="677">
        <v>805.8</v>
      </c>
    </row>
    <row r="79" spans="1:11" ht="14.4" customHeight="1" x14ac:dyDescent="0.3">
      <c r="A79" s="672" t="s">
        <v>478</v>
      </c>
      <c r="B79" s="673" t="s">
        <v>1446</v>
      </c>
      <c r="C79" s="674" t="s">
        <v>483</v>
      </c>
      <c r="D79" s="675" t="s">
        <v>484</v>
      </c>
      <c r="E79" s="674" t="s">
        <v>2077</v>
      </c>
      <c r="F79" s="675" t="s">
        <v>2078</v>
      </c>
      <c r="G79" s="674" t="s">
        <v>1771</v>
      </c>
      <c r="H79" s="674" t="s">
        <v>1772</v>
      </c>
      <c r="I79" s="676">
        <v>6.169999999999999</v>
      </c>
      <c r="J79" s="676">
        <v>2000</v>
      </c>
      <c r="K79" s="677">
        <v>12340</v>
      </c>
    </row>
    <row r="80" spans="1:11" ht="14.4" customHeight="1" x14ac:dyDescent="0.3">
      <c r="A80" s="672" t="s">
        <v>478</v>
      </c>
      <c r="B80" s="673" t="s">
        <v>1446</v>
      </c>
      <c r="C80" s="674" t="s">
        <v>483</v>
      </c>
      <c r="D80" s="675" t="s">
        <v>484</v>
      </c>
      <c r="E80" s="674" t="s">
        <v>2077</v>
      </c>
      <c r="F80" s="675" t="s">
        <v>2078</v>
      </c>
      <c r="G80" s="674" t="s">
        <v>1773</v>
      </c>
      <c r="H80" s="674" t="s">
        <v>1774</v>
      </c>
      <c r="I80" s="676">
        <v>646.76</v>
      </c>
      <c r="J80" s="676">
        <v>2</v>
      </c>
      <c r="K80" s="677">
        <v>1293.52</v>
      </c>
    </row>
    <row r="81" spans="1:11" ht="14.4" customHeight="1" x14ac:dyDescent="0.3">
      <c r="A81" s="672" t="s">
        <v>478</v>
      </c>
      <c r="B81" s="673" t="s">
        <v>1446</v>
      </c>
      <c r="C81" s="674" t="s">
        <v>483</v>
      </c>
      <c r="D81" s="675" t="s">
        <v>484</v>
      </c>
      <c r="E81" s="674" t="s">
        <v>2077</v>
      </c>
      <c r="F81" s="675" t="s">
        <v>2078</v>
      </c>
      <c r="G81" s="674" t="s">
        <v>1775</v>
      </c>
      <c r="H81" s="674" t="s">
        <v>1776</v>
      </c>
      <c r="I81" s="676">
        <v>102.85000000000001</v>
      </c>
      <c r="J81" s="676">
        <v>62</v>
      </c>
      <c r="K81" s="677">
        <v>6376.7</v>
      </c>
    </row>
    <row r="82" spans="1:11" ht="14.4" customHeight="1" x14ac:dyDescent="0.3">
      <c r="A82" s="672" t="s">
        <v>478</v>
      </c>
      <c r="B82" s="673" t="s">
        <v>1446</v>
      </c>
      <c r="C82" s="674" t="s">
        <v>483</v>
      </c>
      <c r="D82" s="675" t="s">
        <v>484</v>
      </c>
      <c r="E82" s="674" t="s">
        <v>2077</v>
      </c>
      <c r="F82" s="675" t="s">
        <v>2078</v>
      </c>
      <c r="G82" s="674" t="s">
        <v>1777</v>
      </c>
      <c r="H82" s="674" t="s">
        <v>1778</v>
      </c>
      <c r="I82" s="676">
        <v>108.89</v>
      </c>
      <c r="J82" s="676">
        <v>70</v>
      </c>
      <c r="K82" s="677">
        <v>7622</v>
      </c>
    </row>
    <row r="83" spans="1:11" ht="14.4" customHeight="1" x14ac:dyDescent="0.3">
      <c r="A83" s="672" t="s">
        <v>478</v>
      </c>
      <c r="B83" s="673" t="s">
        <v>1446</v>
      </c>
      <c r="C83" s="674" t="s">
        <v>483</v>
      </c>
      <c r="D83" s="675" t="s">
        <v>484</v>
      </c>
      <c r="E83" s="674" t="s">
        <v>2077</v>
      </c>
      <c r="F83" s="675" t="s">
        <v>2078</v>
      </c>
      <c r="G83" s="674" t="s">
        <v>1779</v>
      </c>
      <c r="H83" s="674" t="s">
        <v>1780</v>
      </c>
      <c r="I83" s="676">
        <v>206.04</v>
      </c>
      <c r="J83" s="676">
        <v>27</v>
      </c>
      <c r="K83" s="677">
        <v>5563.08</v>
      </c>
    </row>
    <row r="84" spans="1:11" ht="14.4" customHeight="1" x14ac:dyDescent="0.3">
      <c r="A84" s="672" t="s">
        <v>478</v>
      </c>
      <c r="B84" s="673" t="s">
        <v>1446</v>
      </c>
      <c r="C84" s="674" t="s">
        <v>483</v>
      </c>
      <c r="D84" s="675" t="s">
        <v>484</v>
      </c>
      <c r="E84" s="674" t="s">
        <v>2077</v>
      </c>
      <c r="F84" s="675" t="s">
        <v>2078</v>
      </c>
      <c r="G84" s="674" t="s">
        <v>1781</v>
      </c>
      <c r="H84" s="674" t="s">
        <v>1782</v>
      </c>
      <c r="I84" s="676">
        <v>16.46</v>
      </c>
      <c r="J84" s="676">
        <v>190</v>
      </c>
      <c r="K84" s="677">
        <v>3127.4</v>
      </c>
    </row>
    <row r="85" spans="1:11" ht="14.4" customHeight="1" x14ac:dyDescent="0.3">
      <c r="A85" s="672" t="s">
        <v>478</v>
      </c>
      <c r="B85" s="673" t="s">
        <v>1446</v>
      </c>
      <c r="C85" s="674" t="s">
        <v>483</v>
      </c>
      <c r="D85" s="675" t="s">
        <v>484</v>
      </c>
      <c r="E85" s="674" t="s">
        <v>2077</v>
      </c>
      <c r="F85" s="675" t="s">
        <v>2078</v>
      </c>
      <c r="G85" s="674" t="s">
        <v>1783</v>
      </c>
      <c r="H85" s="674" t="s">
        <v>1784</v>
      </c>
      <c r="I85" s="676">
        <v>121</v>
      </c>
      <c r="J85" s="676">
        <v>30</v>
      </c>
      <c r="K85" s="677">
        <v>3630</v>
      </c>
    </row>
    <row r="86" spans="1:11" ht="14.4" customHeight="1" x14ac:dyDescent="0.3">
      <c r="A86" s="672" t="s">
        <v>478</v>
      </c>
      <c r="B86" s="673" t="s">
        <v>1446</v>
      </c>
      <c r="C86" s="674" t="s">
        <v>483</v>
      </c>
      <c r="D86" s="675" t="s">
        <v>484</v>
      </c>
      <c r="E86" s="674" t="s">
        <v>2077</v>
      </c>
      <c r="F86" s="675" t="s">
        <v>2078</v>
      </c>
      <c r="G86" s="674" t="s">
        <v>1785</v>
      </c>
      <c r="H86" s="674" t="s">
        <v>1786</v>
      </c>
      <c r="I86" s="676">
        <v>1.9</v>
      </c>
      <c r="J86" s="676">
        <v>50</v>
      </c>
      <c r="K86" s="677">
        <v>95</v>
      </c>
    </row>
    <row r="87" spans="1:11" ht="14.4" customHeight="1" x14ac:dyDescent="0.3">
      <c r="A87" s="672" t="s">
        <v>478</v>
      </c>
      <c r="B87" s="673" t="s">
        <v>1446</v>
      </c>
      <c r="C87" s="674" t="s">
        <v>483</v>
      </c>
      <c r="D87" s="675" t="s">
        <v>484</v>
      </c>
      <c r="E87" s="674" t="s">
        <v>2077</v>
      </c>
      <c r="F87" s="675" t="s">
        <v>2078</v>
      </c>
      <c r="G87" s="674" t="s">
        <v>1787</v>
      </c>
      <c r="H87" s="674" t="s">
        <v>1788</v>
      </c>
      <c r="I87" s="676">
        <v>1.982</v>
      </c>
      <c r="J87" s="676">
        <v>1550</v>
      </c>
      <c r="K87" s="677">
        <v>3073.5</v>
      </c>
    </row>
    <row r="88" spans="1:11" ht="14.4" customHeight="1" x14ac:dyDescent="0.3">
      <c r="A88" s="672" t="s">
        <v>478</v>
      </c>
      <c r="B88" s="673" t="s">
        <v>1446</v>
      </c>
      <c r="C88" s="674" t="s">
        <v>483</v>
      </c>
      <c r="D88" s="675" t="s">
        <v>484</v>
      </c>
      <c r="E88" s="674" t="s">
        <v>2077</v>
      </c>
      <c r="F88" s="675" t="s">
        <v>2078</v>
      </c>
      <c r="G88" s="674" t="s">
        <v>1789</v>
      </c>
      <c r="H88" s="674" t="s">
        <v>1790</v>
      </c>
      <c r="I88" s="676">
        <v>2.04</v>
      </c>
      <c r="J88" s="676">
        <v>500</v>
      </c>
      <c r="K88" s="677">
        <v>1019</v>
      </c>
    </row>
    <row r="89" spans="1:11" ht="14.4" customHeight="1" x14ac:dyDescent="0.3">
      <c r="A89" s="672" t="s">
        <v>478</v>
      </c>
      <c r="B89" s="673" t="s">
        <v>1446</v>
      </c>
      <c r="C89" s="674" t="s">
        <v>483</v>
      </c>
      <c r="D89" s="675" t="s">
        <v>484</v>
      </c>
      <c r="E89" s="674" t="s">
        <v>2077</v>
      </c>
      <c r="F89" s="675" t="s">
        <v>2078</v>
      </c>
      <c r="G89" s="674" t="s">
        <v>1791</v>
      </c>
      <c r="H89" s="674" t="s">
        <v>1792</v>
      </c>
      <c r="I89" s="676">
        <v>3.09</v>
      </c>
      <c r="J89" s="676">
        <v>300</v>
      </c>
      <c r="K89" s="677">
        <v>927</v>
      </c>
    </row>
    <row r="90" spans="1:11" ht="14.4" customHeight="1" x14ac:dyDescent="0.3">
      <c r="A90" s="672" t="s">
        <v>478</v>
      </c>
      <c r="B90" s="673" t="s">
        <v>1446</v>
      </c>
      <c r="C90" s="674" t="s">
        <v>483</v>
      </c>
      <c r="D90" s="675" t="s">
        <v>484</v>
      </c>
      <c r="E90" s="674" t="s">
        <v>2077</v>
      </c>
      <c r="F90" s="675" t="s">
        <v>2078</v>
      </c>
      <c r="G90" s="674" t="s">
        <v>1793</v>
      </c>
      <c r="H90" s="674" t="s">
        <v>1794</v>
      </c>
      <c r="I90" s="676">
        <v>1.9233333333333331</v>
      </c>
      <c r="J90" s="676">
        <v>200</v>
      </c>
      <c r="K90" s="677">
        <v>384.5</v>
      </c>
    </row>
    <row r="91" spans="1:11" ht="14.4" customHeight="1" x14ac:dyDescent="0.3">
      <c r="A91" s="672" t="s">
        <v>478</v>
      </c>
      <c r="B91" s="673" t="s">
        <v>1446</v>
      </c>
      <c r="C91" s="674" t="s">
        <v>483</v>
      </c>
      <c r="D91" s="675" t="s">
        <v>484</v>
      </c>
      <c r="E91" s="674" t="s">
        <v>2077</v>
      </c>
      <c r="F91" s="675" t="s">
        <v>2078</v>
      </c>
      <c r="G91" s="674" t="s">
        <v>1795</v>
      </c>
      <c r="H91" s="674" t="s">
        <v>1796</v>
      </c>
      <c r="I91" s="676">
        <v>4.8139999999999992</v>
      </c>
      <c r="J91" s="676">
        <v>2900</v>
      </c>
      <c r="K91" s="677">
        <v>13961</v>
      </c>
    </row>
    <row r="92" spans="1:11" ht="14.4" customHeight="1" x14ac:dyDescent="0.3">
      <c r="A92" s="672" t="s">
        <v>478</v>
      </c>
      <c r="B92" s="673" t="s">
        <v>1446</v>
      </c>
      <c r="C92" s="674" t="s">
        <v>483</v>
      </c>
      <c r="D92" s="675" t="s">
        <v>484</v>
      </c>
      <c r="E92" s="674" t="s">
        <v>2077</v>
      </c>
      <c r="F92" s="675" t="s">
        <v>2078</v>
      </c>
      <c r="G92" s="674" t="s">
        <v>1797</v>
      </c>
      <c r="H92" s="674" t="s">
        <v>1798</v>
      </c>
      <c r="I92" s="676">
        <v>0.02</v>
      </c>
      <c r="J92" s="676">
        <v>100</v>
      </c>
      <c r="K92" s="677">
        <v>2</v>
      </c>
    </row>
    <row r="93" spans="1:11" ht="14.4" customHeight="1" x14ac:dyDescent="0.3">
      <c r="A93" s="672" t="s">
        <v>478</v>
      </c>
      <c r="B93" s="673" t="s">
        <v>1446</v>
      </c>
      <c r="C93" s="674" t="s">
        <v>483</v>
      </c>
      <c r="D93" s="675" t="s">
        <v>484</v>
      </c>
      <c r="E93" s="674" t="s">
        <v>2077</v>
      </c>
      <c r="F93" s="675" t="s">
        <v>2078</v>
      </c>
      <c r="G93" s="674" t="s">
        <v>1799</v>
      </c>
      <c r="H93" s="674" t="s">
        <v>1800</v>
      </c>
      <c r="I93" s="676">
        <v>3.07</v>
      </c>
      <c r="J93" s="676">
        <v>200</v>
      </c>
      <c r="K93" s="677">
        <v>614</v>
      </c>
    </row>
    <row r="94" spans="1:11" ht="14.4" customHeight="1" x14ac:dyDescent="0.3">
      <c r="A94" s="672" t="s">
        <v>478</v>
      </c>
      <c r="B94" s="673" t="s">
        <v>1446</v>
      </c>
      <c r="C94" s="674" t="s">
        <v>483</v>
      </c>
      <c r="D94" s="675" t="s">
        <v>484</v>
      </c>
      <c r="E94" s="674" t="s">
        <v>2077</v>
      </c>
      <c r="F94" s="675" t="s">
        <v>2078</v>
      </c>
      <c r="G94" s="674" t="s">
        <v>1801</v>
      </c>
      <c r="H94" s="674" t="s">
        <v>1802</v>
      </c>
      <c r="I94" s="676">
        <v>2.17</v>
      </c>
      <c r="J94" s="676">
        <v>800</v>
      </c>
      <c r="K94" s="677">
        <v>1736</v>
      </c>
    </row>
    <row r="95" spans="1:11" ht="14.4" customHeight="1" x14ac:dyDescent="0.3">
      <c r="A95" s="672" t="s">
        <v>478</v>
      </c>
      <c r="B95" s="673" t="s">
        <v>1446</v>
      </c>
      <c r="C95" s="674" t="s">
        <v>483</v>
      </c>
      <c r="D95" s="675" t="s">
        <v>484</v>
      </c>
      <c r="E95" s="674" t="s">
        <v>2077</v>
      </c>
      <c r="F95" s="675" t="s">
        <v>2078</v>
      </c>
      <c r="G95" s="674" t="s">
        <v>1803</v>
      </c>
      <c r="H95" s="674" t="s">
        <v>1804</v>
      </c>
      <c r="I95" s="676">
        <v>2.6949999999999998</v>
      </c>
      <c r="J95" s="676">
        <v>1450</v>
      </c>
      <c r="K95" s="677">
        <v>3907</v>
      </c>
    </row>
    <row r="96" spans="1:11" ht="14.4" customHeight="1" x14ac:dyDescent="0.3">
      <c r="A96" s="672" t="s">
        <v>478</v>
      </c>
      <c r="B96" s="673" t="s">
        <v>1446</v>
      </c>
      <c r="C96" s="674" t="s">
        <v>483</v>
      </c>
      <c r="D96" s="675" t="s">
        <v>484</v>
      </c>
      <c r="E96" s="674" t="s">
        <v>2077</v>
      </c>
      <c r="F96" s="675" t="s">
        <v>2078</v>
      </c>
      <c r="G96" s="674" t="s">
        <v>1805</v>
      </c>
      <c r="H96" s="674" t="s">
        <v>1806</v>
      </c>
      <c r="I96" s="676">
        <v>3.99</v>
      </c>
      <c r="J96" s="676">
        <v>50</v>
      </c>
      <c r="K96" s="677">
        <v>199.5</v>
      </c>
    </row>
    <row r="97" spans="1:11" ht="14.4" customHeight="1" x14ac:dyDescent="0.3">
      <c r="A97" s="672" t="s">
        <v>478</v>
      </c>
      <c r="B97" s="673" t="s">
        <v>1446</v>
      </c>
      <c r="C97" s="674" t="s">
        <v>483</v>
      </c>
      <c r="D97" s="675" t="s">
        <v>484</v>
      </c>
      <c r="E97" s="674" t="s">
        <v>2077</v>
      </c>
      <c r="F97" s="675" t="s">
        <v>2078</v>
      </c>
      <c r="G97" s="674" t="s">
        <v>1807</v>
      </c>
      <c r="H97" s="674" t="s">
        <v>1808</v>
      </c>
      <c r="I97" s="676">
        <v>90.993333333333339</v>
      </c>
      <c r="J97" s="676">
        <v>150</v>
      </c>
      <c r="K97" s="677">
        <v>13649</v>
      </c>
    </row>
    <row r="98" spans="1:11" ht="14.4" customHeight="1" x14ac:dyDescent="0.3">
      <c r="A98" s="672" t="s">
        <v>478</v>
      </c>
      <c r="B98" s="673" t="s">
        <v>1446</v>
      </c>
      <c r="C98" s="674" t="s">
        <v>483</v>
      </c>
      <c r="D98" s="675" t="s">
        <v>484</v>
      </c>
      <c r="E98" s="674" t="s">
        <v>2077</v>
      </c>
      <c r="F98" s="675" t="s">
        <v>2078</v>
      </c>
      <c r="G98" s="674" t="s">
        <v>1809</v>
      </c>
      <c r="H98" s="674" t="s">
        <v>1810</v>
      </c>
      <c r="I98" s="676">
        <v>2.1739999999999999</v>
      </c>
      <c r="J98" s="676">
        <v>2100</v>
      </c>
      <c r="K98" s="677">
        <v>4564</v>
      </c>
    </row>
    <row r="99" spans="1:11" ht="14.4" customHeight="1" x14ac:dyDescent="0.3">
      <c r="A99" s="672" t="s">
        <v>478</v>
      </c>
      <c r="B99" s="673" t="s">
        <v>1446</v>
      </c>
      <c r="C99" s="674" t="s">
        <v>483</v>
      </c>
      <c r="D99" s="675" t="s">
        <v>484</v>
      </c>
      <c r="E99" s="674" t="s">
        <v>2077</v>
      </c>
      <c r="F99" s="675" t="s">
        <v>2078</v>
      </c>
      <c r="G99" s="674" t="s">
        <v>1811</v>
      </c>
      <c r="H99" s="674" t="s">
        <v>1812</v>
      </c>
      <c r="I99" s="676">
        <v>58.91</v>
      </c>
      <c r="J99" s="676">
        <v>100</v>
      </c>
      <c r="K99" s="677">
        <v>5891.49</v>
      </c>
    </row>
    <row r="100" spans="1:11" ht="14.4" customHeight="1" x14ac:dyDescent="0.3">
      <c r="A100" s="672" t="s">
        <v>478</v>
      </c>
      <c r="B100" s="673" t="s">
        <v>1446</v>
      </c>
      <c r="C100" s="674" t="s">
        <v>483</v>
      </c>
      <c r="D100" s="675" t="s">
        <v>484</v>
      </c>
      <c r="E100" s="674" t="s">
        <v>2077</v>
      </c>
      <c r="F100" s="675" t="s">
        <v>2078</v>
      </c>
      <c r="G100" s="674" t="s">
        <v>1813</v>
      </c>
      <c r="H100" s="674" t="s">
        <v>1814</v>
      </c>
      <c r="I100" s="676">
        <v>2.86</v>
      </c>
      <c r="J100" s="676">
        <v>100</v>
      </c>
      <c r="K100" s="677">
        <v>286</v>
      </c>
    </row>
    <row r="101" spans="1:11" ht="14.4" customHeight="1" x14ac:dyDescent="0.3">
      <c r="A101" s="672" t="s">
        <v>478</v>
      </c>
      <c r="B101" s="673" t="s">
        <v>1446</v>
      </c>
      <c r="C101" s="674" t="s">
        <v>483</v>
      </c>
      <c r="D101" s="675" t="s">
        <v>484</v>
      </c>
      <c r="E101" s="674" t="s">
        <v>2077</v>
      </c>
      <c r="F101" s="675" t="s">
        <v>2078</v>
      </c>
      <c r="G101" s="674" t="s">
        <v>1815</v>
      </c>
      <c r="H101" s="674" t="s">
        <v>1816</v>
      </c>
      <c r="I101" s="676">
        <v>39.93</v>
      </c>
      <c r="J101" s="676">
        <v>40</v>
      </c>
      <c r="K101" s="677">
        <v>1597.2</v>
      </c>
    </row>
    <row r="102" spans="1:11" ht="14.4" customHeight="1" x14ac:dyDescent="0.3">
      <c r="A102" s="672" t="s">
        <v>478</v>
      </c>
      <c r="B102" s="673" t="s">
        <v>1446</v>
      </c>
      <c r="C102" s="674" t="s">
        <v>483</v>
      </c>
      <c r="D102" s="675" t="s">
        <v>484</v>
      </c>
      <c r="E102" s="674" t="s">
        <v>2077</v>
      </c>
      <c r="F102" s="675" t="s">
        <v>2078</v>
      </c>
      <c r="G102" s="674" t="s">
        <v>1817</v>
      </c>
      <c r="H102" s="674" t="s">
        <v>1818</v>
      </c>
      <c r="I102" s="676">
        <v>1.94</v>
      </c>
      <c r="J102" s="676">
        <v>300</v>
      </c>
      <c r="K102" s="677">
        <v>582</v>
      </c>
    </row>
    <row r="103" spans="1:11" ht="14.4" customHeight="1" x14ac:dyDescent="0.3">
      <c r="A103" s="672" t="s">
        <v>478</v>
      </c>
      <c r="B103" s="673" t="s">
        <v>1446</v>
      </c>
      <c r="C103" s="674" t="s">
        <v>483</v>
      </c>
      <c r="D103" s="675" t="s">
        <v>484</v>
      </c>
      <c r="E103" s="674" t="s">
        <v>2077</v>
      </c>
      <c r="F103" s="675" t="s">
        <v>2078</v>
      </c>
      <c r="G103" s="674" t="s">
        <v>1819</v>
      </c>
      <c r="H103" s="674" t="s">
        <v>1820</v>
      </c>
      <c r="I103" s="676">
        <v>31.070000000000004</v>
      </c>
      <c r="J103" s="676">
        <v>225</v>
      </c>
      <c r="K103" s="677">
        <v>6991.3499999999995</v>
      </c>
    </row>
    <row r="104" spans="1:11" ht="14.4" customHeight="1" x14ac:dyDescent="0.3">
      <c r="A104" s="672" t="s">
        <v>478</v>
      </c>
      <c r="B104" s="673" t="s">
        <v>1446</v>
      </c>
      <c r="C104" s="674" t="s">
        <v>483</v>
      </c>
      <c r="D104" s="675" t="s">
        <v>484</v>
      </c>
      <c r="E104" s="674" t="s">
        <v>2077</v>
      </c>
      <c r="F104" s="675" t="s">
        <v>2078</v>
      </c>
      <c r="G104" s="674" t="s">
        <v>1821</v>
      </c>
      <c r="H104" s="674" t="s">
        <v>1822</v>
      </c>
      <c r="I104" s="676">
        <v>112.2</v>
      </c>
      <c r="J104" s="676">
        <v>2</v>
      </c>
      <c r="K104" s="677">
        <v>224.4</v>
      </c>
    </row>
    <row r="105" spans="1:11" ht="14.4" customHeight="1" x14ac:dyDescent="0.3">
      <c r="A105" s="672" t="s">
        <v>478</v>
      </c>
      <c r="B105" s="673" t="s">
        <v>1446</v>
      </c>
      <c r="C105" s="674" t="s">
        <v>483</v>
      </c>
      <c r="D105" s="675" t="s">
        <v>484</v>
      </c>
      <c r="E105" s="674" t="s">
        <v>2077</v>
      </c>
      <c r="F105" s="675" t="s">
        <v>2078</v>
      </c>
      <c r="G105" s="674" t="s">
        <v>1823</v>
      </c>
      <c r="H105" s="674" t="s">
        <v>1824</v>
      </c>
      <c r="I105" s="676">
        <v>82.155000000000001</v>
      </c>
      <c r="J105" s="676">
        <v>72</v>
      </c>
      <c r="K105" s="677">
        <v>5915.24</v>
      </c>
    </row>
    <row r="106" spans="1:11" ht="14.4" customHeight="1" x14ac:dyDescent="0.3">
      <c r="A106" s="672" t="s">
        <v>478</v>
      </c>
      <c r="B106" s="673" t="s">
        <v>1446</v>
      </c>
      <c r="C106" s="674" t="s">
        <v>483</v>
      </c>
      <c r="D106" s="675" t="s">
        <v>484</v>
      </c>
      <c r="E106" s="674" t="s">
        <v>2077</v>
      </c>
      <c r="F106" s="675" t="s">
        <v>2078</v>
      </c>
      <c r="G106" s="674" t="s">
        <v>1825</v>
      </c>
      <c r="H106" s="674" t="s">
        <v>1826</v>
      </c>
      <c r="I106" s="676">
        <v>314.60000000000002</v>
      </c>
      <c r="J106" s="676">
        <v>10</v>
      </c>
      <c r="K106" s="677">
        <v>3146</v>
      </c>
    </row>
    <row r="107" spans="1:11" ht="14.4" customHeight="1" x14ac:dyDescent="0.3">
      <c r="A107" s="672" t="s">
        <v>478</v>
      </c>
      <c r="B107" s="673" t="s">
        <v>1446</v>
      </c>
      <c r="C107" s="674" t="s">
        <v>483</v>
      </c>
      <c r="D107" s="675" t="s">
        <v>484</v>
      </c>
      <c r="E107" s="674" t="s">
        <v>2077</v>
      </c>
      <c r="F107" s="675" t="s">
        <v>2078</v>
      </c>
      <c r="G107" s="674" t="s">
        <v>1827</v>
      </c>
      <c r="H107" s="674" t="s">
        <v>1828</v>
      </c>
      <c r="I107" s="676">
        <v>47.19</v>
      </c>
      <c r="J107" s="676">
        <v>80</v>
      </c>
      <c r="K107" s="677">
        <v>3775.2</v>
      </c>
    </row>
    <row r="108" spans="1:11" ht="14.4" customHeight="1" x14ac:dyDescent="0.3">
      <c r="A108" s="672" t="s">
        <v>478</v>
      </c>
      <c r="B108" s="673" t="s">
        <v>1446</v>
      </c>
      <c r="C108" s="674" t="s">
        <v>483</v>
      </c>
      <c r="D108" s="675" t="s">
        <v>484</v>
      </c>
      <c r="E108" s="674" t="s">
        <v>2077</v>
      </c>
      <c r="F108" s="675" t="s">
        <v>2078</v>
      </c>
      <c r="G108" s="674" t="s">
        <v>1829</v>
      </c>
      <c r="H108" s="674" t="s">
        <v>1830</v>
      </c>
      <c r="I108" s="676">
        <v>17.98</v>
      </c>
      <c r="J108" s="676">
        <v>150</v>
      </c>
      <c r="K108" s="677">
        <v>2697</v>
      </c>
    </row>
    <row r="109" spans="1:11" ht="14.4" customHeight="1" x14ac:dyDescent="0.3">
      <c r="A109" s="672" t="s">
        <v>478</v>
      </c>
      <c r="B109" s="673" t="s">
        <v>1446</v>
      </c>
      <c r="C109" s="674" t="s">
        <v>483</v>
      </c>
      <c r="D109" s="675" t="s">
        <v>484</v>
      </c>
      <c r="E109" s="674" t="s">
        <v>2077</v>
      </c>
      <c r="F109" s="675" t="s">
        <v>2078</v>
      </c>
      <c r="G109" s="674" t="s">
        <v>1831</v>
      </c>
      <c r="H109" s="674" t="s">
        <v>1832</v>
      </c>
      <c r="I109" s="676">
        <v>1406.63</v>
      </c>
      <c r="J109" s="676">
        <v>10</v>
      </c>
      <c r="K109" s="677">
        <v>14066.26</v>
      </c>
    </row>
    <row r="110" spans="1:11" ht="14.4" customHeight="1" x14ac:dyDescent="0.3">
      <c r="A110" s="672" t="s">
        <v>478</v>
      </c>
      <c r="B110" s="673" t="s">
        <v>1446</v>
      </c>
      <c r="C110" s="674" t="s">
        <v>483</v>
      </c>
      <c r="D110" s="675" t="s">
        <v>484</v>
      </c>
      <c r="E110" s="674" t="s">
        <v>2077</v>
      </c>
      <c r="F110" s="675" t="s">
        <v>2078</v>
      </c>
      <c r="G110" s="674" t="s">
        <v>1833</v>
      </c>
      <c r="H110" s="674" t="s">
        <v>1834</v>
      </c>
      <c r="I110" s="676">
        <v>123.18</v>
      </c>
      <c r="J110" s="676">
        <v>150</v>
      </c>
      <c r="K110" s="677">
        <v>18476.699999999997</v>
      </c>
    </row>
    <row r="111" spans="1:11" ht="14.4" customHeight="1" x14ac:dyDescent="0.3">
      <c r="A111" s="672" t="s">
        <v>478</v>
      </c>
      <c r="B111" s="673" t="s">
        <v>1446</v>
      </c>
      <c r="C111" s="674" t="s">
        <v>483</v>
      </c>
      <c r="D111" s="675" t="s">
        <v>484</v>
      </c>
      <c r="E111" s="674" t="s">
        <v>2077</v>
      </c>
      <c r="F111" s="675" t="s">
        <v>2078</v>
      </c>
      <c r="G111" s="674" t="s">
        <v>1835</v>
      </c>
      <c r="H111" s="674" t="s">
        <v>1836</v>
      </c>
      <c r="I111" s="676">
        <v>13.31</v>
      </c>
      <c r="J111" s="676">
        <v>300</v>
      </c>
      <c r="K111" s="677">
        <v>3993</v>
      </c>
    </row>
    <row r="112" spans="1:11" ht="14.4" customHeight="1" x14ac:dyDescent="0.3">
      <c r="A112" s="672" t="s">
        <v>478</v>
      </c>
      <c r="B112" s="673" t="s">
        <v>1446</v>
      </c>
      <c r="C112" s="674" t="s">
        <v>483</v>
      </c>
      <c r="D112" s="675" t="s">
        <v>484</v>
      </c>
      <c r="E112" s="674" t="s">
        <v>2077</v>
      </c>
      <c r="F112" s="675" t="s">
        <v>2078</v>
      </c>
      <c r="G112" s="674" t="s">
        <v>1837</v>
      </c>
      <c r="H112" s="674" t="s">
        <v>1838</v>
      </c>
      <c r="I112" s="676">
        <v>17.98</v>
      </c>
      <c r="J112" s="676">
        <v>50</v>
      </c>
      <c r="K112" s="677">
        <v>899.03</v>
      </c>
    </row>
    <row r="113" spans="1:11" ht="14.4" customHeight="1" x14ac:dyDescent="0.3">
      <c r="A113" s="672" t="s">
        <v>478</v>
      </c>
      <c r="B113" s="673" t="s">
        <v>1446</v>
      </c>
      <c r="C113" s="674" t="s">
        <v>483</v>
      </c>
      <c r="D113" s="675" t="s">
        <v>484</v>
      </c>
      <c r="E113" s="674" t="s">
        <v>2077</v>
      </c>
      <c r="F113" s="675" t="s">
        <v>2078</v>
      </c>
      <c r="G113" s="674" t="s">
        <v>1839</v>
      </c>
      <c r="H113" s="674" t="s">
        <v>1840</v>
      </c>
      <c r="I113" s="676">
        <v>2.5099999999999998</v>
      </c>
      <c r="J113" s="676">
        <v>100</v>
      </c>
      <c r="K113" s="677">
        <v>251</v>
      </c>
    </row>
    <row r="114" spans="1:11" ht="14.4" customHeight="1" x14ac:dyDescent="0.3">
      <c r="A114" s="672" t="s">
        <v>478</v>
      </c>
      <c r="B114" s="673" t="s">
        <v>1446</v>
      </c>
      <c r="C114" s="674" t="s">
        <v>483</v>
      </c>
      <c r="D114" s="675" t="s">
        <v>484</v>
      </c>
      <c r="E114" s="674" t="s">
        <v>2077</v>
      </c>
      <c r="F114" s="675" t="s">
        <v>2078</v>
      </c>
      <c r="G114" s="674" t="s">
        <v>1841</v>
      </c>
      <c r="H114" s="674" t="s">
        <v>1842</v>
      </c>
      <c r="I114" s="676">
        <v>1.9366666666666668</v>
      </c>
      <c r="J114" s="676">
        <v>900</v>
      </c>
      <c r="K114" s="677">
        <v>1743</v>
      </c>
    </row>
    <row r="115" spans="1:11" ht="14.4" customHeight="1" x14ac:dyDescent="0.3">
      <c r="A115" s="672" t="s">
        <v>478</v>
      </c>
      <c r="B115" s="673" t="s">
        <v>1446</v>
      </c>
      <c r="C115" s="674" t="s">
        <v>483</v>
      </c>
      <c r="D115" s="675" t="s">
        <v>484</v>
      </c>
      <c r="E115" s="674" t="s">
        <v>2077</v>
      </c>
      <c r="F115" s="675" t="s">
        <v>2078</v>
      </c>
      <c r="G115" s="674" t="s">
        <v>1843</v>
      </c>
      <c r="H115" s="674" t="s">
        <v>1844</v>
      </c>
      <c r="I115" s="676">
        <v>5.206666666666667</v>
      </c>
      <c r="J115" s="676">
        <v>4341</v>
      </c>
      <c r="K115" s="677">
        <v>22597.07</v>
      </c>
    </row>
    <row r="116" spans="1:11" ht="14.4" customHeight="1" x14ac:dyDescent="0.3">
      <c r="A116" s="672" t="s">
        <v>478</v>
      </c>
      <c r="B116" s="673" t="s">
        <v>1446</v>
      </c>
      <c r="C116" s="674" t="s">
        <v>483</v>
      </c>
      <c r="D116" s="675" t="s">
        <v>484</v>
      </c>
      <c r="E116" s="674" t="s">
        <v>2077</v>
      </c>
      <c r="F116" s="675" t="s">
        <v>2078</v>
      </c>
      <c r="G116" s="674" t="s">
        <v>1845</v>
      </c>
      <c r="H116" s="674" t="s">
        <v>1846</v>
      </c>
      <c r="I116" s="676">
        <v>1.2733333333333332</v>
      </c>
      <c r="J116" s="676">
        <v>525</v>
      </c>
      <c r="K116" s="677">
        <v>667.5</v>
      </c>
    </row>
    <row r="117" spans="1:11" ht="14.4" customHeight="1" x14ac:dyDescent="0.3">
      <c r="A117" s="672" t="s">
        <v>478</v>
      </c>
      <c r="B117" s="673" t="s">
        <v>1446</v>
      </c>
      <c r="C117" s="674" t="s">
        <v>483</v>
      </c>
      <c r="D117" s="675" t="s">
        <v>484</v>
      </c>
      <c r="E117" s="674" t="s">
        <v>2077</v>
      </c>
      <c r="F117" s="675" t="s">
        <v>2078</v>
      </c>
      <c r="G117" s="674" t="s">
        <v>1847</v>
      </c>
      <c r="H117" s="674" t="s">
        <v>1848</v>
      </c>
      <c r="I117" s="676">
        <v>21.24</v>
      </c>
      <c r="J117" s="676">
        <v>70</v>
      </c>
      <c r="K117" s="677">
        <v>1486.8</v>
      </c>
    </row>
    <row r="118" spans="1:11" ht="14.4" customHeight="1" x14ac:dyDescent="0.3">
      <c r="A118" s="672" t="s">
        <v>478</v>
      </c>
      <c r="B118" s="673" t="s">
        <v>1446</v>
      </c>
      <c r="C118" s="674" t="s">
        <v>483</v>
      </c>
      <c r="D118" s="675" t="s">
        <v>484</v>
      </c>
      <c r="E118" s="674" t="s">
        <v>2077</v>
      </c>
      <c r="F118" s="675" t="s">
        <v>2078</v>
      </c>
      <c r="G118" s="674" t="s">
        <v>1849</v>
      </c>
      <c r="H118" s="674" t="s">
        <v>1850</v>
      </c>
      <c r="I118" s="676">
        <v>21.23</v>
      </c>
      <c r="J118" s="676">
        <v>100</v>
      </c>
      <c r="K118" s="677">
        <v>2123</v>
      </c>
    </row>
    <row r="119" spans="1:11" ht="14.4" customHeight="1" x14ac:dyDescent="0.3">
      <c r="A119" s="672" t="s">
        <v>478</v>
      </c>
      <c r="B119" s="673" t="s">
        <v>1446</v>
      </c>
      <c r="C119" s="674" t="s">
        <v>483</v>
      </c>
      <c r="D119" s="675" t="s">
        <v>484</v>
      </c>
      <c r="E119" s="674" t="s">
        <v>2077</v>
      </c>
      <c r="F119" s="675" t="s">
        <v>2078</v>
      </c>
      <c r="G119" s="674" t="s">
        <v>1851</v>
      </c>
      <c r="H119" s="674" t="s">
        <v>1852</v>
      </c>
      <c r="I119" s="676">
        <v>13.2</v>
      </c>
      <c r="J119" s="676">
        <v>10</v>
      </c>
      <c r="K119" s="677">
        <v>132</v>
      </c>
    </row>
    <row r="120" spans="1:11" ht="14.4" customHeight="1" x14ac:dyDescent="0.3">
      <c r="A120" s="672" t="s">
        <v>478</v>
      </c>
      <c r="B120" s="673" t="s">
        <v>1446</v>
      </c>
      <c r="C120" s="674" t="s">
        <v>483</v>
      </c>
      <c r="D120" s="675" t="s">
        <v>484</v>
      </c>
      <c r="E120" s="674" t="s">
        <v>2077</v>
      </c>
      <c r="F120" s="675" t="s">
        <v>2078</v>
      </c>
      <c r="G120" s="674" t="s">
        <v>1853</v>
      </c>
      <c r="H120" s="674" t="s">
        <v>1854</v>
      </c>
      <c r="I120" s="676">
        <v>18.149999999999999</v>
      </c>
      <c r="J120" s="676">
        <v>200</v>
      </c>
      <c r="K120" s="677">
        <v>3630</v>
      </c>
    </row>
    <row r="121" spans="1:11" ht="14.4" customHeight="1" x14ac:dyDescent="0.3">
      <c r="A121" s="672" t="s">
        <v>478</v>
      </c>
      <c r="B121" s="673" t="s">
        <v>1446</v>
      </c>
      <c r="C121" s="674" t="s">
        <v>483</v>
      </c>
      <c r="D121" s="675" t="s">
        <v>484</v>
      </c>
      <c r="E121" s="674" t="s">
        <v>2077</v>
      </c>
      <c r="F121" s="675" t="s">
        <v>2078</v>
      </c>
      <c r="G121" s="674" t="s">
        <v>1855</v>
      </c>
      <c r="H121" s="674" t="s">
        <v>1856</v>
      </c>
      <c r="I121" s="676">
        <v>107.69</v>
      </c>
      <c r="J121" s="676">
        <v>80</v>
      </c>
      <c r="K121" s="677">
        <v>8615.2000000000007</v>
      </c>
    </row>
    <row r="122" spans="1:11" ht="14.4" customHeight="1" x14ac:dyDescent="0.3">
      <c r="A122" s="672" t="s">
        <v>478</v>
      </c>
      <c r="B122" s="673" t="s">
        <v>1446</v>
      </c>
      <c r="C122" s="674" t="s">
        <v>483</v>
      </c>
      <c r="D122" s="675" t="s">
        <v>484</v>
      </c>
      <c r="E122" s="674" t="s">
        <v>2077</v>
      </c>
      <c r="F122" s="675" t="s">
        <v>2078</v>
      </c>
      <c r="G122" s="674" t="s">
        <v>1857</v>
      </c>
      <c r="H122" s="674" t="s">
        <v>1858</v>
      </c>
      <c r="I122" s="676">
        <v>0.47</v>
      </c>
      <c r="J122" s="676">
        <v>300</v>
      </c>
      <c r="K122" s="677">
        <v>141</v>
      </c>
    </row>
    <row r="123" spans="1:11" ht="14.4" customHeight="1" x14ac:dyDescent="0.3">
      <c r="A123" s="672" t="s">
        <v>478</v>
      </c>
      <c r="B123" s="673" t="s">
        <v>1446</v>
      </c>
      <c r="C123" s="674" t="s">
        <v>483</v>
      </c>
      <c r="D123" s="675" t="s">
        <v>484</v>
      </c>
      <c r="E123" s="674" t="s">
        <v>2077</v>
      </c>
      <c r="F123" s="675" t="s">
        <v>2078</v>
      </c>
      <c r="G123" s="674" t="s">
        <v>1859</v>
      </c>
      <c r="H123" s="674" t="s">
        <v>1860</v>
      </c>
      <c r="I123" s="676">
        <v>0.47</v>
      </c>
      <c r="J123" s="676">
        <v>2400</v>
      </c>
      <c r="K123" s="677">
        <v>1128</v>
      </c>
    </row>
    <row r="124" spans="1:11" ht="14.4" customHeight="1" x14ac:dyDescent="0.3">
      <c r="A124" s="672" t="s">
        <v>478</v>
      </c>
      <c r="B124" s="673" t="s">
        <v>1446</v>
      </c>
      <c r="C124" s="674" t="s">
        <v>483</v>
      </c>
      <c r="D124" s="675" t="s">
        <v>484</v>
      </c>
      <c r="E124" s="674" t="s">
        <v>2077</v>
      </c>
      <c r="F124" s="675" t="s">
        <v>2078</v>
      </c>
      <c r="G124" s="674" t="s">
        <v>1861</v>
      </c>
      <c r="H124" s="674" t="s">
        <v>1862</v>
      </c>
      <c r="I124" s="676">
        <v>4.03</v>
      </c>
      <c r="J124" s="676">
        <v>300</v>
      </c>
      <c r="K124" s="677">
        <v>1209</v>
      </c>
    </row>
    <row r="125" spans="1:11" ht="14.4" customHeight="1" x14ac:dyDescent="0.3">
      <c r="A125" s="672" t="s">
        <v>478</v>
      </c>
      <c r="B125" s="673" t="s">
        <v>1446</v>
      </c>
      <c r="C125" s="674" t="s">
        <v>483</v>
      </c>
      <c r="D125" s="675" t="s">
        <v>484</v>
      </c>
      <c r="E125" s="674" t="s">
        <v>2077</v>
      </c>
      <c r="F125" s="675" t="s">
        <v>2078</v>
      </c>
      <c r="G125" s="674" t="s">
        <v>1863</v>
      </c>
      <c r="H125" s="674" t="s">
        <v>1864</v>
      </c>
      <c r="I125" s="676">
        <v>2.9040000000000004</v>
      </c>
      <c r="J125" s="676">
        <v>1598</v>
      </c>
      <c r="K125" s="677">
        <v>4640.68</v>
      </c>
    </row>
    <row r="126" spans="1:11" ht="14.4" customHeight="1" x14ac:dyDescent="0.3">
      <c r="A126" s="672" t="s">
        <v>478</v>
      </c>
      <c r="B126" s="673" t="s">
        <v>1446</v>
      </c>
      <c r="C126" s="674" t="s">
        <v>483</v>
      </c>
      <c r="D126" s="675" t="s">
        <v>484</v>
      </c>
      <c r="E126" s="674" t="s">
        <v>2077</v>
      </c>
      <c r="F126" s="675" t="s">
        <v>2078</v>
      </c>
      <c r="G126" s="674" t="s">
        <v>1865</v>
      </c>
      <c r="H126" s="674" t="s">
        <v>1866</v>
      </c>
      <c r="I126" s="676">
        <v>2.9033333333333338</v>
      </c>
      <c r="J126" s="676">
        <v>1600</v>
      </c>
      <c r="K126" s="677">
        <v>4644</v>
      </c>
    </row>
    <row r="127" spans="1:11" ht="14.4" customHeight="1" x14ac:dyDescent="0.3">
      <c r="A127" s="672" t="s">
        <v>478</v>
      </c>
      <c r="B127" s="673" t="s">
        <v>1446</v>
      </c>
      <c r="C127" s="674" t="s">
        <v>483</v>
      </c>
      <c r="D127" s="675" t="s">
        <v>484</v>
      </c>
      <c r="E127" s="674" t="s">
        <v>2077</v>
      </c>
      <c r="F127" s="675" t="s">
        <v>2078</v>
      </c>
      <c r="G127" s="674" t="s">
        <v>1867</v>
      </c>
      <c r="H127" s="674" t="s">
        <v>1868</v>
      </c>
      <c r="I127" s="676">
        <v>2.91</v>
      </c>
      <c r="J127" s="676">
        <v>600</v>
      </c>
      <c r="K127" s="677">
        <v>1746</v>
      </c>
    </row>
    <row r="128" spans="1:11" ht="14.4" customHeight="1" x14ac:dyDescent="0.3">
      <c r="A128" s="672" t="s">
        <v>478</v>
      </c>
      <c r="B128" s="673" t="s">
        <v>1446</v>
      </c>
      <c r="C128" s="674" t="s">
        <v>483</v>
      </c>
      <c r="D128" s="675" t="s">
        <v>484</v>
      </c>
      <c r="E128" s="674" t="s">
        <v>2077</v>
      </c>
      <c r="F128" s="675" t="s">
        <v>2078</v>
      </c>
      <c r="G128" s="674" t="s">
        <v>1869</v>
      </c>
      <c r="H128" s="674" t="s">
        <v>1870</v>
      </c>
      <c r="I128" s="676">
        <v>2.9050000000000002</v>
      </c>
      <c r="J128" s="676">
        <v>936</v>
      </c>
      <c r="K128" s="677">
        <v>2717.37</v>
      </c>
    </row>
    <row r="129" spans="1:11" ht="14.4" customHeight="1" x14ac:dyDescent="0.3">
      <c r="A129" s="672" t="s">
        <v>478</v>
      </c>
      <c r="B129" s="673" t="s">
        <v>1446</v>
      </c>
      <c r="C129" s="674" t="s">
        <v>483</v>
      </c>
      <c r="D129" s="675" t="s">
        <v>484</v>
      </c>
      <c r="E129" s="674" t="s">
        <v>2077</v>
      </c>
      <c r="F129" s="675" t="s">
        <v>2078</v>
      </c>
      <c r="G129" s="674" t="s">
        <v>1871</v>
      </c>
      <c r="H129" s="674" t="s">
        <v>1872</v>
      </c>
      <c r="I129" s="676">
        <v>527.96</v>
      </c>
      <c r="J129" s="676">
        <v>10</v>
      </c>
      <c r="K129" s="677">
        <v>5279.65</v>
      </c>
    </row>
    <row r="130" spans="1:11" ht="14.4" customHeight="1" x14ac:dyDescent="0.3">
      <c r="A130" s="672" t="s">
        <v>478</v>
      </c>
      <c r="B130" s="673" t="s">
        <v>1446</v>
      </c>
      <c r="C130" s="674" t="s">
        <v>483</v>
      </c>
      <c r="D130" s="675" t="s">
        <v>484</v>
      </c>
      <c r="E130" s="674" t="s">
        <v>2077</v>
      </c>
      <c r="F130" s="675" t="s">
        <v>2078</v>
      </c>
      <c r="G130" s="674" t="s">
        <v>1873</v>
      </c>
      <c r="H130" s="674" t="s">
        <v>1874</v>
      </c>
      <c r="I130" s="676">
        <v>24.399999999999995</v>
      </c>
      <c r="J130" s="676">
        <v>150</v>
      </c>
      <c r="K130" s="677">
        <v>3660.6000000000004</v>
      </c>
    </row>
    <row r="131" spans="1:11" ht="14.4" customHeight="1" x14ac:dyDescent="0.3">
      <c r="A131" s="672" t="s">
        <v>478</v>
      </c>
      <c r="B131" s="673" t="s">
        <v>1446</v>
      </c>
      <c r="C131" s="674" t="s">
        <v>483</v>
      </c>
      <c r="D131" s="675" t="s">
        <v>484</v>
      </c>
      <c r="E131" s="674" t="s">
        <v>2077</v>
      </c>
      <c r="F131" s="675" t="s">
        <v>2078</v>
      </c>
      <c r="G131" s="674" t="s">
        <v>1875</v>
      </c>
      <c r="H131" s="674" t="s">
        <v>1876</v>
      </c>
      <c r="I131" s="676">
        <v>484.04</v>
      </c>
      <c r="J131" s="676">
        <v>20</v>
      </c>
      <c r="K131" s="677">
        <v>9680.7000000000007</v>
      </c>
    </row>
    <row r="132" spans="1:11" ht="14.4" customHeight="1" x14ac:dyDescent="0.3">
      <c r="A132" s="672" t="s">
        <v>478</v>
      </c>
      <c r="B132" s="673" t="s">
        <v>1446</v>
      </c>
      <c r="C132" s="674" t="s">
        <v>483</v>
      </c>
      <c r="D132" s="675" t="s">
        <v>484</v>
      </c>
      <c r="E132" s="674" t="s">
        <v>2077</v>
      </c>
      <c r="F132" s="675" t="s">
        <v>2078</v>
      </c>
      <c r="G132" s="674" t="s">
        <v>1877</v>
      </c>
      <c r="H132" s="674" t="s">
        <v>1878</v>
      </c>
      <c r="I132" s="676">
        <v>12.1</v>
      </c>
      <c r="J132" s="676">
        <v>50</v>
      </c>
      <c r="K132" s="677">
        <v>605</v>
      </c>
    </row>
    <row r="133" spans="1:11" ht="14.4" customHeight="1" x14ac:dyDescent="0.3">
      <c r="A133" s="672" t="s">
        <v>478</v>
      </c>
      <c r="B133" s="673" t="s">
        <v>1446</v>
      </c>
      <c r="C133" s="674" t="s">
        <v>483</v>
      </c>
      <c r="D133" s="675" t="s">
        <v>484</v>
      </c>
      <c r="E133" s="674" t="s">
        <v>2077</v>
      </c>
      <c r="F133" s="675" t="s">
        <v>2078</v>
      </c>
      <c r="G133" s="674" t="s">
        <v>1879</v>
      </c>
      <c r="H133" s="674" t="s">
        <v>1880</v>
      </c>
      <c r="I133" s="676">
        <v>96.32</v>
      </c>
      <c r="J133" s="676">
        <v>12</v>
      </c>
      <c r="K133" s="677">
        <v>1155.79</v>
      </c>
    </row>
    <row r="134" spans="1:11" ht="14.4" customHeight="1" x14ac:dyDescent="0.3">
      <c r="A134" s="672" t="s">
        <v>478</v>
      </c>
      <c r="B134" s="673" t="s">
        <v>1446</v>
      </c>
      <c r="C134" s="674" t="s">
        <v>483</v>
      </c>
      <c r="D134" s="675" t="s">
        <v>484</v>
      </c>
      <c r="E134" s="674" t="s">
        <v>2077</v>
      </c>
      <c r="F134" s="675" t="s">
        <v>2078</v>
      </c>
      <c r="G134" s="674" t="s">
        <v>1881</v>
      </c>
      <c r="H134" s="674" t="s">
        <v>1882</v>
      </c>
      <c r="I134" s="676">
        <v>153.11000000000001</v>
      </c>
      <c r="J134" s="676">
        <v>10</v>
      </c>
      <c r="K134" s="677">
        <v>1531.13</v>
      </c>
    </row>
    <row r="135" spans="1:11" ht="14.4" customHeight="1" x14ac:dyDescent="0.3">
      <c r="A135" s="672" t="s">
        <v>478</v>
      </c>
      <c r="B135" s="673" t="s">
        <v>1446</v>
      </c>
      <c r="C135" s="674" t="s">
        <v>483</v>
      </c>
      <c r="D135" s="675" t="s">
        <v>484</v>
      </c>
      <c r="E135" s="674" t="s">
        <v>2077</v>
      </c>
      <c r="F135" s="675" t="s">
        <v>2078</v>
      </c>
      <c r="G135" s="674" t="s">
        <v>1883</v>
      </c>
      <c r="H135" s="674" t="s">
        <v>1884</v>
      </c>
      <c r="I135" s="676">
        <v>9.1999999999999993</v>
      </c>
      <c r="J135" s="676">
        <v>1500</v>
      </c>
      <c r="K135" s="677">
        <v>13800</v>
      </c>
    </row>
    <row r="136" spans="1:11" ht="14.4" customHeight="1" x14ac:dyDescent="0.3">
      <c r="A136" s="672" t="s">
        <v>478</v>
      </c>
      <c r="B136" s="673" t="s">
        <v>1446</v>
      </c>
      <c r="C136" s="674" t="s">
        <v>483</v>
      </c>
      <c r="D136" s="675" t="s">
        <v>484</v>
      </c>
      <c r="E136" s="674" t="s">
        <v>2077</v>
      </c>
      <c r="F136" s="675" t="s">
        <v>2078</v>
      </c>
      <c r="G136" s="674" t="s">
        <v>1885</v>
      </c>
      <c r="H136" s="674" t="s">
        <v>1886</v>
      </c>
      <c r="I136" s="676">
        <v>172.5</v>
      </c>
      <c r="J136" s="676">
        <v>1</v>
      </c>
      <c r="K136" s="677">
        <v>172.5</v>
      </c>
    </row>
    <row r="137" spans="1:11" ht="14.4" customHeight="1" x14ac:dyDescent="0.3">
      <c r="A137" s="672" t="s">
        <v>478</v>
      </c>
      <c r="B137" s="673" t="s">
        <v>1446</v>
      </c>
      <c r="C137" s="674" t="s">
        <v>483</v>
      </c>
      <c r="D137" s="675" t="s">
        <v>484</v>
      </c>
      <c r="E137" s="674" t="s">
        <v>2077</v>
      </c>
      <c r="F137" s="675" t="s">
        <v>2078</v>
      </c>
      <c r="G137" s="674" t="s">
        <v>1887</v>
      </c>
      <c r="H137" s="674" t="s">
        <v>1888</v>
      </c>
      <c r="I137" s="676">
        <v>15.729999999999999</v>
      </c>
      <c r="J137" s="676">
        <v>180</v>
      </c>
      <c r="K137" s="677">
        <v>2831.3999999999996</v>
      </c>
    </row>
    <row r="138" spans="1:11" ht="14.4" customHeight="1" x14ac:dyDescent="0.3">
      <c r="A138" s="672" t="s">
        <v>478</v>
      </c>
      <c r="B138" s="673" t="s">
        <v>1446</v>
      </c>
      <c r="C138" s="674" t="s">
        <v>483</v>
      </c>
      <c r="D138" s="675" t="s">
        <v>484</v>
      </c>
      <c r="E138" s="674" t="s">
        <v>2077</v>
      </c>
      <c r="F138" s="675" t="s">
        <v>2078</v>
      </c>
      <c r="G138" s="674" t="s">
        <v>1889</v>
      </c>
      <c r="H138" s="674" t="s">
        <v>1890</v>
      </c>
      <c r="I138" s="676">
        <v>14.606666666666667</v>
      </c>
      <c r="J138" s="676">
        <v>200</v>
      </c>
      <c r="K138" s="677">
        <v>2924.8</v>
      </c>
    </row>
    <row r="139" spans="1:11" ht="14.4" customHeight="1" x14ac:dyDescent="0.3">
      <c r="A139" s="672" t="s">
        <v>478</v>
      </c>
      <c r="B139" s="673" t="s">
        <v>1446</v>
      </c>
      <c r="C139" s="674" t="s">
        <v>483</v>
      </c>
      <c r="D139" s="675" t="s">
        <v>484</v>
      </c>
      <c r="E139" s="674" t="s">
        <v>2077</v>
      </c>
      <c r="F139" s="675" t="s">
        <v>2078</v>
      </c>
      <c r="G139" s="674" t="s">
        <v>1891</v>
      </c>
      <c r="H139" s="674" t="s">
        <v>1892</v>
      </c>
      <c r="I139" s="676">
        <v>124.63</v>
      </c>
      <c r="J139" s="676">
        <v>110</v>
      </c>
      <c r="K139" s="677">
        <v>13709.3</v>
      </c>
    </row>
    <row r="140" spans="1:11" ht="14.4" customHeight="1" x14ac:dyDescent="0.3">
      <c r="A140" s="672" t="s">
        <v>478</v>
      </c>
      <c r="B140" s="673" t="s">
        <v>1446</v>
      </c>
      <c r="C140" s="674" t="s">
        <v>483</v>
      </c>
      <c r="D140" s="675" t="s">
        <v>484</v>
      </c>
      <c r="E140" s="674" t="s">
        <v>2077</v>
      </c>
      <c r="F140" s="675" t="s">
        <v>2078</v>
      </c>
      <c r="G140" s="674" t="s">
        <v>1893</v>
      </c>
      <c r="H140" s="674" t="s">
        <v>1894</v>
      </c>
      <c r="I140" s="676">
        <v>82.160000000000011</v>
      </c>
      <c r="J140" s="676">
        <v>80</v>
      </c>
      <c r="K140" s="677">
        <v>6572.7199999999993</v>
      </c>
    </row>
    <row r="141" spans="1:11" ht="14.4" customHeight="1" x14ac:dyDescent="0.3">
      <c r="A141" s="672" t="s">
        <v>478</v>
      </c>
      <c r="B141" s="673" t="s">
        <v>1446</v>
      </c>
      <c r="C141" s="674" t="s">
        <v>483</v>
      </c>
      <c r="D141" s="675" t="s">
        <v>484</v>
      </c>
      <c r="E141" s="674" t="s">
        <v>2077</v>
      </c>
      <c r="F141" s="675" t="s">
        <v>2078</v>
      </c>
      <c r="G141" s="674" t="s">
        <v>1895</v>
      </c>
      <c r="H141" s="674" t="s">
        <v>1896</v>
      </c>
      <c r="I141" s="676">
        <v>153.11000000000001</v>
      </c>
      <c r="J141" s="676">
        <v>35</v>
      </c>
      <c r="K141" s="677">
        <v>5358.87</v>
      </c>
    </row>
    <row r="142" spans="1:11" ht="14.4" customHeight="1" x14ac:dyDescent="0.3">
      <c r="A142" s="672" t="s">
        <v>478</v>
      </c>
      <c r="B142" s="673" t="s">
        <v>1446</v>
      </c>
      <c r="C142" s="674" t="s">
        <v>483</v>
      </c>
      <c r="D142" s="675" t="s">
        <v>484</v>
      </c>
      <c r="E142" s="674" t="s">
        <v>2077</v>
      </c>
      <c r="F142" s="675" t="s">
        <v>2078</v>
      </c>
      <c r="G142" s="674" t="s">
        <v>1897</v>
      </c>
      <c r="H142" s="674" t="s">
        <v>1898</v>
      </c>
      <c r="I142" s="676">
        <v>5</v>
      </c>
      <c r="J142" s="676">
        <v>50</v>
      </c>
      <c r="K142" s="677">
        <v>250</v>
      </c>
    </row>
    <row r="143" spans="1:11" ht="14.4" customHeight="1" x14ac:dyDescent="0.3">
      <c r="A143" s="672" t="s">
        <v>478</v>
      </c>
      <c r="B143" s="673" t="s">
        <v>1446</v>
      </c>
      <c r="C143" s="674" t="s">
        <v>483</v>
      </c>
      <c r="D143" s="675" t="s">
        <v>484</v>
      </c>
      <c r="E143" s="674" t="s">
        <v>2077</v>
      </c>
      <c r="F143" s="675" t="s">
        <v>2078</v>
      </c>
      <c r="G143" s="674" t="s">
        <v>1899</v>
      </c>
      <c r="H143" s="674" t="s">
        <v>1900</v>
      </c>
      <c r="I143" s="676">
        <v>3533.32</v>
      </c>
      <c r="J143" s="676">
        <v>2</v>
      </c>
      <c r="K143" s="677">
        <v>7066.64</v>
      </c>
    </row>
    <row r="144" spans="1:11" ht="14.4" customHeight="1" x14ac:dyDescent="0.3">
      <c r="A144" s="672" t="s">
        <v>478</v>
      </c>
      <c r="B144" s="673" t="s">
        <v>1446</v>
      </c>
      <c r="C144" s="674" t="s">
        <v>483</v>
      </c>
      <c r="D144" s="675" t="s">
        <v>484</v>
      </c>
      <c r="E144" s="674" t="s">
        <v>2077</v>
      </c>
      <c r="F144" s="675" t="s">
        <v>2078</v>
      </c>
      <c r="G144" s="674" t="s">
        <v>1901</v>
      </c>
      <c r="H144" s="674" t="s">
        <v>1902</v>
      </c>
      <c r="I144" s="676">
        <v>3.87</v>
      </c>
      <c r="J144" s="676">
        <v>1000</v>
      </c>
      <c r="K144" s="677">
        <v>3872</v>
      </c>
    </row>
    <row r="145" spans="1:11" ht="14.4" customHeight="1" x14ac:dyDescent="0.3">
      <c r="A145" s="672" t="s">
        <v>478</v>
      </c>
      <c r="B145" s="673" t="s">
        <v>1446</v>
      </c>
      <c r="C145" s="674" t="s">
        <v>483</v>
      </c>
      <c r="D145" s="675" t="s">
        <v>484</v>
      </c>
      <c r="E145" s="674" t="s">
        <v>2077</v>
      </c>
      <c r="F145" s="675" t="s">
        <v>2078</v>
      </c>
      <c r="G145" s="674" t="s">
        <v>1903</v>
      </c>
      <c r="H145" s="674" t="s">
        <v>1904</v>
      </c>
      <c r="I145" s="676">
        <v>82.2</v>
      </c>
      <c r="J145" s="676">
        <v>10</v>
      </c>
      <c r="K145" s="677">
        <v>821.98</v>
      </c>
    </row>
    <row r="146" spans="1:11" ht="14.4" customHeight="1" x14ac:dyDescent="0.3">
      <c r="A146" s="672" t="s">
        <v>478</v>
      </c>
      <c r="B146" s="673" t="s">
        <v>1446</v>
      </c>
      <c r="C146" s="674" t="s">
        <v>483</v>
      </c>
      <c r="D146" s="675" t="s">
        <v>484</v>
      </c>
      <c r="E146" s="674" t="s">
        <v>2077</v>
      </c>
      <c r="F146" s="675" t="s">
        <v>2078</v>
      </c>
      <c r="G146" s="674" t="s">
        <v>1905</v>
      </c>
      <c r="H146" s="674" t="s">
        <v>1906</v>
      </c>
      <c r="I146" s="676">
        <v>96.8</v>
      </c>
      <c r="J146" s="676">
        <v>90</v>
      </c>
      <c r="K146" s="677">
        <v>8712</v>
      </c>
    </row>
    <row r="147" spans="1:11" ht="14.4" customHeight="1" x14ac:dyDescent="0.3">
      <c r="A147" s="672" t="s">
        <v>478</v>
      </c>
      <c r="B147" s="673" t="s">
        <v>1446</v>
      </c>
      <c r="C147" s="674" t="s">
        <v>483</v>
      </c>
      <c r="D147" s="675" t="s">
        <v>484</v>
      </c>
      <c r="E147" s="674" t="s">
        <v>2077</v>
      </c>
      <c r="F147" s="675" t="s">
        <v>2078</v>
      </c>
      <c r="G147" s="674" t="s">
        <v>1907</v>
      </c>
      <c r="H147" s="674" t="s">
        <v>1908</v>
      </c>
      <c r="I147" s="676">
        <v>15.13</v>
      </c>
      <c r="J147" s="676">
        <v>600</v>
      </c>
      <c r="K147" s="677">
        <v>9076</v>
      </c>
    </row>
    <row r="148" spans="1:11" ht="14.4" customHeight="1" x14ac:dyDescent="0.3">
      <c r="A148" s="672" t="s">
        <v>478</v>
      </c>
      <c r="B148" s="673" t="s">
        <v>1446</v>
      </c>
      <c r="C148" s="674" t="s">
        <v>483</v>
      </c>
      <c r="D148" s="675" t="s">
        <v>484</v>
      </c>
      <c r="E148" s="674" t="s">
        <v>2077</v>
      </c>
      <c r="F148" s="675" t="s">
        <v>2078</v>
      </c>
      <c r="G148" s="674" t="s">
        <v>1909</v>
      </c>
      <c r="H148" s="674" t="s">
        <v>1910</v>
      </c>
      <c r="I148" s="676">
        <v>168.19</v>
      </c>
      <c r="J148" s="676">
        <v>10</v>
      </c>
      <c r="K148" s="677">
        <v>1681.9</v>
      </c>
    </row>
    <row r="149" spans="1:11" ht="14.4" customHeight="1" x14ac:dyDescent="0.3">
      <c r="A149" s="672" t="s">
        <v>478</v>
      </c>
      <c r="B149" s="673" t="s">
        <v>1446</v>
      </c>
      <c r="C149" s="674" t="s">
        <v>483</v>
      </c>
      <c r="D149" s="675" t="s">
        <v>484</v>
      </c>
      <c r="E149" s="674" t="s">
        <v>2077</v>
      </c>
      <c r="F149" s="675" t="s">
        <v>2078</v>
      </c>
      <c r="G149" s="674" t="s">
        <v>1911</v>
      </c>
      <c r="H149" s="674" t="s">
        <v>1912</v>
      </c>
      <c r="I149" s="676">
        <v>3.4357142857142859</v>
      </c>
      <c r="J149" s="676">
        <v>3010</v>
      </c>
      <c r="K149" s="677">
        <v>10339.92</v>
      </c>
    </row>
    <row r="150" spans="1:11" ht="14.4" customHeight="1" x14ac:dyDescent="0.3">
      <c r="A150" s="672" t="s">
        <v>478</v>
      </c>
      <c r="B150" s="673" t="s">
        <v>1446</v>
      </c>
      <c r="C150" s="674" t="s">
        <v>483</v>
      </c>
      <c r="D150" s="675" t="s">
        <v>484</v>
      </c>
      <c r="E150" s="674" t="s">
        <v>2077</v>
      </c>
      <c r="F150" s="675" t="s">
        <v>2078</v>
      </c>
      <c r="G150" s="674" t="s">
        <v>1913</v>
      </c>
      <c r="H150" s="674" t="s">
        <v>1914</v>
      </c>
      <c r="I150" s="676">
        <v>3.42</v>
      </c>
      <c r="J150" s="676">
        <v>120</v>
      </c>
      <c r="K150" s="677">
        <v>410.4</v>
      </c>
    </row>
    <row r="151" spans="1:11" ht="14.4" customHeight="1" x14ac:dyDescent="0.3">
      <c r="A151" s="672" t="s">
        <v>478</v>
      </c>
      <c r="B151" s="673" t="s">
        <v>1446</v>
      </c>
      <c r="C151" s="674" t="s">
        <v>483</v>
      </c>
      <c r="D151" s="675" t="s">
        <v>484</v>
      </c>
      <c r="E151" s="674" t="s">
        <v>2077</v>
      </c>
      <c r="F151" s="675" t="s">
        <v>2078</v>
      </c>
      <c r="G151" s="674" t="s">
        <v>1915</v>
      </c>
      <c r="H151" s="674" t="s">
        <v>1916</v>
      </c>
      <c r="I151" s="676">
        <v>6.107499999999999</v>
      </c>
      <c r="J151" s="676">
        <v>1400</v>
      </c>
      <c r="K151" s="677">
        <v>8552</v>
      </c>
    </row>
    <row r="152" spans="1:11" ht="14.4" customHeight="1" x14ac:dyDescent="0.3">
      <c r="A152" s="672" t="s">
        <v>478</v>
      </c>
      <c r="B152" s="673" t="s">
        <v>1446</v>
      </c>
      <c r="C152" s="674" t="s">
        <v>483</v>
      </c>
      <c r="D152" s="675" t="s">
        <v>484</v>
      </c>
      <c r="E152" s="674" t="s">
        <v>2077</v>
      </c>
      <c r="F152" s="675" t="s">
        <v>2078</v>
      </c>
      <c r="G152" s="674" t="s">
        <v>1917</v>
      </c>
      <c r="H152" s="674" t="s">
        <v>1918</v>
      </c>
      <c r="I152" s="676">
        <v>22.99</v>
      </c>
      <c r="J152" s="676">
        <v>10</v>
      </c>
      <c r="K152" s="677">
        <v>229.9</v>
      </c>
    </row>
    <row r="153" spans="1:11" ht="14.4" customHeight="1" x14ac:dyDescent="0.3">
      <c r="A153" s="672" t="s">
        <v>478</v>
      </c>
      <c r="B153" s="673" t="s">
        <v>1446</v>
      </c>
      <c r="C153" s="674" t="s">
        <v>483</v>
      </c>
      <c r="D153" s="675" t="s">
        <v>484</v>
      </c>
      <c r="E153" s="674" t="s">
        <v>2077</v>
      </c>
      <c r="F153" s="675" t="s">
        <v>2078</v>
      </c>
      <c r="G153" s="674" t="s">
        <v>1919</v>
      </c>
      <c r="H153" s="674" t="s">
        <v>1920</v>
      </c>
      <c r="I153" s="676">
        <v>82.2</v>
      </c>
      <c r="J153" s="676">
        <v>10</v>
      </c>
      <c r="K153" s="677">
        <v>821.99</v>
      </c>
    </row>
    <row r="154" spans="1:11" ht="14.4" customHeight="1" x14ac:dyDescent="0.3">
      <c r="A154" s="672" t="s">
        <v>478</v>
      </c>
      <c r="B154" s="673" t="s">
        <v>1446</v>
      </c>
      <c r="C154" s="674" t="s">
        <v>483</v>
      </c>
      <c r="D154" s="675" t="s">
        <v>484</v>
      </c>
      <c r="E154" s="674" t="s">
        <v>2077</v>
      </c>
      <c r="F154" s="675" t="s">
        <v>2078</v>
      </c>
      <c r="G154" s="674" t="s">
        <v>1921</v>
      </c>
      <c r="H154" s="674" t="s">
        <v>1922</v>
      </c>
      <c r="I154" s="676">
        <v>67.158333333333317</v>
      </c>
      <c r="J154" s="676">
        <v>300</v>
      </c>
      <c r="K154" s="677">
        <v>20146.52</v>
      </c>
    </row>
    <row r="155" spans="1:11" ht="14.4" customHeight="1" x14ac:dyDescent="0.3">
      <c r="A155" s="672" t="s">
        <v>478</v>
      </c>
      <c r="B155" s="673" t="s">
        <v>1446</v>
      </c>
      <c r="C155" s="674" t="s">
        <v>483</v>
      </c>
      <c r="D155" s="675" t="s">
        <v>484</v>
      </c>
      <c r="E155" s="674" t="s">
        <v>2077</v>
      </c>
      <c r="F155" s="675" t="s">
        <v>2078</v>
      </c>
      <c r="G155" s="674" t="s">
        <v>1923</v>
      </c>
      <c r="H155" s="674" t="s">
        <v>1924</v>
      </c>
      <c r="I155" s="676">
        <v>6.29</v>
      </c>
      <c r="J155" s="676">
        <v>200</v>
      </c>
      <c r="K155" s="677">
        <v>1258</v>
      </c>
    </row>
    <row r="156" spans="1:11" ht="14.4" customHeight="1" x14ac:dyDescent="0.3">
      <c r="A156" s="672" t="s">
        <v>478</v>
      </c>
      <c r="B156" s="673" t="s">
        <v>1446</v>
      </c>
      <c r="C156" s="674" t="s">
        <v>483</v>
      </c>
      <c r="D156" s="675" t="s">
        <v>484</v>
      </c>
      <c r="E156" s="674" t="s">
        <v>2077</v>
      </c>
      <c r="F156" s="675" t="s">
        <v>2078</v>
      </c>
      <c r="G156" s="674" t="s">
        <v>1925</v>
      </c>
      <c r="H156" s="674" t="s">
        <v>1926</v>
      </c>
      <c r="I156" s="676">
        <v>110.12</v>
      </c>
      <c r="J156" s="676">
        <v>1</v>
      </c>
      <c r="K156" s="677">
        <v>110.12</v>
      </c>
    </row>
    <row r="157" spans="1:11" ht="14.4" customHeight="1" x14ac:dyDescent="0.3">
      <c r="A157" s="672" t="s">
        <v>478</v>
      </c>
      <c r="B157" s="673" t="s">
        <v>1446</v>
      </c>
      <c r="C157" s="674" t="s">
        <v>483</v>
      </c>
      <c r="D157" s="675" t="s">
        <v>484</v>
      </c>
      <c r="E157" s="674" t="s">
        <v>2077</v>
      </c>
      <c r="F157" s="675" t="s">
        <v>2078</v>
      </c>
      <c r="G157" s="674" t="s">
        <v>1927</v>
      </c>
      <c r="H157" s="674" t="s">
        <v>1928</v>
      </c>
      <c r="I157" s="676">
        <v>8.8375000000000004</v>
      </c>
      <c r="J157" s="676">
        <v>1754</v>
      </c>
      <c r="K157" s="677">
        <v>15496.11</v>
      </c>
    </row>
    <row r="158" spans="1:11" ht="14.4" customHeight="1" x14ac:dyDescent="0.3">
      <c r="A158" s="672" t="s">
        <v>478</v>
      </c>
      <c r="B158" s="673" t="s">
        <v>1446</v>
      </c>
      <c r="C158" s="674" t="s">
        <v>483</v>
      </c>
      <c r="D158" s="675" t="s">
        <v>484</v>
      </c>
      <c r="E158" s="674" t="s">
        <v>2077</v>
      </c>
      <c r="F158" s="675" t="s">
        <v>2078</v>
      </c>
      <c r="G158" s="674" t="s">
        <v>1929</v>
      </c>
      <c r="H158" s="674" t="s">
        <v>1930</v>
      </c>
      <c r="I158" s="676">
        <v>73.27</v>
      </c>
      <c r="J158" s="676">
        <v>30</v>
      </c>
      <c r="K158" s="677">
        <v>2198</v>
      </c>
    </row>
    <row r="159" spans="1:11" ht="14.4" customHeight="1" x14ac:dyDescent="0.3">
      <c r="A159" s="672" t="s">
        <v>478</v>
      </c>
      <c r="B159" s="673" t="s">
        <v>1446</v>
      </c>
      <c r="C159" s="674" t="s">
        <v>483</v>
      </c>
      <c r="D159" s="675" t="s">
        <v>484</v>
      </c>
      <c r="E159" s="674" t="s">
        <v>2077</v>
      </c>
      <c r="F159" s="675" t="s">
        <v>2078</v>
      </c>
      <c r="G159" s="674" t="s">
        <v>1931</v>
      </c>
      <c r="H159" s="674" t="s">
        <v>1932</v>
      </c>
      <c r="I159" s="676">
        <v>484.04</v>
      </c>
      <c r="J159" s="676">
        <v>10</v>
      </c>
      <c r="K159" s="677">
        <v>4840.3500000000004</v>
      </c>
    </row>
    <row r="160" spans="1:11" ht="14.4" customHeight="1" x14ac:dyDescent="0.3">
      <c r="A160" s="672" t="s">
        <v>478</v>
      </c>
      <c r="B160" s="673" t="s">
        <v>1446</v>
      </c>
      <c r="C160" s="674" t="s">
        <v>483</v>
      </c>
      <c r="D160" s="675" t="s">
        <v>484</v>
      </c>
      <c r="E160" s="674" t="s">
        <v>2077</v>
      </c>
      <c r="F160" s="675" t="s">
        <v>2078</v>
      </c>
      <c r="G160" s="674" t="s">
        <v>1933</v>
      </c>
      <c r="H160" s="674" t="s">
        <v>1934</v>
      </c>
      <c r="I160" s="676">
        <v>4022.0400000000004</v>
      </c>
      <c r="J160" s="676">
        <v>14</v>
      </c>
      <c r="K160" s="677">
        <v>56308.560000000005</v>
      </c>
    </row>
    <row r="161" spans="1:11" ht="14.4" customHeight="1" x14ac:dyDescent="0.3">
      <c r="A161" s="672" t="s">
        <v>478</v>
      </c>
      <c r="B161" s="673" t="s">
        <v>1446</v>
      </c>
      <c r="C161" s="674" t="s">
        <v>483</v>
      </c>
      <c r="D161" s="675" t="s">
        <v>484</v>
      </c>
      <c r="E161" s="674" t="s">
        <v>2077</v>
      </c>
      <c r="F161" s="675" t="s">
        <v>2078</v>
      </c>
      <c r="G161" s="674" t="s">
        <v>1935</v>
      </c>
      <c r="H161" s="674" t="s">
        <v>1936</v>
      </c>
      <c r="I161" s="676">
        <v>9.68</v>
      </c>
      <c r="J161" s="676">
        <v>2600</v>
      </c>
      <c r="K161" s="677">
        <v>25168</v>
      </c>
    </row>
    <row r="162" spans="1:11" ht="14.4" customHeight="1" x14ac:dyDescent="0.3">
      <c r="A162" s="672" t="s">
        <v>478</v>
      </c>
      <c r="B162" s="673" t="s">
        <v>1446</v>
      </c>
      <c r="C162" s="674" t="s">
        <v>483</v>
      </c>
      <c r="D162" s="675" t="s">
        <v>484</v>
      </c>
      <c r="E162" s="674" t="s">
        <v>2077</v>
      </c>
      <c r="F162" s="675" t="s">
        <v>2078</v>
      </c>
      <c r="G162" s="674" t="s">
        <v>1937</v>
      </c>
      <c r="H162" s="674" t="s">
        <v>1938</v>
      </c>
      <c r="I162" s="676">
        <v>154</v>
      </c>
      <c r="J162" s="676">
        <v>10</v>
      </c>
      <c r="K162" s="677">
        <v>1539.97</v>
      </c>
    </row>
    <row r="163" spans="1:11" ht="14.4" customHeight="1" x14ac:dyDescent="0.3">
      <c r="A163" s="672" t="s">
        <v>478</v>
      </c>
      <c r="B163" s="673" t="s">
        <v>1446</v>
      </c>
      <c r="C163" s="674" t="s">
        <v>483</v>
      </c>
      <c r="D163" s="675" t="s">
        <v>484</v>
      </c>
      <c r="E163" s="674" t="s">
        <v>2077</v>
      </c>
      <c r="F163" s="675" t="s">
        <v>2078</v>
      </c>
      <c r="G163" s="674" t="s">
        <v>1939</v>
      </c>
      <c r="H163" s="674" t="s">
        <v>1940</v>
      </c>
      <c r="I163" s="676">
        <v>153.99</v>
      </c>
      <c r="J163" s="676">
        <v>10</v>
      </c>
      <c r="K163" s="677">
        <v>1539.93</v>
      </c>
    </row>
    <row r="164" spans="1:11" ht="14.4" customHeight="1" x14ac:dyDescent="0.3">
      <c r="A164" s="672" t="s">
        <v>478</v>
      </c>
      <c r="B164" s="673" t="s">
        <v>1446</v>
      </c>
      <c r="C164" s="674" t="s">
        <v>483</v>
      </c>
      <c r="D164" s="675" t="s">
        <v>484</v>
      </c>
      <c r="E164" s="674" t="s">
        <v>2077</v>
      </c>
      <c r="F164" s="675" t="s">
        <v>2078</v>
      </c>
      <c r="G164" s="674" t="s">
        <v>1941</v>
      </c>
      <c r="H164" s="674" t="s">
        <v>1942</v>
      </c>
      <c r="I164" s="676">
        <v>22</v>
      </c>
      <c r="J164" s="676">
        <v>30</v>
      </c>
      <c r="K164" s="677">
        <v>660</v>
      </c>
    </row>
    <row r="165" spans="1:11" ht="14.4" customHeight="1" x14ac:dyDescent="0.3">
      <c r="A165" s="672" t="s">
        <v>478</v>
      </c>
      <c r="B165" s="673" t="s">
        <v>1446</v>
      </c>
      <c r="C165" s="674" t="s">
        <v>483</v>
      </c>
      <c r="D165" s="675" t="s">
        <v>484</v>
      </c>
      <c r="E165" s="674" t="s">
        <v>2077</v>
      </c>
      <c r="F165" s="675" t="s">
        <v>2078</v>
      </c>
      <c r="G165" s="674" t="s">
        <v>1943</v>
      </c>
      <c r="H165" s="674" t="s">
        <v>1944</v>
      </c>
      <c r="I165" s="676">
        <v>1.905</v>
      </c>
      <c r="J165" s="676">
        <v>150</v>
      </c>
      <c r="K165" s="677">
        <v>294.5</v>
      </c>
    </row>
    <row r="166" spans="1:11" ht="14.4" customHeight="1" x14ac:dyDescent="0.3">
      <c r="A166" s="672" t="s">
        <v>478</v>
      </c>
      <c r="B166" s="673" t="s">
        <v>1446</v>
      </c>
      <c r="C166" s="674" t="s">
        <v>483</v>
      </c>
      <c r="D166" s="675" t="s">
        <v>484</v>
      </c>
      <c r="E166" s="674" t="s">
        <v>2077</v>
      </c>
      <c r="F166" s="675" t="s">
        <v>2078</v>
      </c>
      <c r="G166" s="674" t="s">
        <v>1945</v>
      </c>
      <c r="H166" s="674" t="s">
        <v>1946</v>
      </c>
      <c r="I166" s="676">
        <v>4.62</v>
      </c>
      <c r="J166" s="676">
        <v>80</v>
      </c>
      <c r="K166" s="677">
        <v>369.6</v>
      </c>
    </row>
    <row r="167" spans="1:11" ht="14.4" customHeight="1" x14ac:dyDescent="0.3">
      <c r="A167" s="672" t="s">
        <v>478</v>
      </c>
      <c r="B167" s="673" t="s">
        <v>1446</v>
      </c>
      <c r="C167" s="674" t="s">
        <v>483</v>
      </c>
      <c r="D167" s="675" t="s">
        <v>484</v>
      </c>
      <c r="E167" s="674" t="s">
        <v>2077</v>
      </c>
      <c r="F167" s="675" t="s">
        <v>2078</v>
      </c>
      <c r="G167" s="674" t="s">
        <v>1947</v>
      </c>
      <c r="H167" s="674" t="s">
        <v>1948</v>
      </c>
      <c r="I167" s="676">
        <v>3.14</v>
      </c>
      <c r="J167" s="676">
        <v>50</v>
      </c>
      <c r="K167" s="677">
        <v>157</v>
      </c>
    </row>
    <row r="168" spans="1:11" ht="14.4" customHeight="1" x14ac:dyDescent="0.3">
      <c r="A168" s="672" t="s">
        <v>478</v>
      </c>
      <c r="B168" s="673" t="s">
        <v>1446</v>
      </c>
      <c r="C168" s="674" t="s">
        <v>483</v>
      </c>
      <c r="D168" s="675" t="s">
        <v>484</v>
      </c>
      <c r="E168" s="674" t="s">
        <v>2077</v>
      </c>
      <c r="F168" s="675" t="s">
        <v>2078</v>
      </c>
      <c r="G168" s="674" t="s">
        <v>1949</v>
      </c>
      <c r="H168" s="674" t="s">
        <v>1950</v>
      </c>
      <c r="I168" s="676">
        <v>1.88</v>
      </c>
      <c r="J168" s="676">
        <v>300</v>
      </c>
      <c r="K168" s="677">
        <v>564</v>
      </c>
    </row>
    <row r="169" spans="1:11" ht="14.4" customHeight="1" x14ac:dyDescent="0.3">
      <c r="A169" s="672" t="s">
        <v>478</v>
      </c>
      <c r="B169" s="673" t="s">
        <v>1446</v>
      </c>
      <c r="C169" s="674" t="s">
        <v>483</v>
      </c>
      <c r="D169" s="675" t="s">
        <v>484</v>
      </c>
      <c r="E169" s="674" t="s">
        <v>2077</v>
      </c>
      <c r="F169" s="675" t="s">
        <v>2078</v>
      </c>
      <c r="G169" s="674" t="s">
        <v>1951</v>
      </c>
      <c r="H169" s="674" t="s">
        <v>1952</v>
      </c>
      <c r="I169" s="676">
        <v>413.57</v>
      </c>
      <c r="J169" s="676">
        <v>2</v>
      </c>
      <c r="K169" s="677">
        <v>827.15</v>
      </c>
    </row>
    <row r="170" spans="1:11" ht="14.4" customHeight="1" x14ac:dyDescent="0.3">
      <c r="A170" s="672" t="s">
        <v>478</v>
      </c>
      <c r="B170" s="673" t="s">
        <v>1446</v>
      </c>
      <c r="C170" s="674" t="s">
        <v>483</v>
      </c>
      <c r="D170" s="675" t="s">
        <v>484</v>
      </c>
      <c r="E170" s="674" t="s">
        <v>2077</v>
      </c>
      <c r="F170" s="675" t="s">
        <v>2078</v>
      </c>
      <c r="G170" s="674" t="s">
        <v>1953</v>
      </c>
      <c r="H170" s="674" t="s">
        <v>1954</v>
      </c>
      <c r="I170" s="676">
        <v>1647.29</v>
      </c>
      <c r="J170" s="676">
        <v>5</v>
      </c>
      <c r="K170" s="677">
        <v>8236.4699999999993</v>
      </c>
    </row>
    <row r="171" spans="1:11" ht="14.4" customHeight="1" x14ac:dyDescent="0.3">
      <c r="A171" s="672" t="s">
        <v>478</v>
      </c>
      <c r="B171" s="673" t="s">
        <v>1446</v>
      </c>
      <c r="C171" s="674" t="s">
        <v>483</v>
      </c>
      <c r="D171" s="675" t="s">
        <v>484</v>
      </c>
      <c r="E171" s="674" t="s">
        <v>2077</v>
      </c>
      <c r="F171" s="675" t="s">
        <v>2078</v>
      </c>
      <c r="G171" s="674" t="s">
        <v>1955</v>
      </c>
      <c r="H171" s="674" t="s">
        <v>1956</v>
      </c>
      <c r="I171" s="676">
        <v>3.75</v>
      </c>
      <c r="J171" s="676">
        <v>50</v>
      </c>
      <c r="K171" s="677">
        <v>187.5</v>
      </c>
    </row>
    <row r="172" spans="1:11" ht="14.4" customHeight="1" x14ac:dyDescent="0.3">
      <c r="A172" s="672" t="s">
        <v>478</v>
      </c>
      <c r="B172" s="673" t="s">
        <v>1446</v>
      </c>
      <c r="C172" s="674" t="s">
        <v>483</v>
      </c>
      <c r="D172" s="675" t="s">
        <v>484</v>
      </c>
      <c r="E172" s="674" t="s">
        <v>2077</v>
      </c>
      <c r="F172" s="675" t="s">
        <v>2078</v>
      </c>
      <c r="G172" s="674" t="s">
        <v>1957</v>
      </c>
      <c r="H172" s="674" t="s">
        <v>1958</v>
      </c>
      <c r="I172" s="676">
        <v>22</v>
      </c>
      <c r="J172" s="676">
        <v>100</v>
      </c>
      <c r="K172" s="677">
        <v>2200</v>
      </c>
    </row>
    <row r="173" spans="1:11" ht="14.4" customHeight="1" x14ac:dyDescent="0.3">
      <c r="A173" s="672" t="s">
        <v>478</v>
      </c>
      <c r="B173" s="673" t="s">
        <v>1446</v>
      </c>
      <c r="C173" s="674" t="s">
        <v>483</v>
      </c>
      <c r="D173" s="675" t="s">
        <v>484</v>
      </c>
      <c r="E173" s="674" t="s">
        <v>2077</v>
      </c>
      <c r="F173" s="675" t="s">
        <v>2078</v>
      </c>
      <c r="G173" s="674" t="s">
        <v>1959</v>
      </c>
      <c r="H173" s="674" t="s">
        <v>1960</v>
      </c>
      <c r="I173" s="676">
        <v>1109.27</v>
      </c>
      <c r="J173" s="676">
        <v>1</v>
      </c>
      <c r="K173" s="677">
        <v>1109.27</v>
      </c>
    </row>
    <row r="174" spans="1:11" ht="14.4" customHeight="1" x14ac:dyDescent="0.3">
      <c r="A174" s="672" t="s">
        <v>478</v>
      </c>
      <c r="B174" s="673" t="s">
        <v>1446</v>
      </c>
      <c r="C174" s="674" t="s">
        <v>483</v>
      </c>
      <c r="D174" s="675" t="s">
        <v>484</v>
      </c>
      <c r="E174" s="674" t="s">
        <v>2077</v>
      </c>
      <c r="F174" s="675" t="s">
        <v>2078</v>
      </c>
      <c r="G174" s="674" t="s">
        <v>1961</v>
      </c>
      <c r="H174" s="674" t="s">
        <v>1962</v>
      </c>
      <c r="I174" s="676">
        <v>646.75</v>
      </c>
      <c r="J174" s="676">
        <v>2</v>
      </c>
      <c r="K174" s="677">
        <v>1293.5</v>
      </c>
    </row>
    <row r="175" spans="1:11" ht="14.4" customHeight="1" x14ac:dyDescent="0.3">
      <c r="A175" s="672" t="s">
        <v>478</v>
      </c>
      <c r="B175" s="673" t="s">
        <v>1446</v>
      </c>
      <c r="C175" s="674" t="s">
        <v>483</v>
      </c>
      <c r="D175" s="675" t="s">
        <v>484</v>
      </c>
      <c r="E175" s="674" t="s">
        <v>2077</v>
      </c>
      <c r="F175" s="675" t="s">
        <v>2078</v>
      </c>
      <c r="G175" s="674" t="s">
        <v>1963</v>
      </c>
      <c r="H175" s="674" t="s">
        <v>1964</v>
      </c>
      <c r="I175" s="676">
        <v>47.15</v>
      </c>
      <c r="J175" s="676">
        <v>30</v>
      </c>
      <c r="K175" s="677">
        <v>1414.5</v>
      </c>
    </row>
    <row r="176" spans="1:11" ht="14.4" customHeight="1" x14ac:dyDescent="0.3">
      <c r="A176" s="672" t="s">
        <v>478</v>
      </c>
      <c r="B176" s="673" t="s">
        <v>1446</v>
      </c>
      <c r="C176" s="674" t="s">
        <v>483</v>
      </c>
      <c r="D176" s="675" t="s">
        <v>484</v>
      </c>
      <c r="E176" s="674" t="s">
        <v>2077</v>
      </c>
      <c r="F176" s="675" t="s">
        <v>2078</v>
      </c>
      <c r="G176" s="674" t="s">
        <v>1965</v>
      </c>
      <c r="H176" s="674" t="s">
        <v>1966</v>
      </c>
      <c r="I176" s="676">
        <v>30.73</v>
      </c>
      <c r="J176" s="676">
        <v>200</v>
      </c>
      <c r="K176" s="677">
        <v>6146.8</v>
      </c>
    </row>
    <row r="177" spans="1:11" ht="14.4" customHeight="1" x14ac:dyDescent="0.3">
      <c r="A177" s="672" t="s">
        <v>478</v>
      </c>
      <c r="B177" s="673" t="s">
        <v>1446</v>
      </c>
      <c r="C177" s="674" t="s">
        <v>483</v>
      </c>
      <c r="D177" s="675" t="s">
        <v>484</v>
      </c>
      <c r="E177" s="674" t="s">
        <v>2079</v>
      </c>
      <c r="F177" s="675" t="s">
        <v>2080</v>
      </c>
      <c r="G177" s="674" t="s">
        <v>1967</v>
      </c>
      <c r="H177" s="674" t="s">
        <v>1968</v>
      </c>
      <c r="I177" s="676">
        <v>52.87</v>
      </c>
      <c r="J177" s="676">
        <v>1</v>
      </c>
      <c r="K177" s="677">
        <v>52.87</v>
      </c>
    </row>
    <row r="178" spans="1:11" ht="14.4" customHeight="1" x14ac:dyDescent="0.3">
      <c r="A178" s="672" t="s">
        <v>478</v>
      </c>
      <c r="B178" s="673" t="s">
        <v>1446</v>
      </c>
      <c r="C178" s="674" t="s">
        <v>483</v>
      </c>
      <c r="D178" s="675" t="s">
        <v>484</v>
      </c>
      <c r="E178" s="674" t="s">
        <v>2079</v>
      </c>
      <c r="F178" s="675" t="s">
        <v>2080</v>
      </c>
      <c r="G178" s="674" t="s">
        <v>1969</v>
      </c>
      <c r="H178" s="674" t="s">
        <v>1970</v>
      </c>
      <c r="I178" s="676">
        <v>90.63</v>
      </c>
      <c r="J178" s="676">
        <v>1</v>
      </c>
      <c r="K178" s="677">
        <v>90.63</v>
      </c>
    </row>
    <row r="179" spans="1:11" ht="14.4" customHeight="1" x14ac:dyDescent="0.3">
      <c r="A179" s="672" t="s">
        <v>478</v>
      </c>
      <c r="B179" s="673" t="s">
        <v>1446</v>
      </c>
      <c r="C179" s="674" t="s">
        <v>483</v>
      </c>
      <c r="D179" s="675" t="s">
        <v>484</v>
      </c>
      <c r="E179" s="674" t="s">
        <v>2081</v>
      </c>
      <c r="F179" s="675" t="s">
        <v>2082</v>
      </c>
      <c r="G179" s="674" t="s">
        <v>1971</v>
      </c>
      <c r="H179" s="674" t="s">
        <v>1972</v>
      </c>
      <c r="I179" s="676">
        <v>186.2</v>
      </c>
      <c r="J179" s="676">
        <v>2</v>
      </c>
      <c r="K179" s="677">
        <v>372.4</v>
      </c>
    </row>
    <row r="180" spans="1:11" ht="14.4" customHeight="1" x14ac:dyDescent="0.3">
      <c r="A180" s="672" t="s">
        <v>478</v>
      </c>
      <c r="B180" s="673" t="s">
        <v>1446</v>
      </c>
      <c r="C180" s="674" t="s">
        <v>483</v>
      </c>
      <c r="D180" s="675" t="s">
        <v>484</v>
      </c>
      <c r="E180" s="674" t="s">
        <v>2083</v>
      </c>
      <c r="F180" s="675" t="s">
        <v>2084</v>
      </c>
      <c r="G180" s="674" t="s">
        <v>1973</v>
      </c>
      <c r="H180" s="674" t="s">
        <v>1974</v>
      </c>
      <c r="I180" s="676">
        <v>319.91000000000003</v>
      </c>
      <c r="J180" s="676">
        <v>100</v>
      </c>
      <c r="K180" s="677">
        <v>31991.27</v>
      </c>
    </row>
    <row r="181" spans="1:11" ht="14.4" customHeight="1" x14ac:dyDescent="0.3">
      <c r="A181" s="672" t="s">
        <v>478</v>
      </c>
      <c r="B181" s="673" t="s">
        <v>1446</v>
      </c>
      <c r="C181" s="674" t="s">
        <v>483</v>
      </c>
      <c r="D181" s="675" t="s">
        <v>484</v>
      </c>
      <c r="E181" s="674" t="s">
        <v>2083</v>
      </c>
      <c r="F181" s="675" t="s">
        <v>2084</v>
      </c>
      <c r="G181" s="674" t="s">
        <v>1975</v>
      </c>
      <c r="H181" s="674" t="s">
        <v>1976</v>
      </c>
      <c r="I181" s="676">
        <v>568.79</v>
      </c>
      <c r="J181" s="676">
        <v>30</v>
      </c>
      <c r="K181" s="677">
        <v>17063.550000000003</v>
      </c>
    </row>
    <row r="182" spans="1:11" ht="14.4" customHeight="1" x14ac:dyDescent="0.3">
      <c r="A182" s="672" t="s">
        <v>478</v>
      </c>
      <c r="B182" s="673" t="s">
        <v>1446</v>
      </c>
      <c r="C182" s="674" t="s">
        <v>483</v>
      </c>
      <c r="D182" s="675" t="s">
        <v>484</v>
      </c>
      <c r="E182" s="674" t="s">
        <v>2083</v>
      </c>
      <c r="F182" s="675" t="s">
        <v>2084</v>
      </c>
      <c r="G182" s="674" t="s">
        <v>1977</v>
      </c>
      <c r="H182" s="674" t="s">
        <v>1978</v>
      </c>
      <c r="I182" s="676">
        <v>442.39</v>
      </c>
      <c r="J182" s="676">
        <v>20</v>
      </c>
      <c r="K182" s="677">
        <v>8847.76</v>
      </c>
    </row>
    <row r="183" spans="1:11" ht="14.4" customHeight="1" x14ac:dyDescent="0.3">
      <c r="A183" s="672" t="s">
        <v>478</v>
      </c>
      <c r="B183" s="673" t="s">
        <v>1446</v>
      </c>
      <c r="C183" s="674" t="s">
        <v>483</v>
      </c>
      <c r="D183" s="675" t="s">
        <v>484</v>
      </c>
      <c r="E183" s="674" t="s">
        <v>2085</v>
      </c>
      <c r="F183" s="675" t="s">
        <v>2086</v>
      </c>
      <c r="G183" s="674" t="s">
        <v>1979</v>
      </c>
      <c r="H183" s="674" t="s">
        <v>1980</v>
      </c>
      <c r="I183" s="676">
        <v>8.8500000000000014</v>
      </c>
      <c r="J183" s="676">
        <v>3500</v>
      </c>
      <c r="K183" s="677">
        <v>29955</v>
      </c>
    </row>
    <row r="184" spans="1:11" ht="14.4" customHeight="1" x14ac:dyDescent="0.3">
      <c r="A184" s="672" t="s">
        <v>478</v>
      </c>
      <c r="B184" s="673" t="s">
        <v>1446</v>
      </c>
      <c r="C184" s="674" t="s">
        <v>483</v>
      </c>
      <c r="D184" s="675" t="s">
        <v>484</v>
      </c>
      <c r="E184" s="674" t="s">
        <v>2085</v>
      </c>
      <c r="F184" s="675" t="s">
        <v>2086</v>
      </c>
      <c r="G184" s="674" t="s">
        <v>1981</v>
      </c>
      <c r="H184" s="674" t="s">
        <v>1982</v>
      </c>
      <c r="I184" s="676">
        <v>162.62666666666667</v>
      </c>
      <c r="J184" s="676">
        <v>150</v>
      </c>
      <c r="K184" s="677">
        <v>24393.8</v>
      </c>
    </row>
    <row r="185" spans="1:11" ht="14.4" customHeight="1" x14ac:dyDescent="0.3">
      <c r="A185" s="672" t="s">
        <v>478</v>
      </c>
      <c r="B185" s="673" t="s">
        <v>1446</v>
      </c>
      <c r="C185" s="674" t="s">
        <v>483</v>
      </c>
      <c r="D185" s="675" t="s">
        <v>484</v>
      </c>
      <c r="E185" s="674" t="s">
        <v>2085</v>
      </c>
      <c r="F185" s="675" t="s">
        <v>2086</v>
      </c>
      <c r="G185" s="674" t="s">
        <v>1983</v>
      </c>
      <c r="H185" s="674" t="s">
        <v>1984</v>
      </c>
      <c r="I185" s="676">
        <v>7</v>
      </c>
      <c r="J185" s="676">
        <v>600</v>
      </c>
      <c r="K185" s="677">
        <v>4200</v>
      </c>
    </row>
    <row r="186" spans="1:11" ht="14.4" customHeight="1" x14ac:dyDescent="0.3">
      <c r="A186" s="672" t="s">
        <v>478</v>
      </c>
      <c r="B186" s="673" t="s">
        <v>1446</v>
      </c>
      <c r="C186" s="674" t="s">
        <v>483</v>
      </c>
      <c r="D186" s="675" t="s">
        <v>484</v>
      </c>
      <c r="E186" s="674" t="s">
        <v>2085</v>
      </c>
      <c r="F186" s="675" t="s">
        <v>2086</v>
      </c>
      <c r="G186" s="674" t="s">
        <v>1985</v>
      </c>
      <c r="H186" s="674" t="s">
        <v>1986</v>
      </c>
      <c r="I186" s="676">
        <v>1374.2</v>
      </c>
      <c r="J186" s="676">
        <v>2</v>
      </c>
      <c r="K186" s="677">
        <v>2748.4</v>
      </c>
    </row>
    <row r="187" spans="1:11" ht="14.4" customHeight="1" x14ac:dyDescent="0.3">
      <c r="A187" s="672" t="s">
        <v>478</v>
      </c>
      <c r="B187" s="673" t="s">
        <v>1446</v>
      </c>
      <c r="C187" s="674" t="s">
        <v>483</v>
      </c>
      <c r="D187" s="675" t="s">
        <v>484</v>
      </c>
      <c r="E187" s="674" t="s">
        <v>2087</v>
      </c>
      <c r="F187" s="675" t="s">
        <v>2088</v>
      </c>
      <c r="G187" s="674" t="s">
        <v>1987</v>
      </c>
      <c r="H187" s="674" t="s">
        <v>1988</v>
      </c>
      <c r="I187" s="676">
        <v>41.81</v>
      </c>
      <c r="J187" s="676">
        <v>36</v>
      </c>
      <c r="K187" s="677">
        <v>1505.12</v>
      </c>
    </row>
    <row r="188" spans="1:11" ht="14.4" customHeight="1" x14ac:dyDescent="0.3">
      <c r="A188" s="672" t="s">
        <v>478</v>
      </c>
      <c r="B188" s="673" t="s">
        <v>1446</v>
      </c>
      <c r="C188" s="674" t="s">
        <v>483</v>
      </c>
      <c r="D188" s="675" t="s">
        <v>484</v>
      </c>
      <c r="E188" s="674" t="s">
        <v>2087</v>
      </c>
      <c r="F188" s="675" t="s">
        <v>2088</v>
      </c>
      <c r="G188" s="674" t="s">
        <v>1989</v>
      </c>
      <c r="H188" s="674" t="s">
        <v>1990</v>
      </c>
      <c r="I188" s="676">
        <v>24.22</v>
      </c>
      <c r="J188" s="676">
        <v>36</v>
      </c>
      <c r="K188" s="677">
        <v>871.93</v>
      </c>
    </row>
    <row r="189" spans="1:11" ht="14.4" customHeight="1" x14ac:dyDescent="0.3">
      <c r="A189" s="672" t="s">
        <v>478</v>
      </c>
      <c r="B189" s="673" t="s">
        <v>1446</v>
      </c>
      <c r="C189" s="674" t="s">
        <v>483</v>
      </c>
      <c r="D189" s="675" t="s">
        <v>484</v>
      </c>
      <c r="E189" s="674" t="s">
        <v>2087</v>
      </c>
      <c r="F189" s="675" t="s">
        <v>2088</v>
      </c>
      <c r="G189" s="674" t="s">
        <v>1991</v>
      </c>
      <c r="H189" s="674" t="s">
        <v>1992</v>
      </c>
      <c r="I189" s="676">
        <v>45.03</v>
      </c>
      <c r="J189" s="676">
        <v>36</v>
      </c>
      <c r="K189" s="677">
        <v>1620.93</v>
      </c>
    </row>
    <row r="190" spans="1:11" ht="14.4" customHeight="1" x14ac:dyDescent="0.3">
      <c r="A190" s="672" t="s">
        <v>478</v>
      </c>
      <c r="B190" s="673" t="s">
        <v>1446</v>
      </c>
      <c r="C190" s="674" t="s">
        <v>483</v>
      </c>
      <c r="D190" s="675" t="s">
        <v>484</v>
      </c>
      <c r="E190" s="674" t="s">
        <v>2087</v>
      </c>
      <c r="F190" s="675" t="s">
        <v>2088</v>
      </c>
      <c r="G190" s="674" t="s">
        <v>1993</v>
      </c>
      <c r="H190" s="674" t="s">
        <v>1994</v>
      </c>
      <c r="I190" s="676">
        <v>33.6</v>
      </c>
      <c r="J190" s="676">
        <v>36</v>
      </c>
      <c r="K190" s="677">
        <v>1209.69</v>
      </c>
    </row>
    <row r="191" spans="1:11" ht="14.4" customHeight="1" x14ac:dyDescent="0.3">
      <c r="A191" s="672" t="s">
        <v>478</v>
      </c>
      <c r="B191" s="673" t="s">
        <v>1446</v>
      </c>
      <c r="C191" s="674" t="s">
        <v>483</v>
      </c>
      <c r="D191" s="675" t="s">
        <v>484</v>
      </c>
      <c r="E191" s="674" t="s">
        <v>2087</v>
      </c>
      <c r="F191" s="675" t="s">
        <v>2088</v>
      </c>
      <c r="G191" s="674" t="s">
        <v>1995</v>
      </c>
      <c r="H191" s="674" t="s">
        <v>1996</v>
      </c>
      <c r="I191" s="676">
        <v>35.299999999999997</v>
      </c>
      <c r="J191" s="676">
        <v>36</v>
      </c>
      <c r="K191" s="677">
        <v>1270.98</v>
      </c>
    </row>
    <row r="192" spans="1:11" ht="14.4" customHeight="1" x14ac:dyDescent="0.3">
      <c r="A192" s="672" t="s">
        <v>478</v>
      </c>
      <c r="B192" s="673" t="s">
        <v>1446</v>
      </c>
      <c r="C192" s="674" t="s">
        <v>483</v>
      </c>
      <c r="D192" s="675" t="s">
        <v>484</v>
      </c>
      <c r="E192" s="674" t="s">
        <v>2089</v>
      </c>
      <c r="F192" s="675" t="s">
        <v>2090</v>
      </c>
      <c r="G192" s="674" t="s">
        <v>1997</v>
      </c>
      <c r="H192" s="674" t="s">
        <v>1998</v>
      </c>
      <c r="I192" s="676">
        <v>0.3</v>
      </c>
      <c r="J192" s="676">
        <v>100</v>
      </c>
      <c r="K192" s="677">
        <v>30</v>
      </c>
    </row>
    <row r="193" spans="1:11" ht="14.4" customHeight="1" x14ac:dyDescent="0.3">
      <c r="A193" s="672" t="s">
        <v>478</v>
      </c>
      <c r="B193" s="673" t="s">
        <v>1446</v>
      </c>
      <c r="C193" s="674" t="s">
        <v>483</v>
      </c>
      <c r="D193" s="675" t="s">
        <v>484</v>
      </c>
      <c r="E193" s="674" t="s">
        <v>2089</v>
      </c>
      <c r="F193" s="675" t="s">
        <v>2090</v>
      </c>
      <c r="G193" s="674" t="s">
        <v>1999</v>
      </c>
      <c r="H193" s="674" t="s">
        <v>2000</v>
      </c>
      <c r="I193" s="676">
        <v>0.3</v>
      </c>
      <c r="J193" s="676">
        <v>200</v>
      </c>
      <c r="K193" s="677">
        <v>60</v>
      </c>
    </row>
    <row r="194" spans="1:11" ht="14.4" customHeight="1" x14ac:dyDescent="0.3">
      <c r="A194" s="672" t="s">
        <v>478</v>
      </c>
      <c r="B194" s="673" t="s">
        <v>1446</v>
      </c>
      <c r="C194" s="674" t="s">
        <v>483</v>
      </c>
      <c r="D194" s="675" t="s">
        <v>484</v>
      </c>
      <c r="E194" s="674" t="s">
        <v>2089</v>
      </c>
      <c r="F194" s="675" t="s">
        <v>2090</v>
      </c>
      <c r="G194" s="674" t="s">
        <v>2001</v>
      </c>
      <c r="H194" s="674" t="s">
        <v>2002</v>
      </c>
      <c r="I194" s="676">
        <v>0.30666666666666664</v>
      </c>
      <c r="J194" s="676">
        <v>3000</v>
      </c>
      <c r="K194" s="677">
        <v>920</v>
      </c>
    </row>
    <row r="195" spans="1:11" ht="14.4" customHeight="1" x14ac:dyDescent="0.3">
      <c r="A195" s="672" t="s">
        <v>478</v>
      </c>
      <c r="B195" s="673" t="s">
        <v>1446</v>
      </c>
      <c r="C195" s="674" t="s">
        <v>483</v>
      </c>
      <c r="D195" s="675" t="s">
        <v>484</v>
      </c>
      <c r="E195" s="674" t="s">
        <v>2089</v>
      </c>
      <c r="F195" s="675" t="s">
        <v>2090</v>
      </c>
      <c r="G195" s="674" t="s">
        <v>2003</v>
      </c>
      <c r="H195" s="674" t="s">
        <v>2004</v>
      </c>
      <c r="I195" s="676">
        <v>0.3</v>
      </c>
      <c r="J195" s="676">
        <v>100</v>
      </c>
      <c r="K195" s="677">
        <v>30</v>
      </c>
    </row>
    <row r="196" spans="1:11" ht="14.4" customHeight="1" x14ac:dyDescent="0.3">
      <c r="A196" s="672" t="s">
        <v>478</v>
      </c>
      <c r="B196" s="673" t="s">
        <v>1446</v>
      </c>
      <c r="C196" s="674" t="s">
        <v>483</v>
      </c>
      <c r="D196" s="675" t="s">
        <v>484</v>
      </c>
      <c r="E196" s="674" t="s">
        <v>2089</v>
      </c>
      <c r="F196" s="675" t="s">
        <v>2090</v>
      </c>
      <c r="G196" s="674" t="s">
        <v>2005</v>
      </c>
      <c r="H196" s="674" t="s">
        <v>2006</v>
      </c>
      <c r="I196" s="676">
        <v>0.68</v>
      </c>
      <c r="J196" s="676">
        <v>100</v>
      </c>
      <c r="K196" s="677">
        <v>68</v>
      </c>
    </row>
    <row r="197" spans="1:11" ht="14.4" customHeight="1" x14ac:dyDescent="0.3">
      <c r="A197" s="672" t="s">
        <v>478</v>
      </c>
      <c r="B197" s="673" t="s">
        <v>1446</v>
      </c>
      <c r="C197" s="674" t="s">
        <v>483</v>
      </c>
      <c r="D197" s="675" t="s">
        <v>484</v>
      </c>
      <c r="E197" s="674" t="s">
        <v>2089</v>
      </c>
      <c r="F197" s="675" t="s">
        <v>2090</v>
      </c>
      <c r="G197" s="674" t="s">
        <v>2007</v>
      </c>
      <c r="H197" s="674" t="s">
        <v>2008</v>
      </c>
      <c r="I197" s="676">
        <v>11.54</v>
      </c>
      <c r="J197" s="676">
        <v>10</v>
      </c>
      <c r="K197" s="677">
        <v>115.43</v>
      </c>
    </row>
    <row r="198" spans="1:11" ht="14.4" customHeight="1" x14ac:dyDescent="0.3">
      <c r="A198" s="672" t="s">
        <v>478</v>
      </c>
      <c r="B198" s="673" t="s">
        <v>1446</v>
      </c>
      <c r="C198" s="674" t="s">
        <v>483</v>
      </c>
      <c r="D198" s="675" t="s">
        <v>484</v>
      </c>
      <c r="E198" s="674" t="s">
        <v>2089</v>
      </c>
      <c r="F198" s="675" t="s">
        <v>2090</v>
      </c>
      <c r="G198" s="674" t="s">
        <v>2009</v>
      </c>
      <c r="H198" s="674" t="s">
        <v>2010</v>
      </c>
      <c r="I198" s="676">
        <v>0.49333333333333335</v>
      </c>
      <c r="J198" s="676">
        <v>10500</v>
      </c>
      <c r="K198" s="677">
        <v>5230</v>
      </c>
    </row>
    <row r="199" spans="1:11" ht="14.4" customHeight="1" x14ac:dyDescent="0.3">
      <c r="A199" s="672" t="s">
        <v>478</v>
      </c>
      <c r="B199" s="673" t="s">
        <v>1446</v>
      </c>
      <c r="C199" s="674" t="s">
        <v>483</v>
      </c>
      <c r="D199" s="675" t="s">
        <v>484</v>
      </c>
      <c r="E199" s="674" t="s">
        <v>2091</v>
      </c>
      <c r="F199" s="675" t="s">
        <v>2092</v>
      </c>
      <c r="G199" s="674" t="s">
        <v>2011</v>
      </c>
      <c r="H199" s="674" t="s">
        <v>2012</v>
      </c>
      <c r="I199" s="676">
        <v>0.68833333333333335</v>
      </c>
      <c r="J199" s="676">
        <v>66000</v>
      </c>
      <c r="K199" s="677">
        <v>45500</v>
      </c>
    </row>
    <row r="200" spans="1:11" ht="14.4" customHeight="1" x14ac:dyDescent="0.3">
      <c r="A200" s="672" t="s">
        <v>478</v>
      </c>
      <c r="B200" s="673" t="s">
        <v>1446</v>
      </c>
      <c r="C200" s="674" t="s">
        <v>483</v>
      </c>
      <c r="D200" s="675" t="s">
        <v>484</v>
      </c>
      <c r="E200" s="674" t="s">
        <v>2091</v>
      </c>
      <c r="F200" s="675" t="s">
        <v>2092</v>
      </c>
      <c r="G200" s="674" t="s">
        <v>2013</v>
      </c>
      <c r="H200" s="674" t="s">
        <v>2014</v>
      </c>
      <c r="I200" s="676">
        <v>0.69</v>
      </c>
      <c r="J200" s="676">
        <v>360</v>
      </c>
      <c r="K200" s="677">
        <v>248.4</v>
      </c>
    </row>
    <row r="201" spans="1:11" ht="14.4" customHeight="1" x14ac:dyDescent="0.3">
      <c r="A201" s="672" t="s">
        <v>478</v>
      </c>
      <c r="B201" s="673" t="s">
        <v>1446</v>
      </c>
      <c r="C201" s="674" t="s">
        <v>483</v>
      </c>
      <c r="D201" s="675" t="s">
        <v>484</v>
      </c>
      <c r="E201" s="674" t="s">
        <v>2091</v>
      </c>
      <c r="F201" s="675" t="s">
        <v>2092</v>
      </c>
      <c r="G201" s="674" t="s">
        <v>2015</v>
      </c>
      <c r="H201" s="674" t="s">
        <v>2016</v>
      </c>
      <c r="I201" s="676">
        <v>0.6875</v>
      </c>
      <c r="J201" s="676">
        <v>5200</v>
      </c>
      <c r="K201" s="677">
        <v>3568</v>
      </c>
    </row>
    <row r="202" spans="1:11" ht="14.4" customHeight="1" x14ac:dyDescent="0.3">
      <c r="A202" s="672" t="s">
        <v>478</v>
      </c>
      <c r="B202" s="673" t="s">
        <v>1446</v>
      </c>
      <c r="C202" s="674" t="s">
        <v>483</v>
      </c>
      <c r="D202" s="675" t="s">
        <v>484</v>
      </c>
      <c r="E202" s="674" t="s">
        <v>2091</v>
      </c>
      <c r="F202" s="675" t="s">
        <v>2092</v>
      </c>
      <c r="G202" s="674" t="s">
        <v>2017</v>
      </c>
      <c r="H202" s="674" t="s">
        <v>2018</v>
      </c>
      <c r="I202" s="676">
        <v>11.966666666666669</v>
      </c>
      <c r="J202" s="676">
        <v>150</v>
      </c>
      <c r="K202" s="677">
        <v>1795</v>
      </c>
    </row>
    <row r="203" spans="1:11" ht="14.4" customHeight="1" x14ac:dyDescent="0.3">
      <c r="A203" s="672" t="s">
        <v>478</v>
      </c>
      <c r="B203" s="673" t="s">
        <v>1446</v>
      </c>
      <c r="C203" s="674" t="s">
        <v>483</v>
      </c>
      <c r="D203" s="675" t="s">
        <v>484</v>
      </c>
      <c r="E203" s="674" t="s">
        <v>2091</v>
      </c>
      <c r="F203" s="675" t="s">
        <v>2092</v>
      </c>
      <c r="G203" s="674" t="s">
        <v>2019</v>
      </c>
      <c r="H203" s="674" t="s">
        <v>2020</v>
      </c>
      <c r="I203" s="676">
        <v>9.44</v>
      </c>
      <c r="J203" s="676">
        <v>50</v>
      </c>
      <c r="K203" s="677">
        <v>472</v>
      </c>
    </row>
    <row r="204" spans="1:11" ht="14.4" customHeight="1" x14ac:dyDescent="0.3">
      <c r="A204" s="672" t="s">
        <v>478</v>
      </c>
      <c r="B204" s="673" t="s">
        <v>1446</v>
      </c>
      <c r="C204" s="674" t="s">
        <v>483</v>
      </c>
      <c r="D204" s="675" t="s">
        <v>484</v>
      </c>
      <c r="E204" s="674" t="s">
        <v>2091</v>
      </c>
      <c r="F204" s="675" t="s">
        <v>2092</v>
      </c>
      <c r="G204" s="674" t="s">
        <v>2021</v>
      </c>
      <c r="H204" s="674" t="s">
        <v>2022</v>
      </c>
      <c r="I204" s="676">
        <v>12.56</v>
      </c>
      <c r="J204" s="676">
        <v>100</v>
      </c>
      <c r="K204" s="677">
        <v>1256</v>
      </c>
    </row>
    <row r="205" spans="1:11" ht="14.4" customHeight="1" x14ac:dyDescent="0.3">
      <c r="A205" s="672" t="s">
        <v>478</v>
      </c>
      <c r="B205" s="673" t="s">
        <v>1446</v>
      </c>
      <c r="C205" s="674" t="s">
        <v>483</v>
      </c>
      <c r="D205" s="675" t="s">
        <v>484</v>
      </c>
      <c r="E205" s="674" t="s">
        <v>2091</v>
      </c>
      <c r="F205" s="675" t="s">
        <v>2092</v>
      </c>
      <c r="G205" s="674" t="s">
        <v>2023</v>
      </c>
      <c r="H205" s="674" t="s">
        <v>2024</v>
      </c>
      <c r="I205" s="676">
        <v>9.44</v>
      </c>
      <c r="J205" s="676">
        <v>50</v>
      </c>
      <c r="K205" s="677">
        <v>472</v>
      </c>
    </row>
    <row r="206" spans="1:11" ht="14.4" customHeight="1" x14ac:dyDescent="0.3">
      <c r="A206" s="672" t="s">
        <v>478</v>
      </c>
      <c r="B206" s="673" t="s">
        <v>1446</v>
      </c>
      <c r="C206" s="674" t="s">
        <v>483</v>
      </c>
      <c r="D206" s="675" t="s">
        <v>484</v>
      </c>
      <c r="E206" s="674" t="s">
        <v>2091</v>
      </c>
      <c r="F206" s="675" t="s">
        <v>2092</v>
      </c>
      <c r="G206" s="674" t="s">
        <v>2025</v>
      </c>
      <c r="H206" s="674" t="s">
        <v>2026</v>
      </c>
      <c r="I206" s="676">
        <v>20.16</v>
      </c>
      <c r="J206" s="676">
        <v>100</v>
      </c>
      <c r="K206" s="677">
        <v>2015.86</v>
      </c>
    </row>
    <row r="207" spans="1:11" ht="14.4" customHeight="1" x14ac:dyDescent="0.3">
      <c r="A207" s="672" t="s">
        <v>478</v>
      </c>
      <c r="B207" s="673" t="s">
        <v>1446</v>
      </c>
      <c r="C207" s="674" t="s">
        <v>483</v>
      </c>
      <c r="D207" s="675" t="s">
        <v>484</v>
      </c>
      <c r="E207" s="674" t="s">
        <v>2093</v>
      </c>
      <c r="F207" s="675" t="s">
        <v>2094</v>
      </c>
      <c r="G207" s="674" t="s">
        <v>2027</v>
      </c>
      <c r="H207" s="674" t="s">
        <v>2028</v>
      </c>
      <c r="I207" s="676">
        <v>139.44</v>
      </c>
      <c r="J207" s="676">
        <v>20</v>
      </c>
      <c r="K207" s="677">
        <v>2788.76</v>
      </c>
    </row>
    <row r="208" spans="1:11" ht="14.4" customHeight="1" x14ac:dyDescent="0.3">
      <c r="A208" s="672" t="s">
        <v>478</v>
      </c>
      <c r="B208" s="673" t="s">
        <v>1446</v>
      </c>
      <c r="C208" s="674" t="s">
        <v>483</v>
      </c>
      <c r="D208" s="675" t="s">
        <v>484</v>
      </c>
      <c r="E208" s="674" t="s">
        <v>2093</v>
      </c>
      <c r="F208" s="675" t="s">
        <v>2094</v>
      </c>
      <c r="G208" s="674" t="s">
        <v>2029</v>
      </c>
      <c r="H208" s="674" t="s">
        <v>2030</v>
      </c>
      <c r="I208" s="676">
        <v>139.44</v>
      </c>
      <c r="J208" s="676">
        <v>20</v>
      </c>
      <c r="K208" s="677">
        <v>2788.76</v>
      </c>
    </row>
    <row r="209" spans="1:11" ht="14.4" customHeight="1" x14ac:dyDescent="0.3">
      <c r="A209" s="672" t="s">
        <v>478</v>
      </c>
      <c r="B209" s="673" t="s">
        <v>1446</v>
      </c>
      <c r="C209" s="674" t="s">
        <v>483</v>
      </c>
      <c r="D209" s="675" t="s">
        <v>484</v>
      </c>
      <c r="E209" s="674" t="s">
        <v>2093</v>
      </c>
      <c r="F209" s="675" t="s">
        <v>2094</v>
      </c>
      <c r="G209" s="674" t="s">
        <v>2031</v>
      </c>
      <c r="H209" s="674" t="s">
        <v>2032</v>
      </c>
      <c r="I209" s="676">
        <v>121</v>
      </c>
      <c r="J209" s="676">
        <v>2</v>
      </c>
      <c r="K209" s="677">
        <v>242</v>
      </c>
    </row>
    <row r="210" spans="1:11" ht="14.4" customHeight="1" x14ac:dyDescent="0.3">
      <c r="A210" s="672" t="s">
        <v>478</v>
      </c>
      <c r="B210" s="673" t="s">
        <v>1446</v>
      </c>
      <c r="C210" s="674" t="s">
        <v>483</v>
      </c>
      <c r="D210" s="675" t="s">
        <v>484</v>
      </c>
      <c r="E210" s="674" t="s">
        <v>2093</v>
      </c>
      <c r="F210" s="675" t="s">
        <v>2094</v>
      </c>
      <c r="G210" s="674" t="s">
        <v>2033</v>
      </c>
      <c r="H210" s="674" t="s">
        <v>2034</v>
      </c>
      <c r="I210" s="676">
        <v>152.46</v>
      </c>
      <c r="J210" s="676">
        <v>10</v>
      </c>
      <c r="K210" s="677">
        <v>1524.6</v>
      </c>
    </row>
    <row r="211" spans="1:11" ht="14.4" customHeight="1" x14ac:dyDescent="0.3">
      <c r="A211" s="672" t="s">
        <v>478</v>
      </c>
      <c r="B211" s="673" t="s">
        <v>1446</v>
      </c>
      <c r="C211" s="674" t="s">
        <v>483</v>
      </c>
      <c r="D211" s="675" t="s">
        <v>484</v>
      </c>
      <c r="E211" s="674" t="s">
        <v>2093</v>
      </c>
      <c r="F211" s="675" t="s">
        <v>2094</v>
      </c>
      <c r="G211" s="674" t="s">
        <v>2035</v>
      </c>
      <c r="H211" s="674" t="s">
        <v>2036</v>
      </c>
      <c r="I211" s="676">
        <v>5445</v>
      </c>
      <c r="J211" s="676">
        <v>1</v>
      </c>
      <c r="K211" s="677">
        <v>5445</v>
      </c>
    </row>
    <row r="212" spans="1:11" ht="14.4" customHeight="1" x14ac:dyDescent="0.3">
      <c r="A212" s="672" t="s">
        <v>478</v>
      </c>
      <c r="B212" s="673" t="s">
        <v>1446</v>
      </c>
      <c r="C212" s="674" t="s">
        <v>483</v>
      </c>
      <c r="D212" s="675" t="s">
        <v>484</v>
      </c>
      <c r="E212" s="674" t="s">
        <v>2093</v>
      </c>
      <c r="F212" s="675" t="s">
        <v>2094</v>
      </c>
      <c r="G212" s="674" t="s">
        <v>2037</v>
      </c>
      <c r="H212" s="674" t="s">
        <v>2038</v>
      </c>
      <c r="I212" s="676">
        <v>3035.31</v>
      </c>
      <c r="J212" s="676">
        <v>2</v>
      </c>
      <c r="K212" s="677">
        <v>6070.62</v>
      </c>
    </row>
    <row r="213" spans="1:11" ht="14.4" customHeight="1" x14ac:dyDescent="0.3">
      <c r="A213" s="672" t="s">
        <v>478</v>
      </c>
      <c r="B213" s="673" t="s">
        <v>1446</v>
      </c>
      <c r="C213" s="674" t="s">
        <v>483</v>
      </c>
      <c r="D213" s="675" t="s">
        <v>484</v>
      </c>
      <c r="E213" s="674" t="s">
        <v>2093</v>
      </c>
      <c r="F213" s="675" t="s">
        <v>2094</v>
      </c>
      <c r="G213" s="674" t="s">
        <v>2039</v>
      </c>
      <c r="H213" s="674" t="s">
        <v>2040</v>
      </c>
      <c r="I213" s="676">
        <v>2722.5</v>
      </c>
      <c r="J213" s="676">
        <v>10</v>
      </c>
      <c r="K213" s="677">
        <v>27225</v>
      </c>
    </row>
    <row r="214" spans="1:11" ht="14.4" customHeight="1" x14ac:dyDescent="0.3">
      <c r="A214" s="672" t="s">
        <v>478</v>
      </c>
      <c r="B214" s="673" t="s">
        <v>1446</v>
      </c>
      <c r="C214" s="674" t="s">
        <v>483</v>
      </c>
      <c r="D214" s="675" t="s">
        <v>484</v>
      </c>
      <c r="E214" s="674" t="s">
        <v>2093</v>
      </c>
      <c r="F214" s="675" t="s">
        <v>2094</v>
      </c>
      <c r="G214" s="674" t="s">
        <v>2041</v>
      </c>
      <c r="H214" s="674" t="s">
        <v>2042</v>
      </c>
      <c r="I214" s="676">
        <v>5445</v>
      </c>
      <c r="J214" s="676">
        <v>1</v>
      </c>
      <c r="K214" s="677">
        <v>5445</v>
      </c>
    </row>
    <row r="215" spans="1:11" ht="14.4" customHeight="1" x14ac:dyDescent="0.3">
      <c r="A215" s="672" t="s">
        <v>478</v>
      </c>
      <c r="B215" s="673" t="s">
        <v>1446</v>
      </c>
      <c r="C215" s="674" t="s">
        <v>483</v>
      </c>
      <c r="D215" s="675" t="s">
        <v>484</v>
      </c>
      <c r="E215" s="674" t="s">
        <v>2093</v>
      </c>
      <c r="F215" s="675" t="s">
        <v>2094</v>
      </c>
      <c r="G215" s="674" t="s">
        <v>2043</v>
      </c>
      <c r="H215" s="674" t="s">
        <v>2044</v>
      </c>
      <c r="I215" s="676">
        <v>5445</v>
      </c>
      <c r="J215" s="676">
        <v>1</v>
      </c>
      <c r="K215" s="677">
        <v>5445</v>
      </c>
    </row>
    <row r="216" spans="1:11" ht="14.4" customHeight="1" x14ac:dyDescent="0.3">
      <c r="A216" s="672" t="s">
        <v>478</v>
      </c>
      <c r="B216" s="673" t="s">
        <v>1446</v>
      </c>
      <c r="C216" s="674" t="s">
        <v>483</v>
      </c>
      <c r="D216" s="675" t="s">
        <v>484</v>
      </c>
      <c r="E216" s="674" t="s">
        <v>2093</v>
      </c>
      <c r="F216" s="675" t="s">
        <v>2094</v>
      </c>
      <c r="G216" s="674" t="s">
        <v>2045</v>
      </c>
      <c r="H216" s="674" t="s">
        <v>2046</v>
      </c>
      <c r="I216" s="676">
        <v>2277.85</v>
      </c>
      <c r="J216" s="676">
        <v>1</v>
      </c>
      <c r="K216" s="677">
        <v>2277.85</v>
      </c>
    </row>
    <row r="217" spans="1:11" ht="14.4" customHeight="1" x14ac:dyDescent="0.3">
      <c r="A217" s="672" t="s">
        <v>478</v>
      </c>
      <c r="B217" s="673" t="s">
        <v>1446</v>
      </c>
      <c r="C217" s="674" t="s">
        <v>483</v>
      </c>
      <c r="D217" s="675" t="s">
        <v>484</v>
      </c>
      <c r="E217" s="674" t="s">
        <v>2093</v>
      </c>
      <c r="F217" s="675" t="s">
        <v>2094</v>
      </c>
      <c r="G217" s="674" t="s">
        <v>2047</v>
      </c>
      <c r="H217" s="674" t="s">
        <v>2048</v>
      </c>
      <c r="I217" s="676">
        <v>3130.75</v>
      </c>
      <c r="J217" s="676">
        <v>1</v>
      </c>
      <c r="K217" s="677">
        <v>3130.75</v>
      </c>
    </row>
    <row r="218" spans="1:11" ht="14.4" customHeight="1" x14ac:dyDescent="0.3">
      <c r="A218" s="672" t="s">
        <v>478</v>
      </c>
      <c r="B218" s="673" t="s">
        <v>1446</v>
      </c>
      <c r="C218" s="674" t="s">
        <v>483</v>
      </c>
      <c r="D218" s="675" t="s">
        <v>484</v>
      </c>
      <c r="E218" s="674" t="s">
        <v>2093</v>
      </c>
      <c r="F218" s="675" t="s">
        <v>2094</v>
      </c>
      <c r="G218" s="674" t="s">
        <v>2049</v>
      </c>
      <c r="H218" s="674" t="s">
        <v>2050</v>
      </c>
      <c r="I218" s="676">
        <v>2277.85</v>
      </c>
      <c r="J218" s="676">
        <v>1</v>
      </c>
      <c r="K218" s="677">
        <v>2277.85</v>
      </c>
    </row>
    <row r="219" spans="1:11" ht="14.4" customHeight="1" x14ac:dyDescent="0.3">
      <c r="A219" s="672" t="s">
        <v>478</v>
      </c>
      <c r="B219" s="673" t="s">
        <v>1446</v>
      </c>
      <c r="C219" s="674" t="s">
        <v>483</v>
      </c>
      <c r="D219" s="675" t="s">
        <v>484</v>
      </c>
      <c r="E219" s="674" t="s">
        <v>2093</v>
      </c>
      <c r="F219" s="675" t="s">
        <v>2094</v>
      </c>
      <c r="G219" s="674" t="s">
        <v>2051</v>
      </c>
      <c r="H219" s="674" t="s">
        <v>2052</v>
      </c>
      <c r="I219" s="676">
        <v>3035.31</v>
      </c>
      <c r="J219" s="676">
        <v>2</v>
      </c>
      <c r="K219" s="677">
        <v>6070.62</v>
      </c>
    </row>
    <row r="220" spans="1:11" ht="14.4" customHeight="1" x14ac:dyDescent="0.3">
      <c r="A220" s="672" t="s">
        <v>478</v>
      </c>
      <c r="B220" s="673" t="s">
        <v>1446</v>
      </c>
      <c r="C220" s="674" t="s">
        <v>483</v>
      </c>
      <c r="D220" s="675" t="s">
        <v>484</v>
      </c>
      <c r="E220" s="674" t="s">
        <v>2093</v>
      </c>
      <c r="F220" s="675" t="s">
        <v>2094</v>
      </c>
      <c r="G220" s="674" t="s">
        <v>2053</v>
      </c>
      <c r="H220" s="674" t="s">
        <v>2054</v>
      </c>
      <c r="I220" s="676">
        <v>213.35</v>
      </c>
      <c r="J220" s="676">
        <v>11</v>
      </c>
      <c r="K220" s="677">
        <v>2346.8199999999997</v>
      </c>
    </row>
    <row r="221" spans="1:11" ht="14.4" customHeight="1" x14ac:dyDescent="0.3">
      <c r="A221" s="672" t="s">
        <v>478</v>
      </c>
      <c r="B221" s="673" t="s">
        <v>1446</v>
      </c>
      <c r="C221" s="674" t="s">
        <v>483</v>
      </c>
      <c r="D221" s="675" t="s">
        <v>484</v>
      </c>
      <c r="E221" s="674" t="s">
        <v>2093</v>
      </c>
      <c r="F221" s="675" t="s">
        <v>2094</v>
      </c>
      <c r="G221" s="674" t="s">
        <v>2055</v>
      </c>
      <c r="H221" s="674" t="s">
        <v>2056</v>
      </c>
      <c r="I221" s="676">
        <v>9228.18</v>
      </c>
      <c r="J221" s="676">
        <v>1</v>
      </c>
      <c r="K221" s="677">
        <v>9228.18</v>
      </c>
    </row>
    <row r="222" spans="1:11" ht="14.4" customHeight="1" x14ac:dyDescent="0.3">
      <c r="A222" s="672" t="s">
        <v>478</v>
      </c>
      <c r="B222" s="673" t="s">
        <v>1446</v>
      </c>
      <c r="C222" s="674" t="s">
        <v>483</v>
      </c>
      <c r="D222" s="675" t="s">
        <v>484</v>
      </c>
      <c r="E222" s="674" t="s">
        <v>2093</v>
      </c>
      <c r="F222" s="675" t="s">
        <v>2094</v>
      </c>
      <c r="G222" s="674" t="s">
        <v>2057</v>
      </c>
      <c r="H222" s="674" t="s">
        <v>2058</v>
      </c>
      <c r="I222" s="676">
        <v>34606</v>
      </c>
      <c r="J222" s="676">
        <v>1</v>
      </c>
      <c r="K222" s="677">
        <v>34606</v>
      </c>
    </row>
    <row r="223" spans="1:11" ht="14.4" customHeight="1" x14ac:dyDescent="0.3">
      <c r="A223" s="672" t="s">
        <v>478</v>
      </c>
      <c r="B223" s="673" t="s">
        <v>1446</v>
      </c>
      <c r="C223" s="674" t="s">
        <v>483</v>
      </c>
      <c r="D223" s="675" t="s">
        <v>484</v>
      </c>
      <c r="E223" s="674" t="s">
        <v>2093</v>
      </c>
      <c r="F223" s="675" t="s">
        <v>2094</v>
      </c>
      <c r="G223" s="674" t="s">
        <v>2059</v>
      </c>
      <c r="H223" s="674" t="s">
        <v>2060</v>
      </c>
      <c r="I223" s="676">
        <v>147.18</v>
      </c>
      <c r="J223" s="676">
        <v>40</v>
      </c>
      <c r="K223" s="677">
        <v>5887.29</v>
      </c>
    </row>
    <row r="224" spans="1:11" ht="14.4" customHeight="1" x14ac:dyDescent="0.3">
      <c r="A224" s="672" t="s">
        <v>478</v>
      </c>
      <c r="B224" s="673" t="s">
        <v>1446</v>
      </c>
      <c r="C224" s="674" t="s">
        <v>483</v>
      </c>
      <c r="D224" s="675" t="s">
        <v>484</v>
      </c>
      <c r="E224" s="674" t="s">
        <v>2093</v>
      </c>
      <c r="F224" s="675" t="s">
        <v>2094</v>
      </c>
      <c r="G224" s="674" t="s">
        <v>2061</v>
      </c>
      <c r="H224" s="674" t="s">
        <v>2062</v>
      </c>
      <c r="I224" s="676">
        <v>147.18</v>
      </c>
      <c r="J224" s="676">
        <v>40</v>
      </c>
      <c r="K224" s="677">
        <v>5887.29</v>
      </c>
    </row>
    <row r="225" spans="1:11" ht="14.4" customHeight="1" x14ac:dyDescent="0.3">
      <c r="A225" s="672" t="s">
        <v>478</v>
      </c>
      <c r="B225" s="673" t="s">
        <v>1446</v>
      </c>
      <c r="C225" s="674" t="s">
        <v>483</v>
      </c>
      <c r="D225" s="675" t="s">
        <v>484</v>
      </c>
      <c r="E225" s="674" t="s">
        <v>2095</v>
      </c>
      <c r="F225" s="675" t="s">
        <v>2096</v>
      </c>
      <c r="G225" s="674" t="s">
        <v>2063</v>
      </c>
      <c r="H225" s="674" t="s">
        <v>2064</v>
      </c>
      <c r="I225" s="676">
        <v>15.21</v>
      </c>
      <c r="J225" s="676">
        <v>100</v>
      </c>
      <c r="K225" s="677">
        <v>1520.9099999999999</v>
      </c>
    </row>
    <row r="226" spans="1:11" ht="14.4" customHeight="1" x14ac:dyDescent="0.3">
      <c r="A226" s="672" t="s">
        <v>478</v>
      </c>
      <c r="B226" s="673" t="s">
        <v>1446</v>
      </c>
      <c r="C226" s="674" t="s">
        <v>483</v>
      </c>
      <c r="D226" s="675" t="s">
        <v>484</v>
      </c>
      <c r="E226" s="674" t="s">
        <v>2095</v>
      </c>
      <c r="F226" s="675" t="s">
        <v>2096</v>
      </c>
      <c r="G226" s="674" t="s">
        <v>2065</v>
      </c>
      <c r="H226" s="674" t="s">
        <v>2066</v>
      </c>
      <c r="I226" s="676">
        <v>23.477500000000003</v>
      </c>
      <c r="J226" s="676">
        <v>120</v>
      </c>
      <c r="K226" s="677">
        <v>2817.3</v>
      </c>
    </row>
    <row r="227" spans="1:11" ht="14.4" customHeight="1" x14ac:dyDescent="0.3">
      <c r="A227" s="672" t="s">
        <v>478</v>
      </c>
      <c r="B227" s="673" t="s">
        <v>1446</v>
      </c>
      <c r="C227" s="674" t="s">
        <v>483</v>
      </c>
      <c r="D227" s="675" t="s">
        <v>484</v>
      </c>
      <c r="E227" s="674" t="s">
        <v>2095</v>
      </c>
      <c r="F227" s="675" t="s">
        <v>2096</v>
      </c>
      <c r="G227" s="674" t="s">
        <v>2067</v>
      </c>
      <c r="H227" s="674" t="s">
        <v>2068</v>
      </c>
      <c r="I227" s="676">
        <v>220.22</v>
      </c>
      <c r="J227" s="676">
        <v>60</v>
      </c>
      <c r="K227" s="677">
        <v>13213.199999999999</v>
      </c>
    </row>
    <row r="228" spans="1:11" ht="14.4" customHeight="1" x14ac:dyDescent="0.3">
      <c r="A228" s="672" t="s">
        <v>478</v>
      </c>
      <c r="B228" s="673" t="s">
        <v>1446</v>
      </c>
      <c r="C228" s="674" t="s">
        <v>483</v>
      </c>
      <c r="D228" s="675" t="s">
        <v>484</v>
      </c>
      <c r="E228" s="674" t="s">
        <v>2095</v>
      </c>
      <c r="F228" s="675" t="s">
        <v>2096</v>
      </c>
      <c r="G228" s="674" t="s">
        <v>2069</v>
      </c>
      <c r="H228" s="674" t="s">
        <v>2070</v>
      </c>
      <c r="I228" s="676">
        <v>440.44</v>
      </c>
      <c r="J228" s="676">
        <v>30</v>
      </c>
      <c r="K228" s="677">
        <v>13213.199999999999</v>
      </c>
    </row>
    <row r="229" spans="1:11" ht="14.4" customHeight="1" x14ac:dyDescent="0.3">
      <c r="A229" s="672" t="s">
        <v>478</v>
      </c>
      <c r="B229" s="673" t="s">
        <v>1446</v>
      </c>
      <c r="C229" s="674" t="s">
        <v>483</v>
      </c>
      <c r="D229" s="675" t="s">
        <v>484</v>
      </c>
      <c r="E229" s="674" t="s">
        <v>2095</v>
      </c>
      <c r="F229" s="675" t="s">
        <v>2096</v>
      </c>
      <c r="G229" s="674" t="s">
        <v>2071</v>
      </c>
      <c r="H229" s="674" t="s">
        <v>2072</v>
      </c>
      <c r="I229" s="676">
        <v>50.6</v>
      </c>
      <c r="J229" s="676">
        <v>300</v>
      </c>
      <c r="K229" s="677">
        <v>15180.66</v>
      </c>
    </row>
    <row r="230" spans="1:11" ht="14.4" customHeight="1" thickBot="1" x14ac:dyDescent="0.35">
      <c r="A230" s="678" t="s">
        <v>478</v>
      </c>
      <c r="B230" s="679" t="s">
        <v>1446</v>
      </c>
      <c r="C230" s="680" t="s">
        <v>483</v>
      </c>
      <c r="D230" s="681" t="s">
        <v>484</v>
      </c>
      <c r="E230" s="680" t="s">
        <v>2095</v>
      </c>
      <c r="F230" s="681" t="s">
        <v>2096</v>
      </c>
      <c r="G230" s="680" t="s">
        <v>2073</v>
      </c>
      <c r="H230" s="680" t="s">
        <v>2074</v>
      </c>
      <c r="I230" s="682">
        <v>19.966666666666665</v>
      </c>
      <c r="J230" s="682">
        <v>250</v>
      </c>
      <c r="K230" s="683">
        <v>4991.5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1" ht="18.600000000000001" thickBot="1" x14ac:dyDescent="0.4">
      <c r="A1" s="551" t="s">
        <v>117</v>
      </c>
      <c r="B1" s="551"/>
      <c r="C1" s="489"/>
      <c r="D1" s="489"/>
      <c r="E1" s="489"/>
      <c r="F1" s="489"/>
      <c r="G1" s="489"/>
      <c r="H1" s="489"/>
      <c r="I1" s="489"/>
      <c r="J1" s="489"/>
      <c r="K1" s="450"/>
    </row>
    <row r="2" spans="1:11" ht="15" thickBot="1" x14ac:dyDescent="0.35">
      <c r="A2" s="351" t="s">
        <v>288</v>
      </c>
      <c r="B2" s="352"/>
      <c r="C2" s="352"/>
      <c r="D2" s="352"/>
      <c r="E2" s="352"/>
      <c r="F2" s="352"/>
      <c r="G2" s="352"/>
      <c r="H2" s="352"/>
      <c r="I2" s="352"/>
      <c r="K2" s="450"/>
    </row>
    <row r="3" spans="1:11" x14ac:dyDescent="0.3">
      <c r="A3" s="368" t="s">
        <v>215</v>
      </c>
      <c r="B3" s="549" t="s">
        <v>199</v>
      </c>
      <c r="C3" s="353">
        <v>30</v>
      </c>
      <c r="D3" s="371">
        <v>100</v>
      </c>
      <c r="E3" s="371">
        <v>101</v>
      </c>
      <c r="F3" s="371">
        <v>303</v>
      </c>
      <c r="G3" s="371">
        <v>304</v>
      </c>
      <c r="H3" s="371">
        <v>305</v>
      </c>
      <c r="I3" s="353">
        <v>636</v>
      </c>
      <c r="J3" s="353">
        <v>642</v>
      </c>
      <c r="K3" s="450"/>
    </row>
    <row r="4" spans="1:11" ht="24.6" outlineLevel="1" thickBot="1" x14ac:dyDescent="0.35">
      <c r="A4" s="369">
        <v>2017</v>
      </c>
      <c r="B4" s="550"/>
      <c r="C4" s="354" t="s">
        <v>217</v>
      </c>
      <c r="D4" s="372" t="s">
        <v>238</v>
      </c>
      <c r="E4" s="372" t="s">
        <v>239</v>
      </c>
      <c r="F4" s="372" t="s">
        <v>240</v>
      </c>
      <c r="G4" s="372" t="s">
        <v>241</v>
      </c>
      <c r="H4" s="372" t="s">
        <v>242</v>
      </c>
      <c r="I4" s="354" t="s">
        <v>222</v>
      </c>
      <c r="J4" s="354" t="s">
        <v>223</v>
      </c>
      <c r="K4" s="450"/>
    </row>
    <row r="5" spans="1:11" x14ac:dyDescent="0.3">
      <c r="A5" s="355" t="s">
        <v>200</v>
      </c>
      <c r="B5" s="383"/>
      <c r="C5" s="384"/>
      <c r="D5" s="384"/>
      <c r="E5" s="384"/>
      <c r="F5" s="384"/>
      <c r="G5" s="384"/>
      <c r="H5" s="384"/>
      <c r="I5" s="384"/>
      <c r="J5" s="384"/>
      <c r="K5" s="450"/>
    </row>
    <row r="6" spans="1:11" ht="15" collapsed="1" thickBot="1" x14ac:dyDescent="0.35">
      <c r="A6" s="356" t="s">
        <v>81</v>
      </c>
      <c r="B6" s="385">
        <f xml:space="preserve">
TRUNC(IF($A$4&lt;=12,SUMIFS('ON Data'!F:F,'ON Data'!$D:$D,$A$4,'ON Data'!$E:$E,1),SUMIFS('ON Data'!F:F,'ON Data'!$E:$E,1)/'ON Data'!$D$3),1)</f>
        <v>59.8</v>
      </c>
      <c r="C6" s="386">
        <f xml:space="preserve">
TRUNC(IF($A$4&lt;=12,SUMIFS('ON Data'!I:I,'ON Data'!$D:$D,$A$4,'ON Data'!$E:$E,1),SUMIFS('ON Data'!I:I,'ON Data'!$E:$E,1)/'ON Data'!$D$3),1)</f>
        <v>1</v>
      </c>
      <c r="D6" s="386">
        <f xml:space="preserve">
TRUNC(IF($A$4&lt;=12,SUMIFS('ON Data'!K:K,'ON Data'!$D:$D,$A$4,'ON Data'!$E:$E,1),SUMIFS('ON Data'!K:K,'ON Data'!$E:$E,1)/'ON Data'!$D$3),1)</f>
        <v>1</v>
      </c>
      <c r="E6" s="386">
        <f xml:space="preserve">
TRUNC(IF($A$4&lt;=12,SUMIFS('ON Data'!L:L,'ON Data'!$D:$D,$A$4,'ON Data'!$E:$E,1),SUMIFS('ON Data'!L:L,'ON Data'!$E:$E,1)/'ON Data'!$D$3),1)</f>
        <v>7.3</v>
      </c>
      <c r="F6" s="386">
        <f xml:space="preserve">
TRUNC(IF($A$4&lt;=12,SUMIFS('ON Data'!Q:Q,'ON Data'!$D:$D,$A$4,'ON Data'!$E:$E,1),SUMIFS('ON Data'!Q:Q,'ON Data'!$E:$E,1)/'ON Data'!$D$3),1)</f>
        <v>18.5</v>
      </c>
      <c r="G6" s="386">
        <f xml:space="preserve">
TRUNC(IF($A$4&lt;=12,SUMIFS('ON Data'!R:R,'ON Data'!$D:$D,$A$4,'ON Data'!$E:$E,1),SUMIFS('ON Data'!R:R,'ON Data'!$E:$E,1)/'ON Data'!$D$3),1)</f>
        <v>18.3</v>
      </c>
      <c r="H6" s="386">
        <f xml:space="preserve">
TRUNC(IF($A$4&lt;=12,SUMIFS('ON Data'!S:S,'ON Data'!$D:$D,$A$4,'ON Data'!$E:$E,1),SUMIFS('ON Data'!S:S,'ON Data'!$E:$E,1)/'ON Data'!$D$3),1)</f>
        <v>7.5</v>
      </c>
      <c r="I6" s="386">
        <f xml:space="preserve">
TRUNC(IF($A$4&lt;=12,SUMIFS('ON Data'!AQ:AQ,'ON Data'!$D:$D,$A$4,'ON Data'!$E:$E,1),SUMIFS('ON Data'!AQ:AQ,'ON Data'!$E:$E,1)/'ON Data'!$D$3),1)</f>
        <v>3</v>
      </c>
      <c r="J6" s="386">
        <f xml:space="preserve">
TRUNC(IF($A$4&lt;=12,SUMIFS('ON Data'!AT:AT,'ON Data'!$D:$D,$A$4,'ON Data'!$E:$E,1),SUMIFS('ON Data'!AT:AT,'ON Data'!$E:$E,1)/'ON Data'!$D$3),1)</f>
        <v>3</v>
      </c>
      <c r="K6" s="450"/>
    </row>
    <row r="7" spans="1:11" ht="15" hidden="1" outlineLevel="1" thickBot="1" x14ac:dyDescent="0.35">
      <c r="A7" s="356" t="s">
        <v>118</v>
      </c>
      <c r="B7" s="385"/>
      <c r="C7" s="386"/>
      <c r="D7" s="386"/>
      <c r="E7" s="386"/>
      <c r="F7" s="386"/>
      <c r="G7" s="386"/>
      <c r="H7" s="386"/>
      <c r="I7" s="386"/>
      <c r="J7" s="386"/>
      <c r="K7" s="450"/>
    </row>
    <row r="8" spans="1:11" ht="15" hidden="1" outlineLevel="1" thickBot="1" x14ac:dyDescent="0.35">
      <c r="A8" s="356" t="s">
        <v>83</v>
      </c>
      <c r="B8" s="385"/>
      <c r="C8" s="386"/>
      <c r="D8" s="386"/>
      <c r="E8" s="386"/>
      <c r="F8" s="386"/>
      <c r="G8" s="386"/>
      <c r="H8" s="386"/>
      <c r="I8" s="386"/>
      <c r="J8" s="386"/>
      <c r="K8" s="450"/>
    </row>
    <row r="9" spans="1:11" ht="15" hidden="1" outlineLevel="1" thickBot="1" x14ac:dyDescent="0.35">
      <c r="A9" s="357" t="s">
        <v>56</v>
      </c>
      <c r="B9" s="387"/>
      <c r="C9" s="388"/>
      <c r="D9" s="388"/>
      <c r="E9" s="388"/>
      <c r="F9" s="388"/>
      <c r="G9" s="388"/>
      <c r="H9" s="388"/>
      <c r="I9" s="388"/>
      <c r="J9" s="388"/>
      <c r="K9" s="450"/>
    </row>
    <row r="10" spans="1:11" x14ac:dyDescent="0.3">
      <c r="A10" s="358" t="s">
        <v>201</v>
      </c>
      <c r="B10" s="373"/>
      <c r="C10" s="374"/>
      <c r="D10" s="374"/>
      <c r="E10" s="374"/>
      <c r="F10" s="374"/>
      <c r="G10" s="374"/>
      <c r="H10" s="374"/>
      <c r="I10" s="374"/>
      <c r="J10" s="374"/>
      <c r="K10" s="450"/>
    </row>
    <row r="11" spans="1:11" x14ac:dyDescent="0.3">
      <c r="A11" s="359" t="s">
        <v>202</v>
      </c>
      <c r="B11" s="375">
        <f xml:space="preserve">
IF($A$4&lt;=12,SUMIFS('ON Data'!F:F,'ON Data'!$D:$D,$A$4,'ON Data'!$E:$E,2),SUMIFS('ON Data'!F:F,'ON Data'!$E:$E,2))</f>
        <v>26330.440000000002</v>
      </c>
      <c r="C11" s="376"/>
      <c r="D11" s="376">
        <f xml:space="preserve">
IF($A$4&lt;=12,SUMIFS('ON Data'!K:K,'ON Data'!$D:$D,$A$4,'ON Data'!$E:$E,2),SUMIFS('ON Data'!K:K,'ON Data'!$E:$E,2))</f>
        <v>433.5</v>
      </c>
      <c r="E11" s="376">
        <f xml:space="preserve">
IF($A$4&lt;=12,SUMIFS('ON Data'!L:L,'ON Data'!$D:$D,$A$4,'ON Data'!$E:$E,2),SUMIFS('ON Data'!L:L,'ON Data'!$E:$E,2))</f>
        <v>3314.04</v>
      </c>
      <c r="F11" s="376">
        <f xml:space="preserve">
IF($A$4&lt;=12,SUMIFS('ON Data'!Q:Q,'ON Data'!$D:$D,$A$4,'ON Data'!$E:$E,2),SUMIFS('ON Data'!Q:Q,'ON Data'!$E:$E,2))</f>
        <v>8306.25</v>
      </c>
      <c r="G11" s="376">
        <f xml:space="preserve">
IF($A$4&lt;=12,SUMIFS('ON Data'!R:R,'ON Data'!$D:$D,$A$4,'ON Data'!$E:$E,2),SUMIFS('ON Data'!R:R,'ON Data'!$E:$E,2))</f>
        <v>7676.7099999999991</v>
      </c>
      <c r="H11" s="376">
        <f xml:space="preserve">
IF($A$4&lt;=12,SUMIFS('ON Data'!S:S,'ON Data'!$D:$D,$A$4,'ON Data'!$E:$E,2),SUMIFS('ON Data'!S:S,'ON Data'!$E:$E,2))</f>
        <v>3379.94</v>
      </c>
      <c r="I11" s="376">
        <f xml:space="preserve">
IF($A$4&lt;=12,SUMIFS('ON Data'!AQ:AQ,'ON Data'!$D:$D,$A$4,'ON Data'!$E:$E,2),SUMIFS('ON Data'!AQ:AQ,'ON Data'!$E:$E,2))</f>
        <v>1308</v>
      </c>
      <c r="J11" s="376">
        <f xml:space="preserve">
IF($A$4&lt;=12,SUMIFS('ON Data'!AT:AT,'ON Data'!$D:$D,$A$4,'ON Data'!$E:$E,2),SUMIFS('ON Data'!AT:AT,'ON Data'!$E:$E,2))</f>
        <v>1392</v>
      </c>
      <c r="K11" s="450"/>
    </row>
    <row r="12" spans="1:11" x14ac:dyDescent="0.3">
      <c r="A12" s="359" t="s">
        <v>203</v>
      </c>
      <c r="B12" s="375">
        <f xml:space="preserve">
IF($A$4&lt;=12,SUMIFS('ON Data'!F:F,'ON Data'!$D:$D,$A$4,'ON Data'!$E:$E,3),SUMIFS('ON Data'!F:F,'ON Data'!$E:$E,3))</f>
        <v>669.53</v>
      </c>
      <c r="C12" s="376"/>
      <c r="D12" s="376">
        <f xml:space="preserve">
IF($A$4&lt;=12,SUMIFS('ON Data'!K:K,'ON Data'!$D:$D,$A$4,'ON Data'!$E:$E,3),SUMIFS('ON Data'!K:K,'ON Data'!$E:$E,3))</f>
        <v>0</v>
      </c>
      <c r="E12" s="376">
        <f xml:space="preserve">
IF($A$4&lt;=12,SUMIFS('ON Data'!L:L,'ON Data'!$D:$D,$A$4,'ON Data'!$E:$E,3),SUMIFS('ON Data'!L:L,'ON Data'!$E:$E,3))</f>
        <v>82.210000000000008</v>
      </c>
      <c r="F12" s="376">
        <f xml:space="preserve">
IF($A$4&lt;=12,SUMIFS('ON Data'!Q:Q,'ON Data'!$D:$D,$A$4,'ON Data'!$E:$E,3),SUMIFS('ON Data'!Q:Q,'ON Data'!$E:$E,3))</f>
        <v>172.25</v>
      </c>
      <c r="G12" s="376">
        <f xml:space="preserve">
IF($A$4&lt;=12,SUMIFS('ON Data'!R:R,'ON Data'!$D:$D,$A$4,'ON Data'!$E:$E,3),SUMIFS('ON Data'!R:R,'ON Data'!$E:$E,3))</f>
        <v>344.13</v>
      </c>
      <c r="H12" s="376">
        <f xml:space="preserve">
IF($A$4&lt;=12,SUMIFS('ON Data'!S:S,'ON Data'!$D:$D,$A$4,'ON Data'!$E:$E,3),SUMIFS('ON Data'!S:S,'ON Data'!$E:$E,3))</f>
        <v>70.94</v>
      </c>
      <c r="I12" s="376">
        <f xml:space="preserve">
IF($A$4&lt;=12,SUMIFS('ON Data'!AQ:AQ,'ON Data'!$D:$D,$A$4,'ON Data'!$E:$E,3),SUMIFS('ON Data'!AQ:AQ,'ON Data'!$E:$E,3))</f>
        <v>0</v>
      </c>
      <c r="J12" s="376">
        <f xml:space="preserve">
IF($A$4&lt;=12,SUMIFS('ON Data'!AT:AT,'ON Data'!$D:$D,$A$4,'ON Data'!$E:$E,3),SUMIFS('ON Data'!AT:AT,'ON Data'!$E:$E,3))</f>
        <v>0</v>
      </c>
      <c r="K12" s="450"/>
    </row>
    <row r="13" spans="1:11" x14ac:dyDescent="0.3">
      <c r="A13" s="359" t="s">
        <v>210</v>
      </c>
      <c r="B13" s="375">
        <f xml:space="preserve">
IF($A$4&lt;=12,SUMIFS('ON Data'!F:F,'ON Data'!$D:$D,$A$4,'ON Data'!$E:$E,4),SUMIFS('ON Data'!F:F,'ON Data'!$E:$E,4))</f>
        <v>1548</v>
      </c>
      <c r="C13" s="376"/>
      <c r="D13" s="376">
        <f xml:space="preserve">
IF($A$4&lt;=12,SUMIFS('ON Data'!K:K,'ON Data'!$D:$D,$A$4,'ON Data'!$E:$E,4),SUMIFS('ON Data'!K:K,'ON Data'!$E:$E,4))</f>
        <v>49</v>
      </c>
      <c r="E13" s="376">
        <f xml:space="preserve">
IF($A$4&lt;=12,SUMIFS('ON Data'!L:L,'ON Data'!$D:$D,$A$4,'ON Data'!$E:$E,4),SUMIFS('ON Data'!L:L,'ON Data'!$E:$E,4))</f>
        <v>373</v>
      </c>
      <c r="F13" s="376">
        <f xml:space="preserve">
IF($A$4&lt;=12,SUMIFS('ON Data'!Q:Q,'ON Data'!$D:$D,$A$4,'ON Data'!$E:$E,4),SUMIFS('ON Data'!Q:Q,'ON Data'!$E:$E,4))</f>
        <v>392.5</v>
      </c>
      <c r="G13" s="376">
        <f xml:space="preserve">
IF($A$4&lt;=12,SUMIFS('ON Data'!R:R,'ON Data'!$D:$D,$A$4,'ON Data'!$E:$E,4),SUMIFS('ON Data'!R:R,'ON Data'!$E:$E,4))</f>
        <v>357.5</v>
      </c>
      <c r="H13" s="376">
        <f xml:space="preserve">
IF($A$4&lt;=12,SUMIFS('ON Data'!S:S,'ON Data'!$D:$D,$A$4,'ON Data'!$E:$E,4),SUMIFS('ON Data'!S:S,'ON Data'!$E:$E,4))</f>
        <v>108.5</v>
      </c>
      <c r="I13" s="376">
        <f xml:space="preserve">
IF($A$4&lt;=12,SUMIFS('ON Data'!AQ:AQ,'ON Data'!$D:$D,$A$4,'ON Data'!$E:$E,4),SUMIFS('ON Data'!AQ:AQ,'ON Data'!$E:$E,4))</f>
        <v>127</v>
      </c>
      <c r="J13" s="376">
        <f xml:space="preserve">
IF($A$4&lt;=12,SUMIFS('ON Data'!AT:AT,'ON Data'!$D:$D,$A$4,'ON Data'!$E:$E,4),SUMIFS('ON Data'!AT:AT,'ON Data'!$E:$E,4))</f>
        <v>140.5</v>
      </c>
      <c r="K13" s="450"/>
    </row>
    <row r="14" spans="1:11" ht="15" thickBot="1" x14ac:dyDescent="0.35">
      <c r="A14" s="360" t="s">
        <v>204</v>
      </c>
      <c r="B14" s="377">
        <f xml:space="preserve">
IF($A$4&lt;=12,SUMIFS('ON Data'!F:F,'ON Data'!$D:$D,$A$4,'ON Data'!$E:$E,5),SUMIFS('ON Data'!F:F,'ON Data'!$E:$E,5))</f>
        <v>72</v>
      </c>
      <c r="C14" s="378"/>
      <c r="D14" s="378">
        <f xml:space="preserve">
IF($A$4&lt;=12,SUMIFS('ON Data'!K:K,'ON Data'!$D:$D,$A$4,'ON Data'!$E:$E,5),SUMIFS('ON Data'!K:K,'ON Data'!$E:$E,5))</f>
        <v>0</v>
      </c>
      <c r="E14" s="378">
        <f xml:space="preserve">
IF($A$4&lt;=12,SUMIFS('ON Data'!L:L,'ON Data'!$D:$D,$A$4,'ON Data'!$E:$E,5),SUMIFS('ON Data'!L:L,'ON Data'!$E:$E,5))</f>
        <v>0</v>
      </c>
      <c r="F14" s="378">
        <f xml:space="preserve">
IF($A$4&lt;=12,SUMIFS('ON Data'!Q:Q,'ON Data'!$D:$D,$A$4,'ON Data'!$E:$E,5),SUMIFS('ON Data'!Q:Q,'ON Data'!$E:$E,5))</f>
        <v>0</v>
      </c>
      <c r="G14" s="378">
        <f xml:space="preserve">
IF($A$4&lt;=12,SUMIFS('ON Data'!R:R,'ON Data'!$D:$D,$A$4,'ON Data'!$E:$E,5),SUMIFS('ON Data'!R:R,'ON Data'!$E:$E,5))</f>
        <v>72</v>
      </c>
      <c r="H14" s="378">
        <f xml:space="preserve">
IF($A$4&lt;=12,SUMIFS('ON Data'!S:S,'ON Data'!$D:$D,$A$4,'ON Data'!$E:$E,5),SUMIFS('ON Data'!S:S,'ON Data'!$E:$E,5))</f>
        <v>0</v>
      </c>
      <c r="I14" s="378">
        <f xml:space="preserve">
IF($A$4&lt;=12,SUMIFS('ON Data'!AQ:AQ,'ON Data'!$D:$D,$A$4,'ON Data'!$E:$E,5),SUMIFS('ON Data'!AQ:AQ,'ON Data'!$E:$E,5))</f>
        <v>0</v>
      </c>
      <c r="J14" s="378">
        <f xml:space="preserve">
IF($A$4&lt;=12,SUMIFS('ON Data'!AT:AT,'ON Data'!$D:$D,$A$4,'ON Data'!$E:$E,5),SUMIFS('ON Data'!AT:AT,'ON Data'!$E:$E,5))</f>
        <v>0</v>
      </c>
      <c r="K14" s="450"/>
    </row>
    <row r="15" spans="1:11" x14ac:dyDescent="0.3">
      <c r="A15" s="264" t="s">
        <v>214</v>
      </c>
      <c r="B15" s="379"/>
      <c r="C15" s="380"/>
      <c r="D15" s="380"/>
      <c r="E15" s="380"/>
      <c r="F15" s="380"/>
      <c r="G15" s="380"/>
      <c r="H15" s="380"/>
      <c r="I15" s="380"/>
      <c r="J15" s="380"/>
      <c r="K15" s="450"/>
    </row>
    <row r="16" spans="1:11" x14ac:dyDescent="0.3">
      <c r="A16" s="361" t="s">
        <v>205</v>
      </c>
      <c r="B16" s="375">
        <f xml:space="preserve">
IF($A$4&lt;=12,SUMIFS('ON Data'!F:F,'ON Data'!$D:$D,$A$4,'ON Data'!$E:$E,7),SUMIFS('ON Data'!F:F,'ON Data'!$E:$E,7))</f>
        <v>0</v>
      </c>
      <c r="C16" s="376"/>
      <c r="D16" s="376">
        <f xml:space="preserve">
IF($A$4&lt;=12,SUMIFS('ON Data'!K:K,'ON Data'!$D:$D,$A$4,'ON Data'!$E:$E,7),SUMIFS('ON Data'!K:K,'ON Data'!$E:$E,7))</f>
        <v>0</v>
      </c>
      <c r="E16" s="376">
        <f xml:space="preserve">
IF($A$4&lt;=12,SUMIFS('ON Data'!L:L,'ON Data'!$D:$D,$A$4,'ON Data'!$E:$E,7),SUMIFS('ON Data'!L:L,'ON Data'!$E:$E,7))</f>
        <v>0</v>
      </c>
      <c r="F16" s="376">
        <f xml:space="preserve">
IF($A$4&lt;=12,SUMIFS('ON Data'!Q:Q,'ON Data'!$D:$D,$A$4,'ON Data'!$E:$E,7),SUMIFS('ON Data'!Q:Q,'ON Data'!$E:$E,7))</f>
        <v>0</v>
      </c>
      <c r="G16" s="376">
        <f xml:space="preserve">
IF($A$4&lt;=12,SUMIFS('ON Data'!R:R,'ON Data'!$D:$D,$A$4,'ON Data'!$E:$E,7),SUMIFS('ON Data'!R:R,'ON Data'!$E:$E,7))</f>
        <v>0</v>
      </c>
      <c r="H16" s="376">
        <f xml:space="preserve">
IF($A$4&lt;=12,SUMIFS('ON Data'!S:S,'ON Data'!$D:$D,$A$4,'ON Data'!$E:$E,7),SUMIFS('ON Data'!S:S,'ON Data'!$E:$E,7))</f>
        <v>0</v>
      </c>
      <c r="I16" s="376">
        <f xml:space="preserve">
IF($A$4&lt;=12,SUMIFS('ON Data'!AQ:AQ,'ON Data'!$D:$D,$A$4,'ON Data'!$E:$E,7),SUMIFS('ON Data'!AQ:AQ,'ON Data'!$E:$E,7))</f>
        <v>0</v>
      </c>
      <c r="J16" s="376">
        <f xml:space="preserve">
IF($A$4&lt;=12,SUMIFS('ON Data'!AT:AT,'ON Data'!$D:$D,$A$4,'ON Data'!$E:$E,7),SUMIFS('ON Data'!AT:AT,'ON Data'!$E:$E,7))</f>
        <v>0</v>
      </c>
      <c r="K16" s="450"/>
    </row>
    <row r="17" spans="1:46" x14ac:dyDescent="0.3">
      <c r="A17" s="361" t="s">
        <v>206</v>
      </c>
      <c r="B17" s="375">
        <f xml:space="preserve">
IF($A$4&lt;=12,SUMIFS('ON Data'!F:F,'ON Data'!$D:$D,$A$4,'ON Data'!$E:$E,8),SUMIFS('ON Data'!F:F,'ON Data'!$E:$E,8))</f>
        <v>0</v>
      </c>
      <c r="C17" s="376"/>
      <c r="D17" s="376">
        <f xml:space="preserve">
IF($A$4&lt;=12,SUMIFS('ON Data'!K:K,'ON Data'!$D:$D,$A$4,'ON Data'!$E:$E,8),SUMIFS('ON Data'!K:K,'ON Data'!$E:$E,8))</f>
        <v>0</v>
      </c>
      <c r="E17" s="376">
        <f xml:space="preserve">
IF($A$4&lt;=12,SUMIFS('ON Data'!L:L,'ON Data'!$D:$D,$A$4,'ON Data'!$E:$E,8),SUMIFS('ON Data'!L:L,'ON Data'!$E:$E,8))</f>
        <v>0</v>
      </c>
      <c r="F17" s="376">
        <f xml:space="preserve">
IF($A$4&lt;=12,SUMIFS('ON Data'!Q:Q,'ON Data'!$D:$D,$A$4,'ON Data'!$E:$E,8),SUMIFS('ON Data'!Q:Q,'ON Data'!$E:$E,8))</f>
        <v>0</v>
      </c>
      <c r="G17" s="376">
        <f xml:space="preserve">
IF($A$4&lt;=12,SUMIFS('ON Data'!R:R,'ON Data'!$D:$D,$A$4,'ON Data'!$E:$E,8),SUMIFS('ON Data'!R:R,'ON Data'!$E:$E,8))</f>
        <v>0</v>
      </c>
      <c r="H17" s="376">
        <f xml:space="preserve">
IF($A$4&lt;=12,SUMIFS('ON Data'!S:S,'ON Data'!$D:$D,$A$4,'ON Data'!$E:$E,8),SUMIFS('ON Data'!S:S,'ON Data'!$E:$E,8))</f>
        <v>0</v>
      </c>
      <c r="I17" s="376">
        <f xml:space="preserve">
IF($A$4&lt;=12,SUMIFS('ON Data'!AQ:AQ,'ON Data'!$D:$D,$A$4,'ON Data'!$E:$E,8),SUMIFS('ON Data'!AQ:AQ,'ON Data'!$E:$E,8))</f>
        <v>0</v>
      </c>
      <c r="J17" s="376">
        <f xml:space="preserve">
IF($A$4&lt;=12,SUMIFS('ON Data'!AT:AT,'ON Data'!$D:$D,$A$4,'ON Data'!$E:$E,8),SUMIFS('ON Data'!AT:AT,'ON Data'!$E:$E,8))</f>
        <v>0</v>
      </c>
      <c r="K17" s="450"/>
    </row>
    <row r="18" spans="1:46" x14ac:dyDescent="0.3">
      <c r="A18" s="361" t="s">
        <v>207</v>
      </c>
      <c r="B18" s="375">
        <f xml:space="preserve">
B19-B16-B17</f>
        <v>31727</v>
      </c>
      <c r="C18" s="376"/>
      <c r="D18" s="376">
        <f t="shared" ref="D18:E18" si="0" xml:space="preserve">
D19-D16-D17</f>
        <v>0</v>
      </c>
      <c r="E18" s="376">
        <f t="shared" si="0"/>
        <v>0</v>
      </c>
      <c r="F18" s="376">
        <f t="shared" ref="F18:H18" si="1" xml:space="preserve">
F19-F16-F17</f>
        <v>13626</v>
      </c>
      <c r="G18" s="376">
        <f t="shared" si="1"/>
        <v>10575</v>
      </c>
      <c r="H18" s="376">
        <f t="shared" si="1"/>
        <v>7526</v>
      </c>
      <c r="I18" s="376">
        <f t="shared" ref="I18:J18" si="2" xml:space="preserve">
I19-I16-I17</f>
        <v>0</v>
      </c>
      <c r="J18" s="376">
        <f t="shared" si="2"/>
        <v>0</v>
      </c>
      <c r="K18" s="450"/>
    </row>
    <row r="19" spans="1:46" ht="15" thickBot="1" x14ac:dyDescent="0.35">
      <c r="A19" s="362" t="s">
        <v>208</v>
      </c>
      <c r="B19" s="381">
        <f xml:space="preserve">
IF($A$4&lt;=12,SUMIFS('ON Data'!F:F,'ON Data'!$D:$D,$A$4,'ON Data'!$E:$E,9),SUMIFS('ON Data'!F:F,'ON Data'!$E:$E,9))</f>
        <v>31727</v>
      </c>
      <c r="C19" s="382"/>
      <c r="D19" s="382">
        <f xml:space="preserve">
IF($A$4&lt;=12,SUMIFS('ON Data'!K:K,'ON Data'!$D:$D,$A$4,'ON Data'!$E:$E,9),SUMIFS('ON Data'!K:K,'ON Data'!$E:$E,9))</f>
        <v>0</v>
      </c>
      <c r="E19" s="382">
        <f xml:space="preserve">
IF($A$4&lt;=12,SUMIFS('ON Data'!L:L,'ON Data'!$D:$D,$A$4,'ON Data'!$E:$E,9),SUMIFS('ON Data'!L:L,'ON Data'!$E:$E,9))</f>
        <v>0</v>
      </c>
      <c r="F19" s="382">
        <f xml:space="preserve">
IF($A$4&lt;=12,SUMIFS('ON Data'!Q:Q,'ON Data'!$D:$D,$A$4,'ON Data'!$E:$E,9),SUMIFS('ON Data'!Q:Q,'ON Data'!$E:$E,9))</f>
        <v>13626</v>
      </c>
      <c r="G19" s="382">
        <f xml:space="preserve">
IF($A$4&lt;=12,SUMIFS('ON Data'!R:R,'ON Data'!$D:$D,$A$4,'ON Data'!$E:$E,9),SUMIFS('ON Data'!R:R,'ON Data'!$E:$E,9))</f>
        <v>10575</v>
      </c>
      <c r="H19" s="382">
        <f xml:space="preserve">
IF($A$4&lt;=12,SUMIFS('ON Data'!S:S,'ON Data'!$D:$D,$A$4,'ON Data'!$E:$E,9),SUMIFS('ON Data'!S:S,'ON Data'!$E:$E,9))</f>
        <v>7526</v>
      </c>
      <c r="I19" s="382">
        <f xml:space="preserve">
IF($A$4&lt;=12,SUMIFS('ON Data'!AQ:AQ,'ON Data'!$D:$D,$A$4,'ON Data'!$E:$E,9),SUMIFS('ON Data'!AQ:AQ,'ON Data'!$E:$E,9))</f>
        <v>0</v>
      </c>
      <c r="J19" s="382">
        <f xml:space="preserve">
IF($A$4&lt;=12,SUMIFS('ON Data'!AT:AT,'ON Data'!$D:$D,$A$4,'ON Data'!$E:$E,9),SUMIFS('ON Data'!AT:AT,'ON Data'!$E:$E,9))</f>
        <v>0</v>
      </c>
      <c r="K19" s="450"/>
    </row>
    <row r="20" spans="1:46" ht="15" collapsed="1" thickBot="1" x14ac:dyDescent="0.35">
      <c r="A20" s="363" t="s">
        <v>81</v>
      </c>
      <c r="B20" s="485">
        <f xml:space="preserve">
IF($A$4&lt;=12,SUMIFS('ON Data'!F:F,'ON Data'!$D:$D,$A$4,'ON Data'!$E:$E,6),SUMIFS('ON Data'!F:F,'ON Data'!$E:$E,6))</f>
        <v>7842691</v>
      </c>
      <c r="C20" s="471"/>
      <c r="D20" s="471">
        <f xml:space="preserve">
IF($A$4&lt;=12,SUMIFS('ON Data'!K:K,'ON Data'!$D:$D,$A$4,'ON Data'!$E:$E,6),SUMIFS('ON Data'!K:K,'ON Data'!$E:$E,6))</f>
        <v>150289</v>
      </c>
      <c r="E20" s="471">
        <f xml:space="preserve">
IF($A$4&lt;=12,SUMIFS('ON Data'!L:L,'ON Data'!$D:$D,$A$4,'ON Data'!$E:$E,6),SUMIFS('ON Data'!L:L,'ON Data'!$E:$E,6))</f>
        <v>1980492</v>
      </c>
      <c r="F20" s="471">
        <f xml:space="preserve">
IF($A$4&lt;=12,SUMIFS('ON Data'!Q:Q,'ON Data'!$D:$D,$A$4,'ON Data'!$E:$E,6),SUMIFS('ON Data'!Q:Q,'ON Data'!$E:$E,6))</f>
        <v>1761081</v>
      </c>
      <c r="G20" s="471">
        <f xml:space="preserve">
IF($A$4&lt;=12,SUMIFS('ON Data'!R:R,'ON Data'!$D:$D,$A$4,'ON Data'!$E:$E,6),SUMIFS('ON Data'!R:R,'ON Data'!$E:$E,6))</f>
        <v>2312224</v>
      </c>
      <c r="H20" s="471">
        <f xml:space="preserve">
IF($A$4&lt;=12,SUMIFS('ON Data'!S:S,'ON Data'!$D:$D,$A$4,'ON Data'!$E:$E,6),SUMIFS('ON Data'!S:S,'ON Data'!$E:$E,6))</f>
        <v>1043466</v>
      </c>
      <c r="I20" s="471">
        <f xml:space="preserve">
IF($A$4&lt;=12,SUMIFS('ON Data'!AQ:AQ,'ON Data'!$D:$D,$A$4,'ON Data'!$E:$E,6),SUMIFS('ON Data'!AQ:AQ,'ON Data'!$E:$E,6))</f>
        <v>259851</v>
      </c>
      <c r="J20" s="471">
        <f xml:space="preserve">
IF($A$4&lt;=12,SUMIFS('ON Data'!AT:AT,'ON Data'!$D:$D,$A$4,'ON Data'!$E:$E,6),SUMIFS('ON Data'!AT:AT,'ON Data'!$E:$E,6))</f>
        <v>250958</v>
      </c>
      <c r="K20" s="450"/>
    </row>
    <row r="21" spans="1:46" ht="15" hidden="1" outlineLevel="1" thickBot="1" x14ac:dyDescent="0.35">
      <c r="A21" s="356" t="s">
        <v>118</v>
      </c>
      <c r="B21" s="486">
        <f xml:space="preserve">
IF($A$4&lt;=12,SUMIFS('ON Data'!F:F,'ON Data'!$D:$D,$A$4,'ON Data'!$E:$E,12),SUMIFS('ON Data'!F:F,'ON Data'!$E:$E,12))</f>
        <v>0</v>
      </c>
      <c r="C21" s="470"/>
      <c r="D21" s="470">
        <f xml:space="preserve">
IF($A$4&lt;=12,SUMIFS('ON Data'!K:K,'ON Data'!$D:$D,$A$4,'ON Data'!$E:$E,12),SUMIFS('ON Data'!K:K,'ON Data'!$E:$E,12))</f>
        <v>0</v>
      </c>
      <c r="E21" s="470">
        <f xml:space="preserve">
IF($A$4&lt;=12,SUMIFS('ON Data'!L:L,'ON Data'!$D:$D,$A$4,'ON Data'!$E:$E,12),SUMIFS('ON Data'!L:L,'ON Data'!$E:$E,12))</f>
        <v>0</v>
      </c>
      <c r="F21" s="470">
        <f xml:space="preserve">
IF($A$4&lt;=12,SUMIFS('ON Data'!Q:Q,'ON Data'!$D:$D,$A$4,'ON Data'!$E:$E,12),SUMIFS('ON Data'!Q:Q,'ON Data'!$E:$E,12))</f>
        <v>0</v>
      </c>
      <c r="G21" s="470">
        <f xml:space="preserve">
IF($A$4&lt;=12,SUMIFS('ON Data'!R:R,'ON Data'!$D:$D,$A$4,'ON Data'!$E:$E,12),SUMIFS('ON Data'!R:R,'ON Data'!$E:$E,12))</f>
        <v>0</v>
      </c>
      <c r="H21" s="470">
        <f xml:space="preserve">
IF($A$4&lt;=12,SUMIFS('ON Data'!S:S,'ON Data'!$D:$D,$A$4,'ON Data'!$E:$E,12),SUMIFS('ON Data'!S:S,'ON Data'!$E:$E,12))</f>
        <v>0</v>
      </c>
      <c r="I21" s="470">
        <f xml:space="preserve">
IF($A$4&lt;=12,SUMIFS('ON Data'!AQ:AQ,'ON Data'!$D:$D,$A$4,'ON Data'!$E:$E,12),SUMIFS('ON Data'!AQ:AQ,'ON Data'!$E:$E,12))</f>
        <v>0</v>
      </c>
      <c r="J21" s="470"/>
      <c r="K21" s="450"/>
    </row>
    <row r="22" spans="1:46" ht="15" hidden="1" outlineLevel="1" thickBot="1" x14ac:dyDescent="0.35">
      <c r="A22" s="356" t="s">
        <v>83</v>
      </c>
      <c r="B22" s="487" t="str">
        <f xml:space="preserve">
IF(OR(B21="",B21=0),"",B20/B21)</f>
        <v/>
      </c>
      <c r="C22" s="421"/>
      <c r="D22" s="421" t="str">
        <f t="shared" ref="D22:E22" si="3" xml:space="preserve">
IF(OR(D21="",D21=0),"",D20/D21)</f>
        <v/>
      </c>
      <c r="E22" s="421" t="str">
        <f t="shared" si="3"/>
        <v/>
      </c>
      <c r="F22" s="421" t="str">
        <f t="shared" ref="F22:I22" si="4" xml:space="preserve">
IF(OR(F21="",F21=0),"",F20/F21)</f>
        <v/>
      </c>
      <c r="G22" s="421" t="str">
        <f t="shared" si="4"/>
        <v/>
      </c>
      <c r="H22" s="421" t="str">
        <f t="shared" si="4"/>
        <v/>
      </c>
      <c r="I22" s="421" t="str">
        <f t="shared" si="4"/>
        <v/>
      </c>
      <c r="J22" s="421"/>
      <c r="K22" s="450"/>
    </row>
    <row r="23" spans="1:46" ht="15" hidden="1" outlineLevel="1" thickBot="1" x14ac:dyDescent="0.35">
      <c r="A23" s="364" t="s">
        <v>56</v>
      </c>
      <c r="B23" s="488">
        <f xml:space="preserve">
IF(B21="","",B20-B21)</f>
        <v>7842691</v>
      </c>
      <c r="C23" s="378"/>
      <c r="D23" s="378">
        <f t="shared" ref="D23:E23" si="5" xml:space="preserve">
IF(D21="","",D20-D21)</f>
        <v>150289</v>
      </c>
      <c r="E23" s="378">
        <f t="shared" si="5"/>
        <v>1980492</v>
      </c>
      <c r="F23" s="378">
        <f t="shared" ref="F23:I23" si="6" xml:space="preserve">
IF(F21="","",F20-F21)</f>
        <v>1761081</v>
      </c>
      <c r="G23" s="378">
        <f t="shared" si="6"/>
        <v>2312224</v>
      </c>
      <c r="H23" s="378">
        <f t="shared" si="6"/>
        <v>1043466</v>
      </c>
      <c r="I23" s="378">
        <f t="shared" si="6"/>
        <v>259851</v>
      </c>
      <c r="J23" s="378"/>
      <c r="K23" s="450"/>
    </row>
    <row r="24" spans="1:46" x14ac:dyDescent="0.3">
      <c r="A24" s="358" t="s">
        <v>209</v>
      </c>
      <c r="B24" s="393" t="s">
        <v>3</v>
      </c>
      <c r="C24" s="482" t="s">
        <v>283</v>
      </c>
      <c r="D24" s="483" t="s">
        <v>284</v>
      </c>
      <c r="E24" s="483" t="s">
        <v>287</v>
      </c>
      <c r="F24" s="484" t="s">
        <v>220</v>
      </c>
      <c r="AT24" s="450"/>
    </row>
    <row r="25" spans="1:46" x14ac:dyDescent="0.3">
      <c r="A25" s="359" t="s">
        <v>81</v>
      </c>
      <c r="B25" s="375">
        <f xml:space="preserve">
SUM(C25:F25)</f>
        <v>20676</v>
      </c>
      <c r="C25" s="473">
        <f xml:space="preserve">
IF($A$4&lt;=12,SUMIFS('ON Data'!$G:$G,'ON Data'!$D:$D,$A$4,'ON Data'!$E:$E,10),SUMIFS('ON Data'!$G:$G,'ON Data'!$E:$E,10))</f>
        <v>0</v>
      </c>
      <c r="D25" s="474">
        <f xml:space="preserve">
IF($A$4&lt;=12,SUMIFS('ON Data'!$J:$J,'ON Data'!$D:$D,$A$4,'ON Data'!$E:$E,10),SUMIFS('ON Data'!$J:$J,'ON Data'!$E:$E,10))</f>
        <v>0</v>
      </c>
      <c r="E25" s="474">
        <f xml:space="preserve">
IF($A$4&lt;=12,SUMIFS('ON Data'!$H:$H,'ON Data'!$D:$D,$A$4,'ON Data'!$E:$E,10),SUMIFS('ON Data'!$H:$H,'ON Data'!$E:$E,10))</f>
        <v>20676</v>
      </c>
      <c r="F25" s="475">
        <f xml:space="preserve">
IF($A$4&lt;=12,SUMIFS('ON Data'!$I:$I,'ON Data'!$D:$D,$A$4,'ON Data'!$E:$E,10),SUMIFS('ON Data'!$I:$I,'ON Data'!$E:$E,10))</f>
        <v>0</v>
      </c>
    </row>
    <row r="26" spans="1:46" x14ac:dyDescent="0.3">
      <c r="A26" s="365" t="s">
        <v>219</v>
      </c>
      <c r="B26" s="381">
        <f xml:space="preserve">
SUM(C26:F26)</f>
        <v>31450.47506116506</v>
      </c>
      <c r="C26" s="473">
        <f xml:space="preserve">
IF($A$4&lt;=12,SUMIFS('ON Data'!$G:$G,'ON Data'!$D:$D,$A$4,'ON Data'!$E:$E,11),SUMIFS('ON Data'!$G:$G,'ON Data'!$E:$E,11))</f>
        <v>6450.4750611650616</v>
      </c>
      <c r="D26" s="474">
        <f xml:space="preserve">
IF($A$4&lt;=12,SUMIFS('ON Data'!$J:$J,'ON Data'!$D:$D,$A$4,'ON Data'!$E:$E,11),SUMIFS('ON Data'!$J:$J,'ON Data'!$E:$E,11))</f>
        <v>0</v>
      </c>
      <c r="E26" s="474">
        <f xml:space="preserve">
IF($A$4&lt;=12,SUMIFS('ON Data'!$H:$H,'ON Data'!$D:$D,$A$4,'ON Data'!$E:$E,11),SUMIFS('ON Data'!$H:$H,'ON Data'!$E:$E,11))</f>
        <v>25000</v>
      </c>
      <c r="F26" s="475">
        <f xml:space="preserve">
IF($A$4&lt;=12,SUMIFS('ON Data'!$I:$I,'ON Data'!$D:$D,$A$4,'ON Data'!$E:$E,11),SUMIFS('ON Data'!$I:$I,'ON Data'!$E:$E,11))</f>
        <v>0</v>
      </c>
    </row>
    <row r="27" spans="1:46" x14ac:dyDescent="0.3">
      <c r="A27" s="365" t="s">
        <v>83</v>
      </c>
      <c r="B27" s="394">
        <f xml:space="preserve">
IF(B26=0,0,B25/B26)</f>
        <v>0.65741455287365924</v>
      </c>
      <c r="C27" s="476">
        <f xml:space="preserve">
IF(C26=0,0,C25/C26)</f>
        <v>0</v>
      </c>
      <c r="D27" s="477">
        <f t="shared" ref="D27:E27" si="7" xml:space="preserve">
IF(D26=0,0,D25/D26)</f>
        <v>0</v>
      </c>
      <c r="E27" s="477">
        <f t="shared" si="7"/>
        <v>0.82704</v>
      </c>
      <c r="F27" s="478">
        <f xml:space="preserve">
IF(F26=0,0,F25/F26)</f>
        <v>0</v>
      </c>
    </row>
    <row r="28" spans="1:46" ht="15" thickBot="1" x14ac:dyDescent="0.35">
      <c r="A28" s="365" t="s">
        <v>218</v>
      </c>
      <c r="B28" s="381">
        <f xml:space="preserve">
SUM(C28:F28)</f>
        <v>10774.475061165062</v>
      </c>
      <c r="C28" s="479">
        <f xml:space="preserve">
C26-C25</f>
        <v>6450.4750611650616</v>
      </c>
      <c r="D28" s="480">
        <f t="shared" ref="D28:E28" si="8" xml:space="preserve">
D26-D25</f>
        <v>0</v>
      </c>
      <c r="E28" s="480">
        <f t="shared" si="8"/>
        <v>4324</v>
      </c>
      <c r="F28" s="481">
        <f xml:space="preserve">
F26-F25</f>
        <v>0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50"/>
      <c r="R28" s="450"/>
      <c r="S28" s="450"/>
      <c r="T28" s="450"/>
      <c r="U28" s="450"/>
      <c r="V28" s="450"/>
      <c r="W28" s="450"/>
      <c r="X28" s="450"/>
      <c r="Y28" s="450"/>
      <c r="Z28" s="450"/>
      <c r="AA28" s="450"/>
      <c r="AB28" s="450"/>
      <c r="AC28" s="450"/>
      <c r="AD28" s="450"/>
      <c r="AE28" s="450"/>
      <c r="AF28" s="450"/>
      <c r="AG28" s="450"/>
      <c r="AH28" s="450"/>
      <c r="AI28" s="450"/>
      <c r="AJ28" s="450"/>
      <c r="AK28" s="450"/>
      <c r="AL28" s="450"/>
      <c r="AM28" s="450"/>
      <c r="AN28" s="450"/>
      <c r="AO28" s="450"/>
      <c r="AP28" s="450"/>
      <c r="AQ28" s="450"/>
      <c r="AR28" s="450"/>
      <c r="AS28" s="450"/>
    </row>
    <row r="29" spans="1:46" x14ac:dyDescent="0.3">
      <c r="A29" s="366"/>
      <c r="B29" s="366"/>
      <c r="C29" s="367"/>
      <c r="D29" s="366"/>
      <c r="E29" s="366"/>
      <c r="F29" s="366"/>
      <c r="G29" s="472"/>
      <c r="H29" s="472"/>
      <c r="I29" s="472"/>
      <c r="J29" s="472"/>
      <c r="K29" s="472"/>
      <c r="L29" s="472"/>
      <c r="M29" s="472"/>
      <c r="N29" s="472"/>
      <c r="O29" s="472"/>
      <c r="P29" s="472"/>
      <c r="Q29" s="472"/>
      <c r="R29" s="472"/>
      <c r="S29" s="472"/>
      <c r="T29" s="472"/>
      <c r="U29" s="472"/>
      <c r="V29" s="472"/>
      <c r="W29" s="472"/>
      <c r="X29" s="472"/>
      <c r="Y29" s="472"/>
      <c r="Z29" s="472"/>
      <c r="AA29" s="472"/>
      <c r="AB29" s="472"/>
      <c r="AC29" s="472"/>
      <c r="AD29" s="472"/>
      <c r="AE29" s="472"/>
      <c r="AF29" s="472"/>
      <c r="AG29" s="472"/>
      <c r="AH29" s="472"/>
      <c r="AI29" s="256"/>
      <c r="AJ29" s="256"/>
      <c r="AK29" s="256"/>
      <c r="AL29" s="256"/>
      <c r="AM29" s="256"/>
    </row>
    <row r="30" spans="1:46" x14ac:dyDescent="0.3">
      <c r="A30" s="206" t="s">
        <v>177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  <c r="AA30" s="231"/>
      <c r="AB30" s="231"/>
      <c r="AC30" s="231"/>
      <c r="AD30" s="231"/>
      <c r="AE30" s="231"/>
      <c r="AF30" s="231"/>
      <c r="AG30" s="231"/>
      <c r="AH30" s="231"/>
      <c r="AI30" s="231"/>
      <c r="AJ30" s="231"/>
      <c r="AK30" s="252"/>
      <c r="AL30" s="252"/>
      <c r="AM30" s="252"/>
    </row>
    <row r="31" spans="1:46" x14ac:dyDescent="0.3">
      <c r="A31" s="207" t="s">
        <v>216</v>
      </c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  <c r="AK31" s="252"/>
      <c r="AL31" s="252"/>
      <c r="AM31" s="252"/>
    </row>
    <row r="32" spans="1:46" ht="14.4" customHeight="1" x14ac:dyDescent="0.3">
      <c r="A32" s="390" t="s">
        <v>213</v>
      </c>
      <c r="B32" s="391"/>
      <c r="C32" s="391"/>
      <c r="D32" s="391"/>
      <c r="E32" s="391"/>
      <c r="F32" s="391"/>
      <c r="G32" s="391"/>
      <c r="H32" s="391"/>
      <c r="I32" s="391"/>
      <c r="J32" s="391"/>
      <c r="K32" s="391"/>
      <c r="L32" s="391"/>
      <c r="M32" s="391"/>
      <c r="N32" s="391"/>
      <c r="O32" s="391"/>
      <c r="P32" s="391"/>
      <c r="Q32" s="391"/>
      <c r="R32" s="391"/>
      <c r="S32" s="391"/>
      <c r="T32" s="391"/>
      <c r="U32" s="391"/>
      <c r="V32" s="391"/>
      <c r="W32" s="391"/>
      <c r="X32" s="391"/>
      <c r="Y32" s="391"/>
      <c r="Z32" s="391"/>
      <c r="AA32" s="391"/>
      <c r="AB32" s="391"/>
      <c r="AC32" s="391"/>
      <c r="AD32" s="391"/>
      <c r="AE32" s="391"/>
      <c r="AF32" s="391"/>
      <c r="AG32" s="391"/>
      <c r="AH32" s="391"/>
      <c r="AI32" s="391"/>
      <c r="AJ32" s="391"/>
    </row>
    <row r="33" spans="1:1" x14ac:dyDescent="0.3">
      <c r="A33" s="392" t="s">
        <v>279</v>
      </c>
    </row>
    <row r="34" spans="1:1" x14ac:dyDescent="0.3">
      <c r="A34" s="392" t="s">
        <v>280</v>
      </c>
    </row>
    <row r="35" spans="1:1" x14ac:dyDescent="0.3">
      <c r="A35" s="392" t="s">
        <v>281</v>
      </c>
    </row>
    <row r="36" spans="1:1" x14ac:dyDescent="0.3">
      <c r="A36" s="392" t="s">
        <v>282</v>
      </c>
    </row>
    <row r="37" spans="1:1" x14ac:dyDescent="0.3">
      <c r="A37" s="392" t="s">
        <v>221</v>
      </c>
    </row>
  </sheetData>
  <mergeCells count="2">
    <mergeCell ref="B3:B4"/>
    <mergeCell ref="A1:B1"/>
  </mergeCells>
  <conditionalFormatting sqref="C27">
    <cfRule type="cellIs" dxfId="29" priority="17" operator="greaterThan">
      <formula>1</formula>
    </cfRule>
  </conditionalFormatting>
  <conditionalFormatting sqref="C28">
    <cfRule type="cellIs" dxfId="28" priority="16" operator="lessThan">
      <formula>0</formula>
    </cfRule>
  </conditionalFormatting>
  <conditionalFormatting sqref="B22:J22">
    <cfRule type="cellIs" dxfId="27" priority="15" operator="greaterThan">
      <formula>1</formula>
    </cfRule>
  </conditionalFormatting>
  <conditionalFormatting sqref="B23:J23">
    <cfRule type="cellIs" dxfId="26" priority="14" operator="greaterThan">
      <formula>0</formula>
    </cfRule>
  </conditionalFormatting>
  <conditionalFormatting sqref="F27">
    <cfRule type="cellIs" dxfId="25" priority="9" operator="greaterThan">
      <formula>1</formula>
    </cfRule>
  </conditionalFormatting>
  <conditionalFormatting sqref="F28">
    <cfRule type="cellIs" dxfId="24" priority="8" operator="lessThan">
      <formula>0</formula>
    </cfRule>
  </conditionalFormatting>
  <conditionalFormatting sqref="E28">
    <cfRule type="cellIs" dxfId="23" priority="1" operator="lessThan">
      <formula>0</formula>
    </cfRule>
  </conditionalFormatting>
  <conditionalFormatting sqref="D28">
    <cfRule type="cellIs" dxfId="22" priority="3" operator="lessThan">
      <formula>0</formula>
    </cfRule>
  </conditionalFormatting>
  <conditionalFormatting sqref="D27">
    <cfRule type="cellIs" dxfId="21" priority="4" operator="greaterThan">
      <formula>1</formula>
    </cfRule>
  </conditionalFormatting>
  <conditionalFormatting sqref="E27">
    <cfRule type="cellIs" dxfId="20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0"/>
  <sheetViews>
    <sheetView showGridLines="0" workbookViewId="0"/>
  </sheetViews>
  <sheetFormatPr defaultRowHeight="14.4" x14ac:dyDescent="0.3"/>
  <cols>
    <col min="1" max="16384" width="8.88671875" style="347"/>
  </cols>
  <sheetData>
    <row r="1" spans="1:49" x14ac:dyDescent="0.3">
      <c r="A1" s="347" t="s">
        <v>2098</v>
      </c>
    </row>
    <row r="2" spans="1:49" x14ac:dyDescent="0.3">
      <c r="A2" s="351" t="s">
        <v>288</v>
      </c>
    </row>
    <row r="3" spans="1:49" x14ac:dyDescent="0.3">
      <c r="A3" s="347" t="s">
        <v>186</v>
      </c>
      <c r="B3" s="370">
        <v>2017</v>
      </c>
      <c r="D3" s="348">
        <f>MAX(D5:D1048576)</f>
        <v>3</v>
      </c>
      <c r="F3" s="348">
        <f>SUMIF($E5:$E1048576,"&lt;10",F5:F1048576)</f>
        <v>7903217.3699999992</v>
      </c>
      <c r="G3" s="348">
        <f t="shared" ref="G3:AW3" si="0">SUMIF($E5:$E1048576,"&lt;10",G5:G1048576)</f>
        <v>0</v>
      </c>
      <c r="H3" s="348">
        <f t="shared" si="0"/>
        <v>0</v>
      </c>
      <c r="I3" s="348">
        <f t="shared" si="0"/>
        <v>84853</v>
      </c>
      <c r="J3" s="348">
        <f t="shared" si="0"/>
        <v>0</v>
      </c>
      <c r="K3" s="348">
        <f t="shared" si="0"/>
        <v>150774.5</v>
      </c>
      <c r="L3" s="348">
        <f t="shared" si="0"/>
        <v>1984283.4000000001</v>
      </c>
      <c r="M3" s="348">
        <f t="shared" si="0"/>
        <v>0</v>
      </c>
      <c r="N3" s="348">
        <f t="shared" si="0"/>
        <v>0</v>
      </c>
      <c r="O3" s="348">
        <f t="shared" si="0"/>
        <v>0</v>
      </c>
      <c r="P3" s="348">
        <f t="shared" si="0"/>
        <v>0</v>
      </c>
      <c r="Q3" s="348">
        <f t="shared" si="0"/>
        <v>1783633.5</v>
      </c>
      <c r="R3" s="348">
        <f t="shared" si="0"/>
        <v>2331304.34</v>
      </c>
      <c r="S3" s="348">
        <f t="shared" si="0"/>
        <v>1054574.1299999999</v>
      </c>
      <c r="T3" s="348">
        <f t="shared" si="0"/>
        <v>0</v>
      </c>
      <c r="U3" s="348">
        <f t="shared" si="0"/>
        <v>0</v>
      </c>
      <c r="V3" s="348">
        <f t="shared" si="0"/>
        <v>0</v>
      </c>
      <c r="W3" s="348">
        <f t="shared" si="0"/>
        <v>0</v>
      </c>
      <c r="X3" s="348">
        <f t="shared" si="0"/>
        <v>0</v>
      </c>
      <c r="Y3" s="348">
        <f t="shared" si="0"/>
        <v>0</v>
      </c>
      <c r="Z3" s="348">
        <f t="shared" si="0"/>
        <v>0</v>
      </c>
      <c r="AA3" s="348">
        <f t="shared" si="0"/>
        <v>0</v>
      </c>
      <c r="AB3" s="348">
        <f t="shared" si="0"/>
        <v>0</v>
      </c>
      <c r="AC3" s="348">
        <f t="shared" si="0"/>
        <v>0</v>
      </c>
      <c r="AD3" s="348">
        <f t="shared" si="0"/>
        <v>0</v>
      </c>
      <c r="AE3" s="348">
        <f t="shared" si="0"/>
        <v>0</v>
      </c>
      <c r="AF3" s="348">
        <f t="shared" si="0"/>
        <v>0</v>
      </c>
      <c r="AG3" s="348">
        <f t="shared" si="0"/>
        <v>0</v>
      </c>
      <c r="AH3" s="348">
        <f t="shared" si="0"/>
        <v>0</v>
      </c>
      <c r="AI3" s="348">
        <f t="shared" si="0"/>
        <v>0</v>
      </c>
      <c r="AJ3" s="348">
        <f t="shared" si="0"/>
        <v>0</v>
      </c>
      <c r="AK3" s="348">
        <f t="shared" si="0"/>
        <v>0</v>
      </c>
      <c r="AL3" s="348">
        <f t="shared" si="0"/>
        <v>0</v>
      </c>
      <c r="AM3" s="348">
        <f t="shared" si="0"/>
        <v>0</v>
      </c>
      <c r="AN3" s="348">
        <f t="shared" si="0"/>
        <v>0</v>
      </c>
      <c r="AO3" s="348">
        <f t="shared" si="0"/>
        <v>0</v>
      </c>
      <c r="AP3" s="348">
        <f t="shared" si="0"/>
        <v>0</v>
      </c>
      <c r="AQ3" s="348">
        <f t="shared" si="0"/>
        <v>261295</v>
      </c>
      <c r="AR3" s="348">
        <f t="shared" si="0"/>
        <v>0</v>
      </c>
      <c r="AS3" s="348">
        <f t="shared" si="0"/>
        <v>0</v>
      </c>
      <c r="AT3" s="348">
        <f t="shared" si="0"/>
        <v>252499.5</v>
      </c>
      <c r="AU3" s="348">
        <f t="shared" si="0"/>
        <v>0</v>
      </c>
      <c r="AV3" s="348">
        <f t="shared" si="0"/>
        <v>0</v>
      </c>
      <c r="AW3" s="348">
        <f t="shared" si="0"/>
        <v>0</v>
      </c>
    </row>
    <row r="4" spans="1:49" x14ac:dyDescent="0.3">
      <c r="A4" s="347" t="s">
        <v>187</v>
      </c>
      <c r="B4" s="370">
        <v>1</v>
      </c>
      <c r="C4" s="349" t="s">
        <v>5</v>
      </c>
      <c r="D4" s="350" t="s">
        <v>55</v>
      </c>
      <c r="E4" s="350" t="s">
        <v>185</v>
      </c>
      <c r="F4" s="350" t="s">
        <v>3</v>
      </c>
      <c r="G4" s="350">
        <v>0</v>
      </c>
      <c r="H4" s="350">
        <v>25</v>
      </c>
      <c r="I4" s="350">
        <v>30</v>
      </c>
      <c r="J4" s="350">
        <v>99</v>
      </c>
      <c r="K4" s="350">
        <v>100</v>
      </c>
      <c r="L4" s="350">
        <v>101</v>
      </c>
      <c r="M4" s="350">
        <v>102</v>
      </c>
      <c r="N4" s="350">
        <v>103</v>
      </c>
      <c r="O4" s="350">
        <v>203</v>
      </c>
      <c r="P4" s="350">
        <v>302</v>
      </c>
      <c r="Q4" s="350">
        <v>303</v>
      </c>
      <c r="R4" s="350">
        <v>304</v>
      </c>
      <c r="S4" s="350">
        <v>305</v>
      </c>
      <c r="T4" s="350">
        <v>306</v>
      </c>
      <c r="U4" s="350">
        <v>407</v>
      </c>
      <c r="V4" s="350">
        <v>408</v>
      </c>
      <c r="W4" s="350">
        <v>409</v>
      </c>
      <c r="X4" s="350">
        <v>410</v>
      </c>
      <c r="Y4" s="350">
        <v>415</v>
      </c>
      <c r="Z4" s="350">
        <v>416</v>
      </c>
      <c r="AA4" s="350">
        <v>418</v>
      </c>
      <c r="AB4" s="350">
        <v>419</v>
      </c>
      <c r="AC4" s="350">
        <v>420</v>
      </c>
      <c r="AD4" s="350">
        <v>421</v>
      </c>
      <c r="AE4" s="350">
        <v>422</v>
      </c>
      <c r="AF4" s="350">
        <v>520</v>
      </c>
      <c r="AG4" s="350">
        <v>521</v>
      </c>
      <c r="AH4" s="350">
        <v>522</v>
      </c>
      <c r="AI4" s="350">
        <v>523</v>
      </c>
      <c r="AJ4" s="350">
        <v>524</v>
      </c>
      <c r="AK4" s="350">
        <v>525</v>
      </c>
      <c r="AL4" s="350">
        <v>526</v>
      </c>
      <c r="AM4" s="350">
        <v>527</v>
      </c>
      <c r="AN4" s="350">
        <v>528</v>
      </c>
      <c r="AO4" s="350">
        <v>629</v>
      </c>
      <c r="AP4" s="350">
        <v>630</v>
      </c>
      <c r="AQ4" s="350">
        <v>636</v>
      </c>
      <c r="AR4" s="350">
        <v>637</v>
      </c>
      <c r="AS4" s="350">
        <v>640</v>
      </c>
      <c r="AT4" s="350">
        <v>642</v>
      </c>
      <c r="AU4" s="350">
        <v>743</v>
      </c>
      <c r="AV4" s="350">
        <v>745</v>
      </c>
      <c r="AW4" s="350">
        <v>746</v>
      </c>
    </row>
    <row r="5" spans="1:49" x14ac:dyDescent="0.3">
      <c r="A5" s="347" t="s">
        <v>188</v>
      </c>
      <c r="B5" s="370">
        <v>2</v>
      </c>
      <c r="C5" s="347">
        <v>59</v>
      </c>
      <c r="D5" s="347">
        <v>1</v>
      </c>
      <c r="E5" s="347">
        <v>1</v>
      </c>
      <c r="F5" s="347">
        <v>61.3</v>
      </c>
      <c r="G5" s="347">
        <v>0</v>
      </c>
      <c r="H5" s="347">
        <v>0</v>
      </c>
      <c r="I5" s="347">
        <v>1</v>
      </c>
      <c r="J5" s="347">
        <v>0</v>
      </c>
      <c r="K5" s="347">
        <v>1</v>
      </c>
      <c r="L5" s="347">
        <v>7.55</v>
      </c>
      <c r="M5" s="347">
        <v>0</v>
      </c>
      <c r="N5" s="347">
        <v>0</v>
      </c>
      <c r="O5" s="347">
        <v>0</v>
      </c>
      <c r="P5" s="347">
        <v>0</v>
      </c>
      <c r="Q5" s="347">
        <v>18.5</v>
      </c>
      <c r="R5" s="347">
        <v>19</v>
      </c>
      <c r="S5" s="347">
        <v>8.25</v>
      </c>
      <c r="T5" s="347">
        <v>0</v>
      </c>
      <c r="U5" s="347">
        <v>0</v>
      </c>
      <c r="V5" s="347">
        <v>0</v>
      </c>
      <c r="W5" s="347">
        <v>0</v>
      </c>
      <c r="X5" s="347">
        <v>0</v>
      </c>
      <c r="Y5" s="347">
        <v>0</v>
      </c>
      <c r="Z5" s="347">
        <v>0</v>
      </c>
      <c r="AA5" s="347">
        <v>0</v>
      </c>
      <c r="AB5" s="347">
        <v>0</v>
      </c>
      <c r="AC5" s="347">
        <v>0</v>
      </c>
      <c r="AD5" s="347">
        <v>0</v>
      </c>
      <c r="AE5" s="347">
        <v>0</v>
      </c>
      <c r="AF5" s="347">
        <v>0</v>
      </c>
      <c r="AG5" s="347">
        <v>0</v>
      </c>
      <c r="AH5" s="347">
        <v>0</v>
      </c>
      <c r="AI5" s="347">
        <v>0</v>
      </c>
      <c r="AJ5" s="347">
        <v>0</v>
      </c>
      <c r="AK5" s="347">
        <v>0</v>
      </c>
      <c r="AL5" s="347">
        <v>0</v>
      </c>
      <c r="AM5" s="347">
        <v>0</v>
      </c>
      <c r="AN5" s="347">
        <v>0</v>
      </c>
      <c r="AO5" s="347">
        <v>0</v>
      </c>
      <c r="AP5" s="347">
        <v>0</v>
      </c>
      <c r="AQ5" s="347">
        <v>3</v>
      </c>
      <c r="AR5" s="347">
        <v>0</v>
      </c>
      <c r="AS5" s="347">
        <v>0</v>
      </c>
      <c r="AT5" s="347">
        <v>3</v>
      </c>
      <c r="AU5" s="347">
        <v>0</v>
      </c>
      <c r="AV5" s="347">
        <v>0</v>
      </c>
      <c r="AW5" s="347">
        <v>0</v>
      </c>
    </row>
    <row r="6" spans="1:49" x14ac:dyDescent="0.3">
      <c r="A6" s="347" t="s">
        <v>189</v>
      </c>
      <c r="B6" s="370">
        <v>3</v>
      </c>
      <c r="C6" s="347">
        <v>59</v>
      </c>
      <c r="D6" s="347">
        <v>1</v>
      </c>
      <c r="E6" s="347">
        <v>2</v>
      </c>
      <c r="F6" s="347">
        <v>9236.6200000000008</v>
      </c>
      <c r="G6" s="347">
        <v>0</v>
      </c>
      <c r="H6" s="347">
        <v>0</v>
      </c>
      <c r="I6" s="347">
        <v>176</v>
      </c>
      <c r="J6" s="347">
        <v>0</v>
      </c>
      <c r="K6" s="347">
        <v>147</v>
      </c>
      <c r="L6" s="347">
        <v>1239.77</v>
      </c>
      <c r="M6" s="347">
        <v>0</v>
      </c>
      <c r="N6" s="347">
        <v>0</v>
      </c>
      <c r="O6" s="347">
        <v>0</v>
      </c>
      <c r="P6" s="347">
        <v>0</v>
      </c>
      <c r="Q6" s="347">
        <v>2886</v>
      </c>
      <c r="R6" s="347">
        <v>2713.08</v>
      </c>
      <c r="S6" s="347">
        <v>1167.27</v>
      </c>
      <c r="T6" s="347">
        <v>0</v>
      </c>
      <c r="U6" s="347">
        <v>0</v>
      </c>
      <c r="V6" s="347">
        <v>0</v>
      </c>
      <c r="W6" s="347">
        <v>0</v>
      </c>
      <c r="X6" s="347">
        <v>0</v>
      </c>
      <c r="Y6" s="347">
        <v>0</v>
      </c>
      <c r="Z6" s="347">
        <v>0</v>
      </c>
      <c r="AA6" s="347">
        <v>0</v>
      </c>
      <c r="AB6" s="347">
        <v>0</v>
      </c>
      <c r="AC6" s="347">
        <v>0</v>
      </c>
      <c r="AD6" s="347">
        <v>0</v>
      </c>
      <c r="AE6" s="347">
        <v>0</v>
      </c>
      <c r="AF6" s="347">
        <v>0</v>
      </c>
      <c r="AG6" s="347">
        <v>0</v>
      </c>
      <c r="AH6" s="347">
        <v>0</v>
      </c>
      <c r="AI6" s="347">
        <v>0</v>
      </c>
      <c r="AJ6" s="347">
        <v>0</v>
      </c>
      <c r="AK6" s="347">
        <v>0</v>
      </c>
      <c r="AL6" s="347">
        <v>0</v>
      </c>
      <c r="AM6" s="347">
        <v>0</v>
      </c>
      <c r="AN6" s="347">
        <v>0</v>
      </c>
      <c r="AO6" s="347">
        <v>0</v>
      </c>
      <c r="AP6" s="347">
        <v>0</v>
      </c>
      <c r="AQ6" s="347">
        <v>412.5</v>
      </c>
      <c r="AR6" s="347">
        <v>0</v>
      </c>
      <c r="AS6" s="347">
        <v>0</v>
      </c>
      <c r="AT6" s="347">
        <v>495</v>
      </c>
      <c r="AU6" s="347">
        <v>0</v>
      </c>
      <c r="AV6" s="347">
        <v>0</v>
      </c>
      <c r="AW6" s="347">
        <v>0</v>
      </c>
    </row>
    <row r="7" spans="1:49" x14ac:dyDescent="0.3">
      <c r="A7" s="347" t="s">
        <v>190</v>
      </c>
      <c r="B7" s="370">
        <v>4</v>
      </c>
      <c r="C7" s="347">
        <v>59</v>
      </c>
      <c r="D7" s="347">
        <v>1</v>
      </c>
      <c r="E7" s="347">
        <v>3</v>
      </c>
      <c r="F7" s="347">
        <v>226.92</v>
      </c>
      <c r="G7" s="347">
        <v>0</v>
      </c>
      <c r="H7" s="347">
        <v>0</v>
      </c>
      <c r="I7" s="347">
        <v>0</v>
      </c>
      <c r="J7" s="347">
        <v>0</v>
      </c>
      <c r="K7" s="347">
        <v>0</v>
      </c>
      <c r="L7" s="347">
        <v>22</v>
      </c>
      <c r="M7" s="347">
        <v>0</v>
      </c>
      <c r="N7" s="347">
        <v>0</v>
      </c>
      <c r="O7" s="347">
        <v>0</v>
      </c>
      <c r="P7" s="347">
        <v>0</v>
      </c>
      <c r="Q7" s="347">
        <v>56.25</v>
      </c>
      <c r="R7" s="347">
        <v>126.94</v>
      </c>
      <c r="S7" s="347">
        <v>21.73</v>
      </c>
      <c r="T7" s="347">
        <v>0</v>
      </c>
      <c r="U7" s="347">
        <v>0</v>
      </c>
      <c r="V7" s="347">
        <v>0</v>
      </c>
      <c r="W7" s="347">
        <v>0</v>
      </c>
      <c r="X7" s="347">
        <v>0</v>
      </c>
      <c r="Y7" s="347">
        <v>0</v>
      </c>
      <c r="Z7" s="347">
        <v>0</v>
      </c>
      <c r="AA7" s="347">
        <v>0</v>
      </c>
      <c r="AB7" s="347">
        <v>0</v>
      </c>
      <c r="AC7" s="347">
        <v>0</v>
      </c>
      <c r="AD7" s="347">
        <v>0</v>
      </c>
      <c r="AE7" s="347">
        <v>0</v>
      </c>
      <c r="AF7" s="347">
        <v>0</v>
      </c>
      <c r="AG7" s="347">
        <v>0</v>
      </c>
      <c r="AH7" s="347">
        <v>0</v>
      </c>
      <c r="AI7" s="347">
        <v>0</v>
      </c>
      <c r="AJ7" s="347">
        <v>0</v>
      </c>
      <c r="AK7" s="347">
        <v>0</v>
      </c>
      <c r="AL7" s="347">
        <v>0</v>
      </c>
      <c r="AM7" s="347">
        <v>0</v>
      </c>
      <c r="AN7" s="347">
        <v>0</v>
      </c>
      <c r="AO7" s="347">
        <v>0</v>
      </c>
      <c r="AP7" s="347">
        <v>0</v>
      </c>
      <c r="AQ7" s="347">
        <v>0</v>
      </c>
      <c r="AR7" s="347">
        <v>0</v>
      </c>
      <c r="AS7" s="347">
        <v>0</v>
      </c>
      <c r="AT7" s="347">
        <v>0</v>
      </c>
      <c r="AU7" s="347">
        <v>0</v>
      </c>
      <c r="AV7" s="347">
        <v>0</v>
      </c>
      <c r="AW7" s="347">
        <v>0</v>
      </c>
    </row>
    <row r="8" spans="1:49" x14ac:dyDescent="0.3">
      <c r="A8" s="347" t="s">
        <v>191</v>
      </c>
      <c r="B8" s="370">
        <v>5</v>
      </c>
      <c r="C8" s="347">
        <v>59</v>
      </c>
      <c r="D8" s="347">
        <v>1</v>
      </c>
      <c r="E8" s="347">
        <v>4</v>
      </c>
      <c r="F8" s="347">
        <v>689</v>
      </c>
      <c r="G8" s="347">
        <v>0</v>
      </c>
      <c r="H8" s="347">
        <v>0</v>
      </c>
      <c r="I8" s="347">
        <v>0</v>
      </c>
      <c r="J8" s="347">
        <v>0</v>
      </c>
      <c r="K8" s="347">
        <v>11</v>
      </c>
      <c r="L8" s="347">
        <v>91</v>
      </c>
      <c r="M8" s="347">
        <v>0</v>
      </c>
      <c r="N8" s="347">
        <v>0</v>
      </c>
      <c r="O8" s="347">
        <v>0</v>
      </c>
      <c r="P8" s="347">
        <v>0</v>
      </c>
      <c r="Q8" s="347">
        <v>212.5</v>
      </c>
      <c r="R8" s="347">
        <v>157.5</v>
      </c>
      <c r="S8" s="347">
        <v>83.5</v>
      </c>
      <c r="T8" s="347">
        <v>0</v>
      </c>
      <c r="U8" s="347">
        <v>0</v>
      </c>
      <c r="V8" s="347">
        <v>0</v>
      </c>
      <c r="W8" s="347">
        <v>0</v>
      </c>
      <c r="X8" s="347">
        <v>0</v>
      </c>
      <c r="Y8" s="347">
        <v>0</v>
      </c>
      <c r="Z8" s="347">
        <v>0</v>
      </c>
      <c r="AA8" s="347">
        <v>0</v>
      </c>
      <c r="AB8" s="347">
        <v>0</v>
      </c>
      <c r="AC8" s="347">
        <v>0</v>
      </c>
      <c r="AD8" s="347">
        <v>0</v>
      </c>
      <c r="AE8" s="347">
        <v>0</v>
      </c>
      <c r="AF8" s="347">
        <v>0</v>
      </c>
      <c r="AG8" s="347">
        <v>0</v>
      </c>
      <c r="AH8" s="347">
        <v>0</v>
      </c>
      <c r="AI8" s="347">
        <v>0</v>
      </c>
      <c r="AJ8" s="347">
        <v>0</v>
      </c>
      <c r="AK8" s="347">
        <v>0</v>
      </c>
      <c r="AL8" s="347">
        <v>0</v>
      </c>
      <c r="AM8" s="347">
        <v>0</v>
      </c>
      <c r="AN8" s="347">
        <v>0</v>
      </c>
      <c r="AO8" s="347">
        <v>0</v>
      </c>
      <c r="AP8" s="347">
        <v>0</v>
      </c>
      <c r="AQ8" s="347">
        <v>48</v>
      </c>
      <c r="AR8" s="347">
        <v>0</v>
      </c>
      <c r="AS8" s="347">
        <v>0</v>
      </c>
      <c r="AT8" s="347">
        <v>85.5</v>
      </c>
      <c r="AU8" s="347">
        <v>0</v>
      </c>
      <c r="AV8" s="347">
        <v>0</v>
      </c>
      <c r="AW8" s="347">
        <v>0</v>
      </c>
    </row>
    <row r="9" spans="1:49" x14ac:dyDescent="0.3">
      <c r="A9" s="347" t="s">
        <v>192</v>
      </c>
      <c r="B9" s="370">
        <v>6</v>
      </c>
      <c r="C9" s="347">
        <v>59</v>
      </c>
      <c r="D9" s="347">
        <v>1</v>
      </c>
      <c r="E9" s="347">
        <v>6</v>
      </c>
      <c r="F9" s="347">
        <v>2699848</v>
      </c>
      <c r="G9" s="347">
        <v>0</v>
      </c>
      <c r="H9" s="347">
        <v>0</v>
      </c>
      <c r="I9" s="347">
        <v>28110</v>
      </c>
      <c r="J9" s="347">
        <v>0</v>
      </c>
      <c r="K9" s="347">
        <v>47169</v>
      </c>
      <c r="L9" s="347">
        <v>635591</v>
      </c>
      <c r="M9" s="347">
        <v>0</v>
      </c>
      <c r="N9" s="347">
        <v>0</v>
      </c>
      <c r="O9" s="347">
        <v>0</v>
      </c>
      <c r="P9" s="347">
        <v>0</v>
      </c>
      <c r="Q9" s="347">
        <v>613565</v>
      </c>
      <c r="R9" s="347">
        <v>811922</v>
      </c>
      <c r="S9" s="347">
        <v>383666</v>
      </c>
      <c r="T9" s="347">
        <v>0</v>
      </c>
      <c r="U9" s="347">
        <v>0</v>
      </c>
      <c r="V9" s="347">
        <v>0</v>
      </c>
      <c r="W9" s="347">
        <v>0</v>
      </c>
      <c r="X9" s="347">
        <v>0</v>
      </c>
      <c r="Y9" s="347">
        <v>0</v>
      </c>
      <c r="Z9" s="347">
        <v>0</v>
      </c>
      <c r="AA9" s="347">
        <v>0</v>
      </c>
      <c r="AB9" s="347">
        <v>0</v>
      </c>
      <c r="AC9" s="347">
        <v>0</v>
      </c>
      <c r="AD9" s="347">
        <v>0</v>
      </c>
      <c r="AE9" s="347">
        <v>0</v>
      </c>
      <c r="AF9" s="347">
        <v>0</v>
      </c>
      <c r="AG9" s="347">
        <v>0</v>
      </c>
      <c r="AH9" s="347">
        <v>0</v>
      </c>
      <c r="AI9" s="347">
        <v>0</v>
      </c>
      <c r="AJ9" s="347">
        <v>0</v>
      </c>
      <c r="AK9" s="347">
        <v>0</v>
      </c>
      <c r="AL9" s="347">
        <v>0</v>
      </c>
      <c r="AM9" s="347">
        <v>0</v>
      </c>
      <c r="AN9" s="347">
        <v>0</v>
      </c>
      <c r="AO9" s="347">
        <v>0</v>
      </c>
      <c r="AP9" s="347">
        <v>0</v>
      </c>
      <c r="AQ9" s="347">
        <v>86665</v>
      </c>
      <c r="AR9" s="347">
        <v>0</v>
      </c>
      <c r="AS9" s="347">
        <v>0</v>
      </c>
      <c r="AT9" s="347">
        <v>93160</v>
      </c>
      <c r="AU9" s="347">
        <v>0</v>
      </c>
      <c r="AV9" s="347">
        <v>0</v>
      </c>
      <c r="AW9" s="347">
        <v>0</v>
      </c>
    </row>
    <row r="10" spans="1:49" x14ac:dyDescent="0.3">
      <c r="A10" s="347" t="s">
        <v>193</v>
      </c>
      <c r="B10" s="370">
        <v>7</v>
      </c>
      <c r="C10" s="347">
        <v>59</v>
      </c>
      <c r="D10" s="347">
        <v>1</v>
      </c>
      <c r="E10" s="347">
        <v>9</v>
      </c>
      <c r="F10" s="347">
        <v>10576</v>
      </c>
      <c r="G10" s="347">
        <v>0</v>
      </c>
      <c r="H10" s="347">
        <v>0</v>
      </c>
      <c r="I10" s="347">
        <v>0</v>
      </c>
      <c r="J10" s="347">
        <v>0</v>
      </c>
      <c r="K10" s="347">
        <v>0</v>
      </c>
      <c r="L10" s="347">
        <v>0</v>
      </c>
      <c r="M10" s="347">
        <v>0</v>
      </c>
      <c r="N10" s="347">
        <v>0</v>
      </c>
      <c r="O10" s="347">
        <v>0</v>
      </c>
      <c r="P10" s="347">
        <v>0</v>
      </c>
      <c r="Q10" s="347">
        <v>3525</v>
      </c>
      <c r="R10" s="347">
        <v>3525</v>
      </c>
      <c r="S10" s="347">
        <v>3526</v>
      </c>
      <c r="T10" s="347">
        <v>0</v>
      </c>
      <c r="U10" s="347">
        <v>0</v>
      </c>
      <c r="V10" s="347">
        <v>0</v>
      </c>
      <c r="W10" s="347">
        <v>0</v>
      </c>
      <c r="X10" s="347">
        <v>0</v>
      </c>
      <c r="Y10" s="347">
        <v>0</v>
      </c>
      <c r="Z10" s="347">
        <v>0</v>
      </c>
      <c r="AA10" s="347">
        <v>0</v>
      </c>
      <c r="AB10" s="347">
        <v>0</v>
      </c>
      <c r="AC10" s="347">
        <v>0</v>
      </c>
      <c r="AD10" s="347">
        <v>0</v>
      </c>
      <c r="AE10" s="347">
        <v>0</v>
      </c>
      <c r="AF10" s="347">
        <v>0</v>
      </c>
      <c r="AG10" s="347">
        <v>0</v>
      </c>
      <c r="AH10" s="347">
        <v>0</v>
      </c>
      <c r="AI10" s="347">
        <v>0</v>
      </c>
      <c r="AJ10" s="347">
        <v>0</v>
      </c>
      <c r="AK10" s="347">
        <v>0</v>
      </c>
      <c r="AL10" s="347">
        <v>0</v>
      </c>
      <c r="AM10" s="347">
        <v>0</v>
      </c>
      <c r="AN10" s="347">
        <v>0</v>
      </c>
      <c r="AO10" s="347">
        <v>0</v>
      </c>
      <c r="AP10" s="347">
        <v>0</v>
      </c>
      <c r="AQ10" s="347">
        <v>0</v>
      </c>
      <c r="AR10" s="347">
        <v>0</v>
      </c>
      <c r="AS10" s="347">
        <v>0</v>
      </c>
      <c r="AT10" s="347">
        <v>0</v>
      </c>
      <c r="AU10" s="347">
        <v>0</v>
      </c>
      <c r="AV10" s="347">
        <v>0</v>
      </c>
      <c r="AW10" s="347">
        <v>0</v>
      </c>
    </row>
    <row r="11" spans="1:49" x14ac:dyDescent="0.3">
      <c r="A11" s="347" t="s">
        <v>194</v>
      </c>
      <c r="B11" s="370">
        <v>8</v>
      </c>
      <c r="C11" s="347">
        <v>59</v>
      </c>
      <c r="D11" s="347">
        <v>1</v>
      </c>
      <c r="E11" s="347">
        <v>10</v>
      </c>
      <c r="F11" s="347">
        <v>7528</v>
      </c>
      <c r="G11" s="347">
        <v>0</v>
      </c>
      <c r="H11" s="347">
        <v>7528</v>
      </c>
      <c r="I11" s="347">
        <v>0</v>
      </c>
      <c r="J11" s="347">
        <v>0</v>
      </c>
      <c r="K11" s="347">
        <v>0</v>
      </c>
      <c r="L11" s="347">
        <v>0</v>
      </c>
      <c r="M11" s="347">
        <v>0</v>
      </c>
      <c r="N11" s="347">
        <v>0</v>
      </c>
      <c r="O11" s="347">
        <v>0</v>
      </c>
      <c r="P11" s="347">
        <v>0</v>
      </c>
      <c r="Q11" s="347">
        <v>0</v>
      </c>
      <c r="R11" s="347">
        <v>0</v>
      </c>
      <c r="S11" s="347">
        <v>0</v>
      </c>
      <c r="T11" s="347">
        <v>0</v>
      </c>
      <c r="U11" s="347">
        <v>0</v>
      </c>
      <c r="V11" s="347">
        <v>0</v>
      </c>
      <c r="W11" s="347">
        <v>0</v>
      </c>
      <c r="X11" s="347">
        <v>0</v>
      </c>
      <c r="Y11" s="347">
        <v>0</v>
      </c>
      <c r="Z11" s="347">
        <v>0</v>
      </c>
      <c r="AA11" s="347">
        <v>0</v>
      </c>
      <c r="AB11" s="347">
        <v>0</v>
      </c>
      <c r="AC11" s="347">
        <v>0</v>
      </c>
      <c r="AD11" s="347">
        <v>0</v>
      </c>
      <c r="AE11" s="347">
        <v>0</v>
      </c>
      <c r="AF11" s="347">
        <v>0</v>
      </c>
      <c r="AG11" s="347">
        <v>0</v>
      </c>
      <c r="AH11" s="347">
        <v>0</v>
      </c>
      <c r="AI11" s="347">
        <v>0</v>
      </c>
      <c r="AJ11" s="347">
        <v>0</v>
      </c>
      <c r="AK11" s="347">
        <v>0</v>
      </c>
      <c r="AL11" s="347">
        <v>0</v>
      </c>
      <c r="AM11" s="347">
        <v>0</v>
      </c>
      <c r="AN11" s="347">
        <v>0</v>
      </c>
      <c r="AO11" s="347">
        <v>0</v>
      </c>
      <c r="AP11" s="347">
        <v>0</v>
      </c>
      <c r="AQ11" s="347">
        <v>0</v>
      </c>
      <c r="AR11" s="347">
        <v>0</v>
      </c>
      <c r="AS11" s="347">
        <v>0</v>
      </c>
      <c r="AT11" s="347">
        <v>0</v>
      </c>
      <c r="AU11" s="347">
        <v>0</v>
      </c>
      <c r="AV11" s="347">
        <v>0</v>
      </c>
      <c r="AW11" s="347">
        <v>0</v>
      </c>
    </row>
    <row r="12" spans="1:49" x14ac:dyDescent="0.3">
      <c r="A12" s="347" t="s">
        <v>195</v>
      </c>
      <c r="B12" s="370">
        <v>9</v>
      </c>
      <c r="C12" s="347">
        <v>59</v>
      </c>
      <c r="D12" s="347">
        <v>1</v>
      </c>
      <c r="E12" s="347">
        <v>11</v>
      </c>
      <c r="F12" s="347">
        <v>10483.491687055021</v>
      </c>
      <c r="G12" s="347">
        <v>2150.158353721687</v>
      </c>
      <c r="H12" s="347">
        <v>8333.3333333333339</v>
      </c>
      <c r="I12" s="347">
        <v>0</v>
      </c>
      <c r="J12" s="347">
        <v>0</v>
      </c>
      <c r="K12" s="347">
        <v>0</v>
      </c>
      <c r="L12" s="347">
        <v>0</v>
      </c>
      <c r="M12" s="347">
        <v>0</v>
      </c>
      <c r="N12" s="347">
        <v>0</v>
      </c>
      <c r="O12" s="347">
        <v>0</v>
      </c>
      <c r="P12" s="347">
        <v>0</v>
      </c>
      <c r="Q12" s="347">
        <v>0</v>
      </c>
      <c r="R12" s="347">
        <v>0</v>
      </c>
      <c r="S12" s="347">
        <v>0</v>
      </c>
      <c r="T12" s="347">
        <v>0</v>
      </c>
      <c r="U12" s="347">
        <v>0</v>
      </c>
      <c r="V12" s="347">
        <v>0</v>
      </c>
      <c r="W12" s="347">
        <v>0</v>
      </c>
      <c r="X12" s="347">
        <v>0</v>
      </c>
      <c r="Y12" s="347">
        <v>0</v>
      </c>
      <c r="Z12" s="347">
        <v>0</v>
      </c>
      <c r="AA12" s="347">
        <v>0</v>
      </c>
      <c r="AB12" s="347">
        <v>0</v>
      </c>
      <c r="AC12" s="347">
        <v>0</v>
      </c>
      <c r="AD12" s="347">
        <v>0</v>
      </c>
      <c r="AE12" s="347">
        <v>0</v>
      </c>
      <c r="AF12" s="347">
        <v>0</v>
      </c>
      <c r="AG12" s="347">
        <v>0</v>
      </c>
      <c r="AH12" s="347">
        <v>0</v>
      </c>
      <c r="AI12" s="347">
        <v>0</v>
      </c>
      <c r="AJ12" s="347">
        <v>0</v>
      </c>
      <c r="AK12" s="347">
        <v>0</v>
      </c>
      <c r="AL12" s="347">
        <v>0</v>
      </c>
      <c r="AM12" s="347">
        <v>0</v>
      </c>
      <c r="AN12" s="347">
        <v>0</v>
      </c>
      <c r="AO12" s="347">
        <v>0</v>
      </c>
      <c r="AP12" s="347">
        <v>0</v>
      </c>
      <c r="AQ12" s="347">
        <v>0</v>
      </c>
      <c r="AR12" s="347">
        <v>0</v>
      </c>
      <c r="AS12" s="347">
        <v>0</v>
      </c>
      <c r="AT12" s="347">
        <v>0</v>
      </c>
      <c r="AU12" s="347">
        <v>0</v>
      </c>
      <c r="AV12" s="347">
        <v>0</v>
      </c>
      <c r="AW12" s="347">
        <v>0</v>
      </c>
    </row>
    <row r="13" spans="1:49" x14ac:dyDescent="0.3">
      <c r="A13" s="347" t="s">
        <v>196</v>
      </c>
      <c r="B13" s="370">
        <v>10</v>
      </c>
      <c r="C13" s="347">
        <v>59</v>
      </c>
      <c r="D13" s="347">
        <v>2</v>
      </c>
      <c r="E13" s="347">
        <v>1</v>
      </c>
      <c r="F13" s="347">
        <v>59.05</v>
      </c>
      <c r="G13" s="347">
        <v>0</v>
      </c>
      <c r="H13" s="347">
        <v>0</v>
      </c>
      <c r="I13" s="347">
        <v>1</v>
      </c>
      <c r="J13" s="347">
        <v>0</v>
      </c>
      <c r="K13" s="347">
        <v>1</v>
      </c>
      <c r="L13" s="347">
        <v>7.3</v>
      </c>
      <c r="M13" s="347">
        <v>0</v>
      </c>
      <c r="N13" s="347">
        <v>0</v>
      </c>
      <c r="O13" s="347">
        <v>0</v>
      </c>
      <c r="P13" s="347">
        <v>0</v>
      </c>
      <c r="Q13" s="347">
        <v>18.5</v>
      </c>
      <c r="R13" s="347">
        <v>18</v>
      </c>
      <c r="S13" s="347">
        <v>7.25</v>
      </c>
      <c r="T13" s="347">
        <v>0</v>
      </c>
      <c r="U13" s="347">
        <v>0</v>
      </c>
      <c r="V13" s="347">
        <v>0</v>
      </c>
      <c r="W13" s="347">
        <v>0</v>
      </c>
      <c r="X13" s="347">
        <v>0</v>
      </c>
      <c r="Y13" s="347">
        <v>0</v>
      </c>
      <c r="Z13" s="347">
        <v>0</v>
      </c>
      <c r="AA13" s="347">
        <v>0</v>
      </c>
      <c r="AB13" s="347">
        <v>0</v>
      </c>
      <c r="AC13" s="347">
        <v>0</v>
      </c>
      <c r="AD13" s="347">
        <v>0</v>
      </c>
      <c r="AE13" s="347">
        <v>0</v>
      </c>
      <c r="AF13" s="347">
        <v>0</v>
      </c>
      <c r="AG13" s="347">
        <v>0</v>
      </c>
      <c r="AH13" s="347">
        <v>0</v>
      </c>
      <c r="AI13" s="347">
        <v>0</v>
      </c>
      <c r="AJ13" s="347">
        <v>0</v>
      </c>
      <c r="AK13" s="347">
        <v>0</v>
      </c>
      <c r="AL13" s="347">
        <v>0</v>
      </c>
      <c r="AM13" s="347">
        <v>0</v>
      </c>
      <c r="AN13" s="347">
        <v>0</v>
      </c>
      <c r="AO13" s="347">
        <v>0</v>
      </c>
      <c r="AP13" s="347">
        <v>0</v>
      </c>
      <c r="AQ13" s="347">
        <v>3</v>
      </c>
      <c r="AR13" s="347">
        <v>0</v>
      </c>
      <c r="AS13" s="347">
        <v>0</v>
      </c>
      <c r="AT13" s="347">
        <v>3</v>
      </c>
      <c r="AU13" s="347">
        <v>0</v>
      </c>
      <c r="AV13" s="347">
        <v>0</v>
      </c>
      <c r="AW13" s="347">
        <v>0</v>
      </c>
    </row>
    <row r="14" spans="1:49" x14ac:dyDescent="0.3">
      <c r="A14" s="347" t="s">
        <v>197</v>
      </c>
      <c r="B14" s="370">
        <v>11</v>
      </c>
      <c r="C14" s="347">
        <v>59</v>
      </c>
      <c r="D14" s="347">
        <v>2</v>
      </c>
      <c r="E14" s="347">
        <v>2</v>
      </c>
      <c r="F14" s="347">
        <v>8065.6</v>
      </c>
      <c r="G14" s="347">
        <v>0</v>
      </c>
      <c r="H14" s="347">
        <v>0</v>
      </c>
      <c r="I14" s="347">
        <v>160</v>
      </c>
      <c r="J14" s="347">
        <v>0</v>
      </c>
      <c r="K14" s="347">
        <v>150</v>
      </c>
      <c r="L14" s="347">
        <v>986.52</v>
      </c>
      <c r="M14" s="347">
        <v>0</v>
      </c>
      <c r="N14" s="347">
        <v>0</v>
      </c>
      <c r="O14" s="347">
        <v>0</v>
      </c>
      <c r="P14" s="347">
        <v>0</v>
      </c>
      <c r="Q14" s="347">
        <v>2499</v>
      </c>
      <c r="R14" s="347">
        <v>2356.56</v>
      </c>
      <c r="S14" s="347">
        <v>1073.52</v>
      </c>
      <c r="T14" s="347">
        <v>0</v>
      </c>
      <c r="U14" s="347">
        <v>0</v>
      </c>
      <c r="V14" s="347">
        <v>0</v>
      </c>
      <c r="W14" s="347">
        <v>0</v>
      </c>
      <c r="X14" s="347">
        <v>0</v>
      </c>
      <c r="Y14" s="347">
        <v>0</v>
      </c>
      <c r="Z14" s="347">
        <v>0</v>
      </c>
      <c r="AA14" s="347">
        <v>0</v>
      </c>
      <c r="AB14" s="347">
        <v>0</v>
      </c>
      <c r="AC14" s="347">
        <v>0</v>
      </c>
      <c r="AD14" s="347">
        <v>0</v>
      </c>
      <c r="AE14" s="347">
        <v>0</v>
      </c>
      <c r="AF14" s="347">
        <v>0</v>
      </c>
      <c r="AG14" s="347">
        <v>0</v>
      </c>
      <c r="AH14" s="347">
        <v>0</v>
      </c>
      <c r="AI14" s="347">
        <v>0</v>
      </c>
      <c r="AJ14" s="347">
        <v>0</v>
      </c>
      <c r="AK14" s="347">
        <v>0</v>
      </c>
      <c r="AL14" s="347">
        <v>0</v>
      </c>
      <c r="AM14" s="347">
        <v>0</v>
      </c>
      <c r="AN14" s="347">
        <v>0</v>
      </c>
      <c r="AO14" s="347">
        <v>0</v>
      </c>
      <c r="AP14" s="347">
        <v>0</v>
      </c>
      <c r="AQ14" s="347">
        <v>390</v>
      </c>
      <c r="AR14" s="347">
        <v>0</v>
      </c>
      <c r="AS14" s="347">
        <v>0</v>
      </c>
      <c r="AT14" s="347">
        <v>450</v>
      </c>
      <c r="AU14" s="347">
        <v>0</v>
      </c>
      <c r="AV14" s="347">
        <v>0</v>
      </c>
      <c r="AW14" s="347">
        <v>0</v>
      </c>
    </row>
    <row r="15" spans="1:49" x14ac:dyDescent="0.3">
      <c r="A15" s="347" t="s">
        <v>198</v>
      </c>
      <c r="B15" s="370">
        <v>12</v>
      </c>
      <c r="C15" s="347">
        <v>59</v>
      </c>
      <c r="D15" s="347">
        <v>2</v>
      </c>
      <c r="E15" s="347">
        <v>3</v>
      </c>
      <c r="F15" s="347">
        <v>205.27</v>
      </c>
      <c r="G15" s="347">
        <v>0</v>
      </c>
      <c r="H15" s="347">
        <v>0</v>
      </c>
      <c r="I15" s="347">
        <v>0</v>
      </c>
      <c r="J15" s="347">
        <v>0</v>
      </c>
      <c r="K15" s="347">
        <v>0</v>
      </c>
      <c r="L15" s="347">
        <v>38.21</v>
      </c>
      <c r="M15" s="347">
        <v>0</v>
      </c>
      <c r="N15" s="347">
        <v>0</v>
      </c>
      <c r="O15" s="347">
        <v>0</v>
      </c>
      <c r="P15" s="347">
        <v>0</v>
      </c>
      <c r="Q15" s="347">
        <v>49.5</v>
      </c>
      <c r="R15" s="347">
        <v>80.81</v>
      </c>
      <c r="S15" s="347">
        <v>36.75</v>
      </c>
      <c r="T15" s="347">
        <v>0</v>
      </c>
      <c r="U15" s="347">
        <v>0</v>
      </c>
      <c r="V15" s="347">
        <v>0</v>
      </c>
      <c r="W15" s="347">
        <v>0</v>
      </c>
      <c r="X15" s="347">
        <v>0</v>
      </c>
      <c r="Y15" s="347">
        <v>0</v>
      </c>
      <c r="Z15" s="347">
        <v>0</v>
      </c>
      <c r="AA15" s="347">
        <v>0</v>
      </c>
      <c r="AB15" s="347">
        <v>0</v>
      </c>
      <c r="AC15" s="347">
        <v>0</v>
      </c>
      <c r="AD15" s="347">
        <v>0</v>
      </c>
      <c r="AE15" s="347">
        <v>0</v>
      </c>
      <c r="AF15" s="347">
        <v>0</v>
      </c>
      <c r="AG15" s="347">
        <v>0</v>
      </c>
      <c r="AH15" s="347">
        <v>0</v>
      </c>
      <c r="AI15" s="347">
        <v>0</v>
      </c>
      <c r="AJ15" s="347">
        <v>0</v>
      </c>
      <c r="AK15" s="347">
        <v>0</v>
      </c>
      <c r="AL15" s="347">
        <v>0</v>
      </c>
      <c r="AM15" s="347">
        <v>0</v>
      </c>
      <c r="AN15" s="347">
        <v>0</v>
      </c>
      <c r="AO15" s="347">
        <v>0</v>
      </c>
      <c r="AP15" s="347">
        <v>0</v>
      </c>
      <c r="AQ15" s="347">
        <v>0</v>
      </c>
      <c r="AR15" s="347">
        <v>0</v>
      </c>
      <c r="AS15" s="347">
        <v>0</v>
      </c>
      <c r="AT15" s="347">
        <v>0</v>
      </c>
      <c r="AU15" s="347">
        <v>0</v>
      </c>
      <c r="AV15" s="347">
        <v>0</v>
      </c>
      <c r="AW15" s="347">
        <v>0</v>
      </c>
    </row>
    <row r="16" spans="1:49" x14ac:dyDescent="0.3">
      <c r="A16" s="347" t="s">
        <v>186</v>
      </c>
      <c r="B16" s="370">
        <v>2017</v>
      </c>
      <c r="C16" s="347">
        <v>59</v>
      </c>
      <c r="D16" s="347">
        <v>2</v>
      </c>
      <c r="E16" s="347">
        <v>4</v>
      </c>
      <c r="F16" s="347">
        <v>426</v>
      </c>
      <c r="G16" s="347">
        <v>0</v>
      </c>
      <c r="H16" s="347">
        <v>0</v>
      </c>
      <c r="I16" s="347">
        <v>0</v>
      </c>
      <c r="J16" s="347">
        <v>0</v>
      </c>
      <c r="K16" s="347">
        <v>22</v>
      </c>
      <c r="L16" s="347">
        <v>131</v>
      </c>
      <c r="M16" s="347">
        <v>0</v>
      </c>
      <c r="N16" s="347">
        <v>0</v>
      </c>
      <c r="O16" s="347">
        <v>0</v>
      </c>
      <c r="P16" s="347">
        <v>0</v>
      </c>
      <c r="Q16" s="347">
        <v>70</v>
      </c>
      <c r="R16" s="347">
        <v>94</v>
      </c>
      <c r="S16" s="347">
        <v>15</v>
      </c>
      <c r="T16" s="347">
        <v>0</v>
      </c>
      <c r="U16" s="347">
        <v>0</v>
      </c>
      <c r="V16" s="347">
        <v>0</v>
      </c>
      <c r="W16" s="347">
        <v>0</v>
      </c>
      <c r="X16" s="347">
        <v>0</v>
      </c>
      <c r="Y16" s="347">
        <v>0</v>
      </c>
      <c r="Z16" s="347">
        <v>0</v>
      </c>
      <c r="AA16" s="347">
        <v>0</v>
      </c>
      <c r="AB16" s="347">
        <v>0</v>
      </c>
      <c r="AC16" s="347">
        <v>0</v>
      </c>
      <c r="AD16" s="347">
        <v>0</v>
      </c>
      <c r="AE16" s="347">
        <v>0</v>
      </c>
      <c r="AF16" s="347">
        <v>0</v>
      </c>
      <c r="AG16" s="347">
        <v>0</v>
      </c>
      <c r="AH16" s="347">
        <v>0</v>
      </c>
      <c r="AI16" s="347">
        <v>0</v>
      </c>
      <c r="AJ16" s="347">
        <v>0</v>
      </c>
      <c r="AK16" s="347">
        <v>0</v>
      </c>
      <c r="AL16" s="347">
        <v>0</v>
      </c>
      <c r="AM16" s="347">
        <v>0</v>
      </c>
      <c r="AN16" s="347">
        <v>0</v>
      </c>
      <c r="AO16" s="347">
        <v>0</v>
      </c>
      <c r="AP16" s="347">
        <v>0</v>
      </c>
      <c r="AQ16" s="347">
        <v>49</v>
      </c>
      <c r="AR16" s="347">
        <v>0</v>
      </c>
      <c r="AS16" s="347">
        <v>0</v>
      </c>
      <c r="AT16" s="347">
        <v>45</v>
      </c>
      <c r="AU16" s="347">
        <v>0</v>
      </c>
      <c r="AV16" s="347">
        <v>0</v>
      </c>
      <c r="AW16" s="347">
        <v>0</v>
      </c>
    </row>
    <row r="17" spans="3:49" x14ac:dyDescent="0.3">
      <c r="C17" s="347">
        <v>59</v>
      </c>
      <c r="D17" s="347">
        <v>2</v>
      </c>
      <c r="E17" s="347">
        <v>5</v>
      </c>
      <c r="F17" s="347">
        <v>48</v>
      </c>
      <c r="G17" s="347">
        <v>0</v>
      </c>
      <c r="H17" s="347">
        <v>0</v>
      </c>
      <c r="I17" s="347">
        <v>0</v>
      </c>
      <c r="J17" s="347">
        <v>0</v>
      </c>
      <c r="K17" s="347">
        <v>0</v>
      </c>
      <c r="L17" s="347">
        <v>0</v>
      </c>
      <c r="M17" s="347">
        <v>0</v>
      </c>
      <c r="N17" s="347">
        <v>0</v>
      </c>
      <c r="O17" s="347">
        <v>0</v>
      </c>
      <c r="P17" s="347">
        <v>0</v>
      </c>
      <c r="Q17" s="347">
        <v>0</v>
      </c>
      <c r="R17" s="347">
        <v>48</v>
      </c>
      <c r="S17" s="347">
        <v>0</v>
      </c>
      <c r="T17" s="347">
        <v>0</v>
      </c>
      <c r="U17" s="347">
        <v>0</v>
      </c>
      <c r="V17" s="347">
        <v>0</v>
      </c>
      <c r="W17" s="347">
        <v>0</v>
      </c>
      <c r="X17" s="347">
        <v>0</v>
      </c>
      <c r="Y17" s="347">
        <v>0</v>
      </c>
      <c r="Z17" s="347">
        <v>0</v>
      </c>
      <c r="AA17" s="347">
        <v>0</v>
      </c>
      <c r="AB17" s="347">
        <v>0</v>
      </c>
      <c r="AC17" s="347">
        <v>0</v>
      </c>
      <c r="AD17" s="347">
        <v>0</v>
      </c>
      <c r="AE17" s="347">
        <v>0</v>
      </c>
      <c r="AF17" s="347">
        <v>0</v>
      </c>
      <c r="AG17" s="347">
        <v>0</v>
      </c>
      <c r="AH17" s="347">
        <v>0</v>
      </c>
      <c r="AI17" s="347">
        <v>0</v>
      </c>
      <c r="AJ17" s="347">
        <v>0</v>
      </c>
      <c r="AK17" s="347">
        <v>0</v>
      </c>
      <c r="AL17" s="347">
        <v>0</v>
      </c>
      <c r="AM17" s="347">
        <v>0</v>
      </c>
      <c r="AN17" s="347">
        <v>0</v>
      </c>
      <c r="AO17" s="347">
        <v>0</v>
      </c>
      <c r="AP17" s="347">
        <v>0</v>
      </c>
      <c r="AQ17" s="347">
        <v>0</v>
      </c>
      <c r="AR17" s="347">
        <v>0</v>
      </c>
      <c r="AS17" s="347">
        <v>0</v>
      </c>
      <c r="AT17" s="347">
        <v>0</v>
      </c>
      <c r="AU17" s="347">
        <v>0</v>
      </c>
      <c r="AV17" s="347">
        <v>0</v>
      </c>
      <c r="AW17" s="347">
        <v>0</v>
      </c>
    </row>
    <row r="18" spans="3:49" x14ac:dyDescent="0.3">
      <c r="C18" s="347">
        <v>59</v>
      </c>
      <c r="D18" s="347">
        <v>2</v>
      </c>
      <c r="E18" s="347">
        <v>6</v>
      </c>
      <c r="F18" s="347">
        <v>2582123</v>
      </c>
      <c r="G18" s="347">
        <v>0</v>
      </c>
      <c r="H18" s="347">
        <v>0</v>
      </c>
      <c r="I18" s="347">
        <v>28110</v>
      </c>
      <c r="J18" s="347">
        <v>0</v>
      </c>
      <c r="K18" s="347">
        <v>52503</v>
      </c>
      <c r="L18" s="347">
        <v>677722</v>
      </c>
      <c r="M18" s="347">
        <v>0</v>
      </c>
      <c r="N18" s="347">
        <v>0</v>
      </c>
      <c r="O18" s="347">
        <v>0</v>
      </c>
      <c r="P18" s="347">
        <v>0</v>
      </c>
      <c r="Q18" s="347">
        <v>563550</v>
      </c>
      <c r="R18" s="347">
        <v>750619</v>
      </c>
      <c r="S18" s="347">
        <v>342093</v>
      </c>
      <c r="T18" s="347">
        <v>0</v>
      </c>
      <c r="U18" s="347">
        <v>0</v>
      </c>
      <c r="V18" s="347">
        <v>0</v>
      </c>
      <c r="W18" s="347">
        <v>0</v>
      </c>
      <c r="X18" s="347">
        <v>0</v>
      </c>
      <c r="Y18" s="347">
        <v>0</v>
      </c>
      <c r="Z18" s="347">
        <v>0</v>
      </c>
      <c r="AA18" s="347">
        <v>0</v>
      </c>
      <c r="AB18" s="347">
        <v>0</v>
      </c>
      <c r="AC18" s="347">
        <v>0</v>
      </c>
      <c r="AD18" s="347">
        <v>0</v>
      </c>
      <c r="AE18" s="347">
        <v>0</v>
      </c>
      <c r="AF18" s="347">
        <v>0</v>
      </c>
      <c r="AG18" s="347">
        <v>0</v>
      </c>
      <c r="AH18" s="347">
        <v>0</v>
      </c>
      <c r="AI18" s="347">
        <v>0</v>
      </c>
      <c r="AJ18" s="347">
        <v>0</v>
      </c>
      <c r="AK18" s="347">
        <v>0</v>
      </c>
      <c r="AL18" s="347">
        <v>0</v>
      </c>
      <c r="AM18" s="347">
        <v>0</v>
      </c>
      <c r="AN18" s="347">
        <v>0</v>
      </c>
      <c r="AO18" s="347">
        <v>0</v>
      </c>
      <c r="AP18" s="347">
        <v>0</v>
      </c>
      <c r="AQ18" s="347">
        <v>85119</v>
      </c>
      <c r="AR18" s="347">
        <v>0</v>
      </c>
      <c r="AS18" s="347">
        <v>0</v>
      </c>
      <c r="AT18" s="347">
        <v>82407</v>
      </c>
      <c r="AU18" s="347">
        <v>0</v>
      </c>
      <c r="AV18" s="347">
        <v>0</v>
      </c>
      <c r="AW18" s="347">
        <v>0</v>
      </c>
    </row>
    <row r="19" spans="3:49" x14ac:dyDescent="0.3">
      <c r="C19" s="347">
        <v>59</v>
      </c>
      <c r="D19" s="347">
        <v>2</v>
      </c>
      <c r="E19" s="347">
        <v>9</v>
      </c>
      <c r="F19" s="347">
        <v>10576</v>
      </c>
      <c r="G19" s="347">
        <v>0</v>
      </c>
      <c r="H19" s="347">
        <v>0</v>
      </c>
      <c r="I19" s="347">
        <v>0</v>
      </c>
      <c r="J19" s="347">
        <v>0</v>
      </c>
      <c r="K19" s="347">
        <v>0</v>
      </c>
      <c r="L19" s="347">
        <v>0</v>
      </c>
      <c r="M19" s="347">
        <v>0</v>
      </c>
      <c r="N19" s="347">
        <v>0</v>
      </c>
      <c r="O19" s="347">
        <v>0</v>
      </c>
      <c r="P19" s="347">
        <v>0</v>
      </c>
      <c r="Q19" s="347">
        <v>6576</v>
      </c>
      <c r="R19" s="347">
        <v>0</v>
      </c>
      <c r="S19" s="347">
        <v>4000</v>
      </c>
      <c r="T19" s="347">
        <v>0</v>
      </c>
      <c r="U19" s="347">
        <v>0</v>
      </c>
      <c r="V19" s="347">
        <v>0</v>
      </c>
      <c r="W19" s="347">
        <v>0</v>
      </c>
      <c r="X19" s="347">
        <v>0</v>
      </c>
      <c r="Y19" s="347">
        <v>0</v>
      </c>
      <c r="Z19" s="347">
        <v>0</v>
      </c>
      <c r="AA19" s="347">
        <v>0</v>
      </c>
      <c r="AB19" s="347">
        <v>0</v>
      </c>
      <c r="AC19" s="347">
        <v>0</v>
      </c>
      <c r="AD19" s="347">
        <v>0</v>
      </c>
      <c r="AE19" s="347">
        <v>0</v>
      </c>
      <c r="AF19" s="347">
        <v>0</v>
      </c>
      <c r="AG19" s="347">
        <v>0</v>
      </c>
      <c r="AH19" s="347">
        <v>0</v>
      </c>
      <c r="AI19" s="347">
        <v>0</v>
      </c>
      <c r="AJ19" s="347">
        <v>0</v>
      </c>
      <c r="AK19" s="347">
        <v>0</v>
      </c>
      <c r="AL19" s="347">
        <v>0</v>
      </c>
      <c r="AM19" s="347">
        <v>0</v>
      </c>
      <c r="AN19" s="347">
        <v>0</v>
      </c>
      <c r="AO19" s="347">
        <v>0</v>
      </c>
      <c r="AP19" s="347">
        <v>0</v>
      </c>
      <c r="AQ19" s="347">
        <v>0</v>
      </c>
      <c r="AR19" s="347">
        <v>0</v>
      </c>
      <c r="AS19" s="347">
        <v>0</v>
      </c>
      <c r="AT19" s="347">
        <v>0</v>
      </c>
      <c r="AU19" s="347">
        <v>0</v>
      </c>
      <c r="AV19" s="347">
        <v>0</v>
      </c>
      <c r="AW19" s="347">
        <v>0</v>
      </c>
    </row>
    <row r="20" spans="3:49" x14ac:dyDescent="0.3">
      <c r="C20" s="347">
        <v>59</v>
      </c>
      <c r="D20" s="347">
        <v>2</v>
      </c>
      <c r="E20" s="347">
        <v>10</v>
      </c>
      <c r="F20" s="347">
        <v>11648</v>
      </c>
      <c r="G20" s="347">
        <v>0</v>
      </c>
      <c r="H20" s="347">
        <v>11648</v>
      </c>
      <c r="I20" s="347">
        <v>0</v>
      </c>
      <c r="J20" s="347">
        <v>0</v>
      </c>
      <c r="K20" s="347">
        <v>0</v>
      </c>
      <c r="L20" s="347">
        <v>0</v>
      </c>
      <c r="M20" s="347">
        <v>0</v>
      </c>
      <c r="N20" s="347">
        <v>0</v>
      </c>
      <c r="O20" s="347">
        <v>0</v>
      </c>
      <c r="P20" s="347">
        <v>0</v>
      </c>
      <c r="Q20" s="347">
        <v>0</v>
      </c>
      <c r="R20" s="347">
        <v>0</v>
      </c>
      <c r="S20" s="347">
        <v>0</v>
      </c>
      <c r="T20" s="347">
        <v>0</v>
      </c>
      <c r="U20" s="347">
        <v>0</v>
      </c>
      <c r="V20" s="347">
        <v>0</v>
      </c>
      <c r="W20" s="347">
        <v>0</v>
      </c>
      <c r="X20" s="347">
        <v>0</v>
      </c>
      <c r="Y20" s="347">
        <v>0</v>
      </c>
      <c r="Z20" s="347">
        <v>0</v>
      </c>
      <c r="AA20" s="347">
        <v>0</v>
      </c>
      <c r="AB20" s="347">
        <v>0</v>
      </c>
      <c r="AC20" s="347">
        <v>0</v>
      </c>
      <c r="AD20" s="347">
        <v>0</v>
      </c>
      <c r="AE20" s="347">
        <v>0</v>
      </c>
      <c r="AF20" s="347">
        <v>0</v>
      </c>
      <c r="AG20" s="347">
        <v>0</v>
      </c>
      <c r="AH20" s="347">
        <v>0</v>
      </c>
      <c r="AI20" s="347">
        <v>0</v>
      </c>
      <c r="AJ20" s="347">
        <v>0</v>
      </c>
      <c r="AK20" s="347">
        <v>0</v>
      </c>
      <c r="AL20" s="347">
        <v>0</v>
      </c>
      <c r="AM20" s="347">
        <v>0</v>
      </c>
      <c r="AN20" s="347">
        <v>0</v>
      </c>
      <c r="AO20" s="347">
        <v>0</v>
      </c>
      <c r="AP20" s="347">
        <v>0</v>
      </c>
      <c r="AQ20" s="347">
        <v>0</v>
      </c>
      <c r="AR20" s="347">
        <v>0</v>
      </c>
      <c r="AS20" s="347">
        <v>0</v>
      </c>
      <c r="AT20" s="347">
        <v>0</v>
      </c>
      <c r="AU20" s="347">
        <v>0</v>
      </c>
      <c r="AV20" s="347">
        <v>0</v>
      </c>
      <c r="AW20" s="347">
        <v>0</v>
      </c>
    </row>
    <row r="21" spans="3:49" x14ac:dyDescent="0.3">
      <c r="C21" s="347">
        <v>59</v>
      </c>
      <c r="D21" s="347">
        <v>2</v>
      </c>
      <c r="E21" s="347">
        <v>11</v>
      </c>
      <c r="F21" s="347">
        <v>10483.491687055021</v>
      </c>
      <c r="G21" s="347">
        <v>2150.158353721687</v>
      </c>
      <c r="H21" s="347">
        <v>8333.3333333333339</v>
      </c>
      <c r="I21" s="347">
        <v>0</v>
      </c>
      <c r="J21" s="347">
        <v>0</v>
      </c>
      <c r="K21" s="347">
        <v>0</v>
      </c>
      <c r="L21" s="347">
        <v>0</v>
      </c>
      <c r="M21" s="347">
        <v>0</v>
      </c>
      <c r="N21" s="347">
        <v>0</v>
      </c>
      <c r="O21" s="347">
        <v>0</v>
      </c>
      <c r="P21" s="347">
        <v>0</v>
      </c>
      <c r="Q21" s="347">
        <v>0</v>
      </c>
      <c r="R21" s="347">
        <v>0</v>
      </c>
      <c r="S21" s="347">
        <v>0</v>
      </c>
      <c r="T21" s="347">
        <v>0</v>
      </c>
      <c r="U21" s="347">
        <v>0</v>
      </c>
      <c r="V21" s="347">
        <v>0</v>
      </c>
      <c r="W21" s="347">
        <v>0</v>
      </c>
      <c r="X21" s="347">
        <v>0</v>
      </c>
      <c r="Y21" s="347">
        <v>0</v>
      </c>
      <c r="Z21" s="347">
        <v>0</v>
      </c>
      <c r="AA21" s="347">
        <v>0</v>
      </c>
      <c r="AB21" s="347">
        <v>0</v>
      </c>
      <c r="AC21" s="347">
        <v>0</v>
      </c>
      <c r="AD21" s="347">
        <v>0</v>
      </c>
      <c r="AE21" s="347">
        <v>0</v>
      </c>
      <c r="AF21" s="347">
        <v>0</v>
      </c>
      <c r="AG21" s="347">
        <v>0</v>
      </c>
      <c r="AH21" s="347">
        <v>0</v>
      </c>
      <c r="AI21" s="347">
        <v>0</v>
      </c>
      <c r="AJ21" s="347">
        <v>0</v>
      </c>
      <c r="AK21" s="347">
        <v>0</v>
      </c>
      <c r="AL21" s="347">
        <v>0</v>
      </c>
      <c r="AM21" s="347">
        <v>0</v>
      </c>
      <c r="AN21" s="347">
        <v>0</v>
      </c>
      <c r="AO21" s="347">
        <v>0</v>
      </c>
      <c r="AP21" s="347">
        <v>0</v>
      </c>
      <c r="AQ21" s="347">
        <v>0</v>
      </c>
      <c r="AR21" s="347">
        <v>0</v>
      </c>
      <c r="AS21" s="347">
        <v>0</v>
      </c>
      <c r="AT21" s="347">
        <v>0</v>
      </c>
      <c r="AU21" s="347">
        <v>0</v>
      </c>
      <c r="AV21" s="347">
        <v>0</v>
      </c>
      <c r="AW21" s="347">
        <v>0</v>
      </c>
    </row>
    <row r="22" spans="3:49" x14ac:dyDescent="0.3">
      <c r="C22" s="347">
        <v>59</v>
      </c>
      <c r="D22" s="347">
        <v>3</v>
      </c>
      <c r="E22" s="347">
        <v>1</v>
      </c>
      <c r="F22" s="347">
        <v>59.05</v>
      </c>
      <c r="G22" s="347">
        <v>0</v>
      </c>
      <c r="H22" s="347">
        <v>0</v>
      </c>
      <c r="I22" s="347">
        <v>1</v>
      </c>
      <c r="J22" s="347">
        <v>0</v>
      </c>
      <c r="K22" s="347">
        <v>1</v>
      </c>
      <c r="L22" s="347">
        <v>7.3</v>
      </c>
      <c r="M22" s="347">
        <v>0</v>
      </c>
      <c r="N22" s="347">
        <v>0</v>
      </c>
      <c r="O22" s="347">
        <v>0</v>
      </c>
      <c r="P22" s="347">
        <v>0</v>
      </c>
      <c r="Q22" s="347">
        <v>18.5</v>
      </c>
      <c r="R22" s="347">
        <v>18</v>
      </c>
      <c r="S22" s="347">
        <v>7.25</v>
      </c>
      <c r="T22" s="347">
        <v>0</v>
      </c>
      <c r="U22" s="347">
        <v>0</v>
      </c>
      <c r="V22" s="347">
        <v>0</v>
      </c>
      <c r="W22" s="347">
        <v>0</v>
      </c>
      <c r="X22" s="347">
        <v>0</v>
      </c>
      <c r="Y22" s="347">
        <v>0</v>
      </c>
      <c r="Z22" s="347">
        <v>0</v>
      </c>
      <c r="AA22" s="347">
        <v>0</v>
      </c>
      <c r="AB22" s="347">
        <v>0</v>
      </c>
      <c r="AC22" s="347">
        <v>0</v>
      </c>
      <c r="AD22" s="347">
        <v>0</v>
      </c>
      <c r="AE22" s="347">
        <v>0</v>
      </c>
      <c r="AF22" s="347">
        <v>0</v>
      </c>
      <c r="AG22" s="347">
        <v>0</v>
      </c>
      <c r="AH22" s="347">
        <v>0</v>
      </c>
      <c r="AI22" s="347">
        <v>0</v>
      </c>
      <c r="AJ22" s="347">
        <v>0</v>
      </c>
      <c r="AK22" s="347">
        <v>0</v>
      </c>
      <c r="AL22" s="347">
        <v>0</v>
      </c>
      <c r="AM22" s="347">
        <v>0</v>
      </c>
      <c r="AN22" s="347">
        <v>0</v>
      </c>
      <c r="AO22" s="347">
        <v>0</v>
      </c>
      <c r="AP22" s="347">
        <v>0</v>
      </c>
      <c r="AQ22" s="347">
        <v>3</v>
      </c>
      <c r="AR22" s="347">
        <v>0</v>
      </c>
      <c r="AS22" s="347">
        <v>0</v>
      </c>
      <c r="AT22" s="347">
        <v>3</v>
      </c>
      <c r="AU22" s="347">
        <v>0</v>
      </c>
      <c r="AV22" s="347">
        <v>0</v>
      </c>
      <c r="AW22" s="347">
        <v>0</v>
      </c>
    </row>
    <row r="23" spans="3:49" x14ac:dyDescent="0.3">
      <c r="C23" s="347">
        <v>59</v>
      </c>
      <c r="D23" s="347">
        <v>3</v>
      </c>
      <c r="E23" s="347">
        <v>2</v>
      </c>
      <c r="F23" s="347">
        <v>9028.2199999999993</v>
      </c>
      <c r="G23" s="347">
        <v>0</v>
      </c>
      <c r="H23" s="347">
        <v>0</v>
      </c>
      <c r="I23" s="347">
        <v>184</v>
      </c>
      <c r="J23" s="347">
        <v>0</v>
      </c>
      <c r="K23" s="347">
        <v>136.5</v>
      </c>
      <c r="L23" s="347">
        <v>1087.75</v>
      </c>
      <c r="M23" s="347">
        <v>0</v>
      </c>
      <c r="N23" s="347">
        <v>0</v>
      </c>
      <c r="O23" s="347">
        <v>0</v>
      </c>
      <c r="P23" s="347">
        <v>0</v>
      </c>
      <c r="Q23" s="347">
        <v>2921.25</v>
      </c>
      <c r="R23" s="347">
        <v>2607.0700000000002</v>
      </c>
      <c r="S23" s="347">
        <v>1139.1500000000001</v>
      </c>
      <c r="T23" s="347">
        <v>0</v>
      </c>
      <c r="U23" s="347">
        <v>0</v>
      </c>
      <c r="V23" s="347">
        <v>0</v>
      </c>
      <c r="W23" s="347">
        <v>0</v>
      </c>
      <c r="X23" s="347">
        <v>0</v>
      </c>
      <c r="Y23" s="347">
        <v>0</v>
      </c>
      <c r="Z23" s="347">
        <v>0</v>
      </c>
      <c r="AA23" s="347">
        <v>0</v>
      </c>
      <c r="AB23" s="347">
        <v>0</v>
      </c>
      <c r="AC23" s="347">
        <v>0</v>
      </c>
      <c r="AD23" s="347">
        <v>0</v>
      </c>
      <c r="AE23" s="347">
        <v>0</v>
      </c>
      <c r="AF23" s="347">
        <v>0</v>
      </c>
      <c r="AG23" s="347">
        <v>0</v>
      </c>
      <c r="AH23" s="347">
        <v>0</v>
      </c>
      <c r="AI23" s="347">
        <v>0</v>
      </c>
      <c r="AJ23" s="347">
        <v>0</v>
      </c>
      <c r="AK23" s="347">
        <v>0</v>
      </c>
      <c r="AL23" s="347">
        <v>0</v>
      </c>
      <c r="AM23" s="347">
        <v>0</v>
      </c>
      <c r="AN23" s="347">
        <v>0</v>
      </c>
      <c r="AO23" s="347">
        <v>0</v>
      </c>
      <c r="AP23" s="347">
        <v>0</v>
      </c>
      <c r="AQ23" s="347">
        <v>505.5</v>
      </c>
      <c r="AR23" s="347">
        <v>0</v>
      </c>
      <c r="AS23" s="347">
        <v>0</v>
      </c>
      <c r="AT23" s="347">
        <v>447</v>
      </c>
      <c r="AU23" s="347">
        <v>0</v>
      </c>
      <c r="AV23" s="347">
        <v>0</v>
      </c>
      <c r="AW23" s="347">
        <v>0</v>
      </c>
    </row>
    <row r="24" spans="3:49" x14ac:dyDescent="0.3">
      <c r="C24" s="347">
        <v>59</v>
      </c>
      <c r="D24" s="347">
        <v>3</v>
      </c>
      <c r="E24" s="347">
        <v>3</v>
      </c>
      <c r="F24" s="347">
        <v>237.34</v>
      </c>
      <c r="G24" s="347">
        <v>0</v>
      </c>
      <c r="H24" s="347">
        <v>0</v>
      </c>
      <c r="I24" s="347">
        <v>0</v>
      </c>
      <c r="J24" s="347">
        <v>0</v>
      </c>
      <c r="K24" s="347">
        <v>0</v>
      </c>
      <c r="L24" s="347">
        <v>22</v>
      </c>
      <c r="M24" s="347">
        <v>0</v>
      </c>
      <c r="N24" s="347">
        <v>0</v>
      </c>
      <c r="O24" s="347">
        <v>0</v>
      </c>
      <c r="P24" s="347">
        <v>0</v>
      </c>
      <c r="Q24" s="347">
        <v>66.5</v>
      </c>
      <c r="R24" s="347">
        <v>136.38</v>
      </c>
      <c r="S24" s="347">
        <v>12.46</v>
      </c>
      <c r="T24" s="347">
        <v>0</v>
      </c>
      <c r="U24" s="347">
        <v>0</v>
      </c>
      <c r="V24" s="347">
        <v>0</v>
      </c>
      <c r="W24" s="347">
        <v>0</v>
      </c>
      <c r="X24" s="347">
        <v>0</v>
      </c>
      <c r="Y24" s="347">
        <v>0</v>
      </c>
      <c r="Z24" s="347">
        <v>0</v>
      </c>
      <c r="AA24" s="347">
        <v>0</v>
      </c>
      <c r="AB24" s="347">
        <v>0</v>
      </c>
      <c r="AC24" s="347">
        <v>0</v>
      </c>
      <c r="AD24" s="347">
        <v>0</v>
      </c>
      <c r="AE24" s="347">
        <v>0</v>
      </c>
      <c r="AF24" s="347">
        <v>0</v>
      </c>
      <c r="AG24" s="347">
        <v>0</v>
      </c>
      <c r="AH24" s="347">
        <v>0</v>
      </c>
      <c r="AI24" s="347">
        <v>0</v>
      </c>
      <c r="AJ24" s="347">
        <v>0</v>
      </c>
      <c r="AK24" s="347">
        <v>0</v>
      </c>
      <c r="AL24" s="347">
        <v>0</v>
      </c>
      <c r="AM24" s="347">
        <v>0</v>
      </c>
      <c r="AN24" s="347">
        <v>0</v>
      </c>
      <c r="AO24" s="347">
        <v>0</v>
      </c>
      <c r="AP24" s="347">
        <v>0</v>
      </c>
      <c r="AQ24" s="347">
        <v>0</v>
      </c>
      <c r="AR24" s="347">
        <v>0</v>
      </c>
      <c r="AS24" s="347">
        <v>0</v>
      </c>
      <c r="AT24" s="347">
        <v>0</v>
      </c>
      <c r="AU24" s="347">
        <v>0</v>
      </c>
      <c r="AV24" s="347">
        <v>0</v>
      </c>
      <c r="AW24" s="347">
        <v>0</v>
      </c>
    </row>
    <row r="25" spans="3:49" x14ac:dyDescent="0.3">
      <c r="C25" s="347">
        <v>59</v>
      </c>
      <c r="D25" s="347">
        <v>3</v>
      </c>
      <c r="E25" s="347">
        <v>4</v>
      </c>
      <c r="F25" s="347">
        <v>433</v>
      </c>
      <c r="G25" s="347">
        <v>0</v>
      </c>
      <c r="H25" s="347">
        <v>0</v>
      </c>
      <c r="I25" s="347">
        <v>0</v>
      </c>
      <c r="J25" s="347">
        <v>0</v>
      </c>
      <c r="K25" s="347">
        <v>16</v>
      </c>
      <c r="L25" s="347">
        <v>151</v>
      </c>
      <c r="M25" s="347">
        <v>0</v>
      </c>
      <c r="N25" s="347">
        <v>0</v>
      </c>
      <c r="O25" s="347">
        <v>0</v>
      </c>
      <c r="P25" s="347">
        <v>0</v>
      </c>
      <c r="Q25" s="347">
        <v>110</v>
      </c>
      <c r="R25" s="347">
        <v>106</v>
      </c>
      <c r="S25" s="347">
        <v>10</v>
      </c>
      <c r="T25" s="347">
        <v>0</v>
      </c>
      <c r="U25" s="347">
        <v>0</v>
      </c>
      <c r="V25" s="347">
        <v>0</v>
      </c>
      <c r="W25" s="347">
        <v>0</v>
      </c>
      <c r="X25" s="347">
        <v>0</v>
      </c>
      <c r="Y25" s="347">
        <v>0</v>
      </c>
      <c r="Z25" s="347">
        <v>0</v>
      </c>
      <c r="AA25" s="347">
        <v>0</v>
      </c>
      <c r="AB25" s="347">
        <v>0</v>
      </c>
      <c r="AC25" s="347">
        <v>0</v>
      </c>
      <c r="AD25" s="347">
        <v>0</v>
      </c>
      <c r="AE25" s="347">
        <v>0</v>
      </c>
      <c r="AF25" s="347">
        <v>0</v>
      </c>
      <c r="AG25" s="347">
        <v>0</v>
      </c>
      <c r="AH25" s="347">
        <v>0</v>
      </c>
      <c r="AI25" s="347">
        <v>0</v>
      </c>
      <c r="AJ25" s="347">
        <v>0</v>
      </c>
      <c r="AK25" s="347">
        <v>0</v>
      </c>
      <c r="AL25" s="347">
        <v>0</v>
      </c>
      <c r="AM25" s="347">
        <v>0</v>
      </c>
      <c r="AN25" s="347">
        <v>0</v>
      </c>
      <c r="AO25" s="347">
        <v>0</v>
      </c>
      <c r="AP25" s="347">
        <v>0</v>
      </c>
      <c r="AQ25" s="347">
        <v>30</v>
      </c>
      <c r="AR25" s="347">
        <v>0</v>
      </c>
      <c r="AS25" s="347">
        <v>0</v>
      </c>
      <c r="AT25" s="347">
        <v>10</v>
      </c>
      <c r="AU25" s="347">
        <v>0</v>
      </c>
      <c r="AV25" s="347">
        <v>0</v>
      </c>
      <c r="AW25" s="347">
        <v>0</v>
      </c>
    </row>
    <row r="26" spans="3:49" x14ac:dyDescent="0.3">
      <c r="C26" s="347">
        <v>59</v>
      </c>
      <c r="D26" s="347">
        <v>3</v>
      </c>
      <c r="E26" s="347">
        <v>5</v>
      </c>
      <c r="F26" s="347">
        <v>24</v>
      </c>
      <c r="G26" s="347">
        <v>0</v>
      </c>
      <c r="H26" s="347">
        <v>0</v>
      </c>
      <c r="I26" s="347">
        <v>0</v>
      </c>
      <c r="J26" s="347">
        <v>0</v>
      </c>
      <c r="K26" s="347">
        <v>0</v>
      </c>
      <c r="L26" s="347">
        <v>0</v>
      </c>
      <c r="M26" s="347">
        <v>0</v>
      </c>
      <c r="N26" s="347">
        <v>0</v>
      </c>
      <c r="O26" s="347">
        <v>0</v>
      </c>
      <c r="P26" s="347">
        <v>0</v>
      </c>
      <c r="Q26" s="347">
        <v>0</v>
      </c>
      <c r="R26" s="347">
        <v>24</v>
      </c>
      <c r="S26" s="347">
        <v>0</v>
      </c>
      <c r="T26" s="347">
        <v>0</v>
      </c>
      <c r="U26" s="347">
        <v>0</v>
      </c>
      <c r="V26" s="347">
        <v>0</v>
      </c>
      <c r="W26" s="347">
        <v>0</v>
      </c>
      <c r="X26" s="347">
        <v>0</v>
      </c>
      <c r="Y26" s="347">
        <v>0</v>
      </c>
      <c r="Z26" s="347">
        <v>0</v>
      </c>
      <c r="AA26" s="347">
        <v>0</v>
      </c>
      <c r="AB26" s="347">
        <v>0</v>
      </c>
      <c r="AC26" s="347">
        <v>0</v>
      </c>
      <c r="AD26" s="347">
        <v>0</v>
      </c>
      <c r="AE26" s="347">
        <v>0</v>
      </c>
      <c r="AF26" s="347">
        <v>0</v>
      </c>
      <c r="AG26" s="347">
        <v>0</v>
      </c>
      <c r="AH26" s="347">
        <v>0</v>
      </c>
      <c r="AI26" s="347">
        <v>0</v>
      </c>
      <c r="AJ26" s="347">
        <v>0</v>
      </c>
      <c r="AK26" s="347">
        <v>0</v>
      </c>
      <c r="AL26" s="347">
        <v>0</v>
      </c>
      <c r="AM26" s="347">
        <v>0</v>
      </c>
      <c r="AN26" s="347">
        <v>0</v>
      </c>
      <c r="AO26" s="347">
        <v>0</v>
      </c>
      <c r="AP26" s="347">
        <v>0</v>
      </c>
      <c r="AQ26" s="347">
        <v>0</v>
      </c>
      <c r="AR26" s="347">
        <v>0</v>
      </c>
      <c r="AS26" s="347">
        <v>0</v>
      </c>
      <c r="AT26" s="347">
        <v>0</v>
      </c>
      <c r="AU26" s="347">
        <v>0</v>
      </c>
      <c r="AV26" s="347">
        <v>0</v>
      </c>
      <c r="AW26" s="347">
        <v>0</v>
      </c>
    </row>
    <row r="27" spans="3:49" x14ac:dyDescent="0.3">
      <c r="C27" s="347">
        <v>59</v>
      </c>
      <c r="D27" s="347">
        <v>3</v>
      </c>
      <c r="E27" s="347">
        <v>6</v>
      </c>
      <c r="F27" s="347">
        <v>2560720</v>
      </c>
      <c r="G27" s="347">
        <v>0</v>
      </c>
      <c r="H27" s="347">
        <v>0</v>
      </c>
      <c r="I27" s="347">
        <v>28110</v>
      </c>
      <c r="J27" s="347">
        <v>0</v>
      </c>
      <c r="K27" s="347">
        <v>50617</v>
      </c>
      <c r="L27" s="347">
        <v>667179</v>
      </c>
      <c r="M27" s="347">
        <v>0</v>
      </c>
      <c r="N27" s="347">
        <v>0</v>
      </c>
      <c r="O27" s="347">
        <v>0</v>
      </c>
      <c r="P27" s="347">
        <v>0</v>
      </c>
      <c r="Q27" s="347">
        <v>583966</v>
      </c>
      <c r="R27" s="347">
        <v>749683</v>
      </c>
      <c r="S27" s="347">
        <v>317707</v>
      </c>
      <c r="T27" s="347">
        <v>0</v>
      </c>
      <c r="U27" s="347">
        <v>0</v>
      </c>
      <c r="V27" s="347">
        <v>0</v>
      </c>
      <c r="W27" s="347">
        <v>0</v>
      </c>
      <c r="X27" s="347">
        <v>0</v>
      </c>
      <c r="Y27" s="347">
        <v>0</v>
      </c>
      <c r="Z27" s="347">
        <v>0</v>
      </c>
      <c r="AA27" s="347">
        <v>0</v>
      </c>
      <c r="AB27" s="347">
        <v>0</v>
      </c>
      <c r="AC27" s="347">
        <v>0</v>
      </c>
      <c r="AD27" s="347">
        <v>0</v>
      </c>
      <c r="AE27" s="347">
        <v>0</v>
      </c>
      <c r="AF27" s="347">
        <v>0</v>
      </c>
      <c r="AG27" s="347">
        <v>0</v>
      </c>
      <c r="AH27" s="347">
        <v>0</v>
      </c>
      <c r="AI27" s="347">
        <v>0</v>
      </c>
      <c r="AJ27" s="347">
        <v>0</v>
      </c>
      <c r="AK27" s="347">
        <v>0</v>
      </c>
      <c r="AL27" s="347">
        <v>0</v>
      </c>
      <c r="AM27" s="347">
        <v>0</v>
      </c>
      <c r="AN27" s="347">
        <v>0</v>
      </c>
      <c r="AO27" s="347">
        <v>0</v>
      </c>
      <c r="AP27" s="347">
        <v>0</v>
      </c>
      <c r="AQ27" s="347">
        <v>88067</v>
      </c>
      <c r="AR27" s="347">
        <v>0</v>
      </c>
      <c r="AS27" s="347">
        <v>0</v>
      </c>
      <c r="AT27" s="347">
        <v>75391</v>
      </c>
      <c r="AU27" s="347">
        <v>0</v>
      </c>
      <c r="AV27" s="347">
        <v>0</v>
      </c>
      <c r="AW27" s="347">
        <v>0</v>
      </c>
    </row>
    <row r="28" spans="3:49" x14ac:dyDescent="0.3">
      <c r="C28" s="347">
        <v>59</v>
      </c>
      <c r="D28" s="347">
        <v>3</v>
      </c>
      <c r="E28" s="347">
        <v>9</v>
      </c>
      <c r="F28" s="347">
        <v>10575</v>
      </c>
      <c r="G28" s="347">
        <v>0</v>
      </c>
      <c r="H28" s="347">
        <v>0</v>
      </c>
      <c r="I28" s="347">
        <v>0</v>
      </c>
      <c r="J28" s="347">
        <v>0</v>
      </c>
      <c r="K28" s="347">
        <v>0</v>
      </c>
      <c r="L28" s="347">
        <v>0</v>
      </c>
      <c r="M28" s="347">
        <v>0</v>
      </c>
      <c r="N28" s="347">
        <v>0</v>
      </c>
      <c r="O28" s="347">
        <v>0</v>
      </c>
      <c r="P28" s="347">
        <v>0</v>
      </c>
      <c r="Q28" s="347">
        <v>3525</v>
      </c>
      <c r="R28" s="347">
        <v>7050</v>
      </c>
      <c r="S28" s="347">
        <v>0</v>
      </c>
      <c r="T28" s="347">
        <v>0</v>
      </c>
      <c r="U28" s="347">
        <v>0</v>
      </c>
      <c r="V28" s="347">
        <v>0</v>
      </c>
      <c r="W28" s="347">
        <v>0</v>
      </c>
      <c r="X28" s="347">
        <v>0</v>
      </c>
      <c r="Y28" s="347">
        <v>0</v>
      </c>
      <c r="Z28" s="347">
        <v>0</v>
      </c>
      <c r="AA28" s="347">
        <v>0</v>
      </c>
      <c r="AB28" s="347">
        <v>0</v>
      </c>
      <c r="AC28" s="347">
        <v>0</v>
      </c>
      <c r="AD28" s="347">
        <v>0</v>
      </c>
      <c r="AE28" s="347">
        <v>0</v>
      </c>
      <c r="AF28" s="347">
        <v>0</v>
      </c>
      <c r="AG28" s="347">
        <v>0</v>
      </c>
      <c r="AH28" s="347">
        <v>0</v>
      </c>
      <c r="AI28" s="347">
        <v>0</v>
      </c>
      <c r="AJ28" s="347">
        <v>0</v>
      </c>
      <c r="AK28" s="347">
        <v>0</v>
      </c>
      <c r="AL28" s="347">
        <v>0</v>
      </c>
      <c r="AM28" s="347">
        <v>0</v>
      </c>
      <c r="AN28" s="347">
        <v>0</v>
      </c>
      <c r="AO28" s="347">
        <v>0</v>
      </c>
      <c r="AP28" s="347">
        <v>0</v>
      </c>
      <c r="AQ28" s="347">
        <v>0</v>
      </c>
      <c r="AR28" s="347">
        <v>0</v>
      </c>
      <c r="AS28" s="347">
        <v>0</v>
      </c>
      <c r="AT28" s="347">
        <v>0</v>
      </c>
      <c r="AU28" s="347">
        <v>0</v>
      </c>
      <c r="AV28" s="347">
        <v>0</v>
      </c>
      <c r="AW28" s="347">
        <v>0</v>
      </c>
    </row>
    <row r="29" spans="3:49" x14ac:dyDescent="0.3">
      <c r="C29" s="347">
        <v>59</v>
      </c>
      <c r="D29" s="347">
        <v>3</v>
      </c>
      <c r="E29" s="347">
        <v>10</v>
      </c>
      <c r="F29" s="347">
        <v>1500</v>
      </c>
      <c r="G29" s="347">
        <v>0</v>
      </c>
      <c r="H29" s="347">
        <v>1500</v>
      </c>
      <c r="I29" s="347">
        <v>0</v>
      </c>
      <c r="J29" s="347">
        <v>0</v>
      </c>
      <c r="K29" s="347">
        <v>0</v>
      </c>
      <c r="L29" s="347">
        <v>0</v>
      </c>
      <c r="M29" s="347">
        <v>0</v>
      </c>
      <c r="N29" s="347">
        <v>0</v>
      </c>
      <c r="O29" s="347">
        <v>0</v>
      </c>
      <c r="P29" s="347">
        <v>0</v>
      </c>
      <c r="Q29" s="347">
        <v>0</v>
      </c>
      <c r="R29" s="347">
        <v>0</v>
      </c>
      <c r="S29" s="347">
        <v>0</v>
      </c>
      <c r="T29" s="347">
        <v>0</v>
      </c>
      <c r="U29" s="347">
        <v>0</v>
      </c>
      <c r="V29" s="347">
        <v>0</v>
      </c>
      <c r="W29" s="347">
        <v>0</v>
      </c>
      <c r="X29" s="347">
        <v>0</v>
      </c>
      <c r="Y29" s="347">
        <v>0</v>
      </c>
      <c r="Z29" s="347">
        <v>0</v>
      </c>
      <c r="AA29" s="347">
        <v>0</v>
      </c>
      <c r="AB29" s="347">
        <v>0</v>
      </c>
      <c r="AC29" s="347">
        <v>0</v>
      </c>
      <c r="AD29" s="347">
        <v>0</v>
      </c>
      <c r="AE29" s="347">
        <v>0</v>
      </c>
      <c r="AF29" s="347">
        <v>0</v>
      </c>
      <c r="AG29" s="347">
        <v>0</v>
      </c>
      <c r="AH29" s="347">
        <v>0</v>
      </c>
      <c r="AI29" s="347">
        <v>0</v>
      </c>
      <c r="AJ29" s="347">
        <v>0</v>
      </c>
      <c r="AK29" s="347">
        <v>0</v>
      </c>
      <c r="AL29" s="347">
        <v>0</v>
      </c>
      <c r="AM29" s="347">
        <v>0</v>
      </c>
      <c r="AN29" s="347">
        <v>0</v>
      </c>
      <c r="AO29" s="347">
        <v>0</v>
      </c>
      <c r="AP29" s="347">
        <v>0</v>
      </c>
      <c r="AQ29" s="347">
        <v>0</v>
      </c>
      <c r="AR29" s="347">
        <v>0</v>
      </c>
      <c r="AS29" s="347">
        <v>0</v>
      </c>
      <c r="AT29" s="347">
        <v>0</v>
      </c>
      <c r="AU29" s="347">
        <v>0</v>
      </c>
      <c r="AV29" s="347">
        <v>0</v>
      </c>
      <c r="AW29" s="347">
        <v>0</v>
      </c>
    </row>
    <row r="30" spans="3:49" x14ac:dyDescent="0.3">
      <c r="C30" s="347">
        <v>59</v>
      </c>
      <c r="D30" s="347">
        <v>3</v>
      </c>
      <c r="E30" s="347">
        <v>11</v>
      </c>
      <c r="F30" s="347">
        <v>10483.491687055021</v>
      </c>
      <c r="G30" s="347">
        <v>2150.158353721687</v>
      </c>
      <c r="H30" s="347">
        <v>8333.3333333333339</v>
      </c>
      <c r="I30" s="347">
        <v>0</v>
      </c>
      <c r="J30" s="347">
        <v>0</v>
      </c>
      <c r="K30" s="347">
        <v>0</v>
      </c>
      <c r="L30" s="347">
        <v>0</v>
      </c>
      <c r="M30" s="347">
        <v>0</v>
      </c>
      <c r="N30" s="347">
        <v>0</v>
      </c>
      <c r="O30" s="347">
        <v>0</v>
      </c>
      <c r="P30" s="347">
        <v>0</v>
      </c>
      <c r="Q30" s="347">
        <v>0</v>
      </c>
      <c r="R30" s="347">
        <v>0</v>
      </c>
      <c r="S30" s="347">
        <v>0</v>
      </c>
      <c r="T30" s="347">
        <v>0</v>
      </c>
      <c r="U30" s="347">
        <v>0</v>
      </c>
      <c r="V30" s="347">
        <v>0</v>
      </c>
      <c r="W30" s="347">
        <v>0</v>
      </c>
      <c r="X30" s="347">
        <v>0</v>
      </c>
      <c r="Y30" s="347">
        <v>0</v>
      </c>
      <c r="Z30" s="347">
        <v>0</v>
      </c>
      <c r="AA30" s="347">
        <v>0</v>
      </c>
      <c r="AB30" s="347">
        <v>0</v>
      </c>
      <c r="AC30" s="347">
        <v>0</v>
      </c>
      <c r="AD30" s="347">
        <v>0</v>
      </c>
      <c r="AE30" s="347">
        <v>0</v>
      </c>
      <c r="AF30" s="347">
        <v>0</v>
      </c>
      <c r="AG30" s="347">
        <v>0</v>
      </c>
      <c r="AH30" s="347">
        <v>0</v>
      </c>
      <c r="AI30" s="347">
        <v>0</v>
      </c>
      <c r="AJ30" s="347">
        <v>0</v>
      </c>
      <c r="AK30" s="347">
        <v>0</v>
      </c>
      <c r="AL30" s="347">
        <v>0</v>
      </c>
      <c r="AM30" s="347">
        <v>0</v>
      </c>
      <c r="AN30" s="347">
        <v>0</v>
      </c>
      <c r="AO30" s="347">
        <v>0</v>
      </c>
      <c r="AP30" s="347">
        <v>0</v>
      </c>
      <c r="AQ30" s="347">
        <v>0</v>
      </c>
      <c r="AR30" s="347">
        <v>0</v>
      </c>
      <c r="AS30" s="347">
        <v>0</v>
      </c>
      <c r="AT30" s="347">
        <v>0</v>
      </c>
      <c r="AU30" s="347">
        <v>0</v>
      </c>
      <c r="AV30" s="347">
        <v>0</v>
      </c>
      <c r="AW30" s="34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31" bestFit="1" customWidth="1" collapsed="1"/>
    <col min="2" max="2" width="7.77734375" style="199" hidden="1" customWidth="1" outlineLevel="1"/>
    <col min="3" max="3" width="0.109375" style="231" hidden="1" customWidth="1"/>
    <col min="4" max="4" width="7.77734375" style="199" customWidth="1"/>
    <col min="5" max="5" width="5.4414062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5.44140625" style="231" hidden="1" customWidth="1"/>
    <col min="10" max="10" width="7.77734375" style="199" customWidth="1"/>
    <col min="11" max="11" width="5.44140625" style="231" hidden="1" customWidth="1"/>
    <col min="12" max="12" width="7.77734375" style="199" customWidth="1"/>
    <col min="13" max="13" width="7.77734375" style="313" customWidth="1" collapsed="1"/>
    <col min="14" max="14" width="7.77734375" style="199" hidden="1" customWidth="1" outlineLevel="1"/>
    <col min="15" max="15" width="5" style="231" hidden="1" customWidth="1"/>
    <col min="16" max="16" width="7.77734375" style="199" customWidth="1"/>
    <col min="17" max="17" width="5" style="231" hidden="1" customWidth="1"/>
    <col min="18" max="18" width="7.77734375" style="199" customWidth="1"/>
    <col min="19" max="19" width="7.77734375" style="313" customWidth="1"/>
    <col min="20" max="16384" width="8.88671875" style="231"/>
  </cols>
  <sheetData>
    <row r="1" spans="1:19" ht="18.600000000000001" customHeight="1" thickBot="1" x14ac:dyDescent="0.4">
      <c r="A1" s="506" t="s">
        <v>140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</row>
    <row r="2" spans="1:19" ht="14.4" customHeight="1" thickBot="1" x14ac:dyDescent="0.35">
      <c r="A2" s="351" t="s">
        <v>288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  <c r="N2" s="325"/>
      <c r="O2" s="204"/>
      <c r="P2" s="325"/>
      <c r="Q2" s="204"/>
      <c r="R2" s="325"/>
      <c r="S2" s="326"/>
    </row>
    <row r="3" spans="1:19" ht="14.4" customHeight="1" thickBot="1" x14ac:dyDescent="0.35">
      <c r="A3" s="319" t="s">
        <v>142</v>
      </c>
      <c r="B3" s="320">
        <f>SUBTOTAL(9,B6:B1048576)</f>
        <v>7834016</v>
      </c>
      <c r="C3" s="321">
        <f t="shared" ref="C3:R3" si="0">SUBTOTAL(9,C6:C1048576)</f>
        <v>0.75066293731488587</v>
      </c>
      <c r="D3" s="321">
        <f t="shared" si="0"/>
        <v>10436502</v>
      </c>
      <c r="E3" s="321">
        <f t="shared" si="0"/>
        <v>2</v>
      </c>
      <c r="F3" s="321">
        <f t="shared" si="0"/>
        <v>12419139</v>
      </c>
      <c r="G3" s="324">
        <f>IF(D3&lt;&gt;0,F3/D3,"")</f>
        <v>1.1899714099609238</v>
      </c>
      <c r="H3" s="320">
        <f t="shared" si="0"/>
        <v>1151372.5799999996</v>
      </c>
      <c r="I3" s="321">
        <f t="shared" si="0"/>
        <v>0.60303537653487582</v>
      </c>
      <c r="J3" s="321">
        <f t="shared" si="0"/>
        <v>1909295.2499999995</v>
      </c>
      <c r="K3" s="321">
        <f t="shared" si="0"/>
        <v>1</v>
      </c>
      <c r="L3" s="321">
        <f t="shared" si="0"/>
        <v>2884979.2500000014</v>
      </c>
      <c r="M3" s="322">
        <f>IF(J3&lt;&gt;0,L3/J3,"")</f>
        <v>1.5110178742653877</v>
      </c>
      <c r="N3" s="323">
        <f t="shared" si="0"/>
        <v>0</v>
      </c>
      <c r="O3" s="321">
        <f t="shared" si="0"/>
        <v>0</v>
      </c>
      <c r="P3" s="321">
        <f t="shared" si="0"/>
        <v>0</v>
      </c>
      <c r="Q3" s="321">
        <f t="shared" si="0"/>
        <v>0</v>
      </c>
      <c r="R3" s="321">
        <f t="shared" si="0"/>
        <v>0</v>
      </c>
      <c r="S3" s="322" t="str">
        <f>IF(P3&lt;&gt;0,R3/P3,"")</f>
        <v/>
      </c>
    </row>
    <row r="4" spans="1:19" ht="14.4" customHeight="1" x14ac:dyDescent="0.3">
      <c r="A4" s="554" t="s">
        <v>116</v>
      </c>
      <c r="B4" s="555" t="s">
        <v>110</v>
      </c>
      <c r="C4" s="556"/>
      <c r="D4" s="556"/>
      <c r="E4" s="556"/>
      <c r="F4" s="556"/>
      <c r="G4" s="558"/>
      <c r="H4" s="555" t="s">
        <v>111</v>
      </c>
      <c r="I4" s="556"/>
      <c r="J4" s="556"/>
      <c r="K4" s="556"/>
      <c r="L4" s="556"/>
      <c r="M4" s="558"/>
      <c r="N4" s="555" t="s">
        <v>112</v>
      </c>
      <c r="O4" s="556"/>
      <c r="P4" s="556"/>
      <c r="Q4" s="556"/>
      <c r="R4" s="556"/>
      <c r="S4" s="558"/>
    </row>
    <row r="5" spans="1:19" ht="14.4" customHeight="1" thickBot="1" x14ac:dyDescent="0.35">
      <c r="A5" s="723"/>
      <c r="B5" s="724">
        <v>2015</v>
      </c>
      <c r="C5" s="725"/>
      <c r="D5" s="725">
        <v>2016</v>
      </c>
      <c r="E5" s="725"/>
      <c r="F5" s="725">
        <v>2017</v>
      </c>
      <c r="G5" s="726" t="s">
        <v>2</v>
      </c>
      <c r="H5" s="724">
        <v>2015</v>
      </c>
      <c r="I5" s="725"/>
      <c r="J5" s="725">
        <v>2016</v>
      </c>
      <c r="K5" s="725"/>
      <c r="L5" s="725">
        <v>2017</v>
      </c>
      <c r="M5" s="726" t="s">
        <v>2</v>
      </c>
      <c r="N5" s="724">
        <v>2015</v>
      </c>
      <c r="O5" s="725"/>
      <c r="P5" s="725">
        <v>2016</v>
      </c>
      <c r="Q5" s="725"/>
      <c r="R5" s="725">
        <v>2017</v>
      </c>
      <c r="S5" s="726" t="s">
        <v>2</v>
      </c>
    </row>
    <row r="6" spans="1:19" ht="14.4" customHeight="1" x14ac:dyDescent="0.3">
      <c r="A6" s="701" t="s">
        <v>2099</v>
      </c>
      <c r="B6" s="727"/>
      <c r="C6" s="667"/>
      <c r="D6" s="727">
        <v>372</v>
      </c>
      <c r="E6" s="667">
        <v>1</v>
      </c>
      <c r="F6" s="727"/>
      <c r="G6" s="689"/>
      <c r="H6" s="727"/>
      <c r="I6" s="667"/>
      <c r="J6" s="727"/>
      <c r="K6" s="667"/>
      <c r="L6" s="727"/>
      <c r="M6" s="689"/>
      <c r="N6" s="727"/>
      <c r="O6" s="667"/>
      <c r="P6" s="727"/>
      <c r="Q6" s="667"/>
      <c r="R6" s="727"/>
      <c r="S6" s="713"/>
    </row>
    <row r="7" spans="1:19" ht="14.4" customHeight="1" thickBot="1" x14ac:dyDescent="0.35">
      <c r="A7" s="729" t="s">
        <v>1621</v>
      </c>
      <c r="B7" s="728">
        <v>7834016</v>
      </c>
      <c r="C7" s="679">
        <v>0.75066293731488587</v>
      </c>
      <c r="D7" s="728">
        <v>10436130</v>
      </c>
      <c r="E7" s="679">
        <v>1</v>
      </c>
      <c r="F7" s="728">
        <v>12419139</v>
      </c>
      <c r="G7" s="690">
        <v>1.1900138269645932</v>
      </c>
      <c r="H7" s="728">
        <v>1151372.5799999996</v>
      </c>
      <c r="I7" s="679">
        <v>0.60303537653487582</v>
      </c>
      <c r="J7" s="728">
        <v>1909295.2499999995</v>
      </c>
      <c r="K7" s="679">
        <v>1</v>
      </c>
      <c r="L7" s="728">
        <v>2884979.2500000014</v>
      </c>
      <c r="M7" s="690">
        <v>1.5110178742653877</v>
      </c>
      <c r="N7" s="728"/>
      <c r="O7" s="679"/>
      <c r="P7" s="728"/>
      <c r="Q7" s="679"/>
      <c r="R7" s="728"/>
      <c r="S7" s="71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9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494" t="s">
        <v>2636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</row>
    <row r="2" spans="1:17" ht="14.4" customHeight="1" thickBot="1" x14ac:dyDescent="0.35">
      <c r="A2" s="351" t="s">
        <v>288</v>
      </c>
      <c r="B2" s="232"/>
      <c r="C2" s="232"/>
      <c r="D2" s="232"/>
      <c r="E2" s="232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8"/>
      <c r="Q2" s="327"/>
    </row>
    <row r="3" spans="1:17" ht="14.4" customHeight="1" thickBot="1" x14ac:dyDescent="0.35">
      <c r="E3" s="97" t="s">
        <v>142</v>
      </c>
      <c r="F3" s="191">
        <f t="shared" ref="F3:O3" si="0">SUBTOTAL(9,F6:F1048576)</f>
        <v>2641.4800000000005</v>
      </c>
      <c r="G3" s="192">
        <f t="shared" si="0"/>
        <v>8985388.5800000001</v>
      </c>
      <c r="H3" s="192"/>
      <c r="I3" s="192"/>
      <c r="J3" s="192">
        <f t="shared" si="0"/>
        <v>3663.92</v>
      </c>
      <c r="K3" s="192">
        <f t="shared" si="0"/>
        <v>12345797.25</v>
      </c>
      <c r="L3" s="192"/>
      <c r="M3" s="192"/>
      <c r="N3" s="192">
        <f t="shared" si="0"/>
        <v>4560.87</v>
      </c>
      <c r="O3" s="192">
        <f t="shared" si="0"/>
        <v>15304118.25</v>
      </c>
      <c r="P3" s="70">
        <f>IF(K3=0,0,O3/K3)</f>
        <v>1.2396217060830155</v>
      </c>
      <c r="Q3" s="193">
        <f>IF(N3=0,0,O3/N3)</f>
        <v>3355.5260838392678</v>
      </c>
    </row>
    <row r="4" spans="1:17" ht="14.4" customHeight="1" x14ac:dyDescent="0.3">
      <c r="A4" s="561" t="s">
        <v>61</v>
      </c>
      <c r="B4" s="559" t="s">
        <v>106</v>
      </c>
      <c r="C4" s="561" t="s">
        <v>107</v>
      </c>
      <c r="D4" s="565" t="s">
        <v>108</v>
      </c>
      <c r="E4" s="562" t="s">
        <v>68</v>
      </c>
      <c r="F4" s="563">
        <v>2015</v>
      </c>
      <c r="G4" s="564"/>
      <c r="H4" s="194"/>
      <c r="I4" s="194"/>
      <c r="J4" s="563">
        <v>2016</v>
      </c>
      <c r="K4" s="564"/>
      <c r="L4" s="194"/>
      <c r="M4" s="194"/>
      <c r="N4" s="563">
        <v>2017</v>
      </c>
      <c r="O4" s="564"/>
      <c r="P4" s="566" t="s">
        <v>2</v>
      </c>
      <c r="Q4" s="560" t="s">
        <v>109</v>
      </c>
    </row>
    <row r="5" spans="1:17" ht="14.4" customHeight="1" thickBot="1" x14ac:dyDescent="0.35">
      <c r="A5" s="730"/>
      <c r="B5" s="731"/>
      <c r="C5" s="730"/>
      <c r="D5" s="732"/>
      <c r="E5" s="733"/>
      <c r="F5" s="734" t="s">
        <v>78</v>
      </c>
      <c r="G5" s="735" t="s">
        <v>14</v>
      </c>
      <c r="H5" s="736"/>
      <c r="I5" s="736"/>
      <c r="J5" s="734" t="s">
        <v>78</v>
      </c>
      <c r="K5" s="735" t="s">
        <v>14</v>
      </c>
      <c r="L5" s="736"/>
      <c r="M5" s="736"/>
      <c r="N5" s="734" t="s">
        <v>78</v>
      </c>
      <c r="O5" s="735" t="s">
        <v>14</v>
      </c>
      <c r="P5" s="737"/>
      <c r="Q5" s="738"/>
    </row>
    <row r="6" spans="1:17" ht="14.4" customHeight="1" x14ac:dyDescent="0.3">
      <c r="A6" s="666" t="s">
        <v>2100</v>
      </c>
      <c r="B6" s="667" t="s">
        <v>2101</v>
      </c>
      <c r="C6" s="667" t="s">
        <v>2102</v>
      </c>
      <c r="D6" s="667" t="s">
        <v>2103</v>
      </c>
      <c r="E6" s="667" t="s">
        <v>2104</v>
      </c>
      <c r="F6" s="670"/>
      <c r="G6" s="670"/>
      <c r="H6" s="670"/>
      <c r="I6" s="670"/>
      <c r="J6" s="670">
        <v>1</v>
      </c>
      <c r="K6" s="670">
        <v>372</v>
      </c>
      <c r="L6" s="670">
        <v>1</v>
      </c>
      <c r="M6" s="670">
        <v>372</v>
      </c>
      <c r="N6" s="670"/>
      <c r="O6" s="670"/>
      <c r="P6" s="689"/>
      <c r="Q6" s="671"/>
    </row>
    <row r="7" spans="1:17" ht="14.4" customHeight="1" x14ac:dyDescent="0.3">
      <c r="A7" s="672" t="s">
        <v>478</v>
      </c>
      <c r="B7" s="673" t="s">
        <v>2105</v>
      </c>
      <c r="C7" s="673" t="s">
        <v>2102</v>
      </c>
      <c r="D7" s="673" t="s">
        <v>2106</v>
      </c>
      <c r="E7" s="673" t="s">
        <v>2107</v>
      </c>
      <c r="F7" s="676"/>
      <c r="G7" s="676"/>
      <c r="H7" s="676"/>
      <c r="I7" s="676"/>
      <c r="J7" s="676"/>
      <c r="K7" s="676"/>
      <c r="L7" s="676"/>
      <c r="M7" s="676"/>
      <c r="N7" s="676">
        <v>1</v>
      </c>
      <c r="O7" s="676">
        <v>2523</v>
      </c>
      <c r="P7" s="697"/>
      <c r="Q7" s="677">
        <v>2523</v>
      </c>
    </row>
    <row r="8" spans="1:17" ht="14.4" customHeight="1" x14ac:dyDescent="0.3">
      <c r="A8" s="672" t="s">
        <v>478</v>
      </c>
      <c r="B8" s="673" t="s">
        <v>2105</v>
      </c>
      <c r="C8" s="673" t="s">
        <v>2102</v>
      </c>
      <c r="D8" s="673" t="s">
        <v>2108</v>
      </c>
      <c r="E8" s="673" t="s">
        <v>2109</v>
      </c>
      <c r="F8" s="676">
        <v>2</v>
      </c>
      <c r="G8" s="676">
        <v>6976</v>
      </c>
      <c r="H8" s="676"/>
      <c r="I8" s="676">
        <v>3488</v>
      </c>
      <c r="J8" s="676"/>
      <c r="K8" s="676"/>
      <c r="L8" s="676"/>
      <c r="M8" s="676"/>
      <c r="N8" s="676"/>
      <c r="O8" s="676"/>
      <c r="P8" s="697"/>
      <c r="Q8" s="677"/>
    </row>
    <row r="9" spans="1:17" ht="14.4" customHeight="1" x14ac:dyDescent="0.3">
      <c r="A9" s="672" t="s">
        <v>478</v>
      </c>
      <c r="B9" s="673" t="s">
        <v>2105</v>
      </c>
      <c r="C9" s="673" t="s">
        <v>2102</v>
      </c>
      <c r="D9" s="673" t="s">
        <v>2110</v>
      </c>
      <c r="E9" s="673" t="s">
        <v>2111</v>
      </c>
      <c r="F9" s="676">
        <v>10</v>
      </c>
      <c r="G9" s="676">
        <v>26980</v>
      </c>
      <c r="H9" s="676">
        <v>1.2175090252707581</v>
      </c>
      <c r="I9" s="676">
        <v>2698</v>
      </c>
      <c r="J9" s="676">
        <v>8</v>
      </c>
      <c r="K9" s="676">
        <v>22160</v>
      </c>
      <c r="L9" s="676">
        <v>1</v>
      </c>
      <c r="M9" s="676">
        <v>2770</v>
      </c>
      <c r="N9" s="676">
        <v>16</v>
      </c>
      <c r="O9" s="676">
        <v>44335</v>
      </c>
      <c r="P9" s="697">
        <v>2.0006768953068592</v>
      </c>
      <c r="Q9" s="677">
        <v>2770.9375</v>
      </c>
    </row>
    <row r="10" spans="1:17" ht="14.4" customHeight="1" x14ac:dyDescent="0.3">
      <c r="A10" s="672" t="s">
        <v>478</v>
      </c>
      <c r="B10" s="673" t="s">
        <v>2105</v>
      </c>
      <c r="C10" s="673" t="s">
        <v>2102</v>
      </c>
      <c r="D10" s="673" t="s">
        <v>2112</v>
      </c>
      <c r="E10" s="673" t="s">
        <v>2113</v>
      </c>
      <c r="F10" s="676">
        <v>1</v>
      </c>
      <c r="G10" s="676">
        <v>5989</v>
      </c>
      <c r="H10" s="676">
        <v>0.32355483522420314</v>
      </c>
      <c r="I10" s="676">
        <v>5989</v>
      </c>
      <c r="J10" s="676">
        <v>3</v>
      </c>
      <c r="K10" s="676">
        <v>18510</v>
      </c>
      <c r="L10" s="676">
        <v>1</v>
      </c>
      <c r="M10" s="676">
        <v>6170</v>
      </c>
      <c r="N10" s="676">
        <v>4</v>
      </c>
      <c r="O10" s="676">
        <v>24692</v>
      </c>
      <c r="P10" s="697">
        <v>1.3339816315505133</v>
      </c>
      <c r="Q10" s="677">
        <v>6173</v>
      </c>
    </row>
    <row r="11" spans="1:17" ht="14.4" customHeight="1" x14ac:dyDescent="0.3">
      <c r="A11" s="672" t="s">
        <v>478</v>
      </c>
      <c r="B11" s="673" t="s">
        <v>2105</v>
      </c>
      <c r="C11" s="673" t="s">
        <v>2102</v>
      </c>
      <c r="D11" s="673" t="s">
        <v>2114</v>
      </c>
      <c r="E11" s="673" t="s">
        <v>2115</v>
      </c>
      <c r="F11" s="676">
        <v>1</v>
      </c>
      <c r="G11" s="676">
        <v>3123</v>
      </c>
      <c r="H11" s="676"/>
      <c r="I11" s="676">
        <v>3123</v>
      </c>
      <c r="J11" s="676"/>
      <c r="K11" s="676"/>
      <c r="L11" s="676"/>
      <c r="M11" s="676"/>
      <c r="N11" s="676"/>
      <c r="O11" s="676"/>
      <c r="P11" s="697"/>
      <c r="Q11" s="677"/>
    </row>
    <row r="12" spans="1:17" ht="14.4" customHeight="1" x14ac:dyDescent="0.3">
      <c r="A12" s="672" t="s">
        <v>478</v>
      </c>
      <c r="B12" s="673" t="s">
        <v>2105</v>
      </c>
      <c r="C12" s="673" t="s">
        <v>2102</v>
      </c>
      <c r="D12" s="673" t="s">
        <v>2116</v>
      </c>
      <c r="E12" s="673" t="s">
        <v>2117</v>
      </c>
      <c r="F12" s="676">
        <v>4</v>
      </c>
      <c r="G12" s="676">
        <v>8292</v>
      </c>
      <c r="H12" s="676">
        <v>0.64428904428904432</v>
      </c>
      <c r="I12" s="676">
        <v>2073</v>
      </c>
      <c r="J12" s="676">
        <v>6</v>
      </c>
      <c r="K12" s="676">
        <v>12870</v>
      </c>
      <c r="L12" s="676">
        <v>1</v>
      </c>
      <c r="M12" s="676">
        <v>2145</v>
      </c>
      <c r="N12" s="676">
        <v>16</v>
      </c>
      <c r="O12" s="676">
        <v>34336</v>
      </c>
      <c r="P12" s="697">
        <v>2.6679098679098678</v>
      </c>
      <c r="Q12" s="677">
        <v>2146</v>
      </c>
    </row>
    <row r="13" spans="1:17" ht="14.4" customHeight="1" x14ac:dyDescent="0.3">
      <c r="A13" s="672" t="s">
        <v>478</v>
      </c>
      <c r="B13" s="673" t="s">
        <v>2105</v>
      </c>
      <c r="C13" s="673" t="s">
        <v>2102</v>
      </c>
      <c r="D13" s="673" t="s">
        <v>2118</v>
      </c>
      <c r="E13" s="673" t="s">
        <v>2119</v>
      </c>
      <c r="F13" s="676">
        <v>1</v>
      </c>
      <c r="G13" s="676">
        <v>1630</v>
      </c>
      <c r="H13" s="676">
        <v>0.97139451728247916</v>
      </c>
      <c r="I13" s="676">
        <v>1630</v>
      </c>
      <c r="J13" s="676">
        <v>1</v>
      </c>
      <c r="K13" s="676">
        <v>1678</v>
      </c>
      <c r="L13" s="676">
        <v>1</v>
      </c>
      <c r="M13" s="676">
        <v>1678</v>
      </c>
      <c r="N13" s="676">
        <v>1</v>
      </c>
      <c r="O13" s="676">
        <v>1679</v>
      </c>
      <c r="P13" s="697">
        <v>1.0005959475566151</v>
      </c>
      <c r="Q13" s="677">
        <v>1679</v>
      </c>
    </row>
    <row r="14" spans="1:17" ht="14.4" customHeight="1" x14ac:dyDescent="0.3">
      <c r="A14" s="672" t="s">
        <v>478</v>
      </c>
      <c r="B14" s="673" t="s">
        <v>2105</v>
      </c>
      <c r="C14" s="673" t="s">
        <v>2102</v>
      </c>
      <c r="D14" s="673" t="s">
        <v>2120</v>
      </c>
      <c r="E14" s="673" t="s">
        <v>2121</v>
      </c>
      <c r="F14" s="676">
        <v>2</v>
      </c>
      <c r="G14" s="676">
        <v>4484</v>
      </c>
      <c r="H14" s="676">
        <v>0.32296168251224433</v>
      </c>
      <c r="I14" s="676">
        <v>2242</v>
      </c>
      <c r="J14" s="676">
        <v>6</v>
      </c>
      <c r="K14" s="676">
        <v>13884</v>
      </c>
      <c r="L14" s="676">
        <v>1</v>
      </c>
      <c r="M14" s="676">
        <v>2314</v>
      </c>
      <c r="N14" s="676">
        <v>5</v>
      </c>
      <c r="O14" s="676">
        <v>11574</v>
      </c>
      <c r="P14" s="697">
        <v>0.83362143474503025</v>
      </c>
      <c r="Q14" s="677">
        <v>2314.8000000000002</v>
      </c>
    </row>
    <row r="15" spans="1:17" ht="14.4" customHeight="1" x14ac:dyDescent="0.3">
      <c r="A15" s="672" t="s">
        <v>478</v>
      </c>
      <c r="B15" s="673" t="s">
        <v>2105</v>
      </c>
      <c r="C15" s="673" t="s">
        <v>2102</v>
      </c>
      <c r="D15" s="673" t="s">
        <v>2122</v>
      </c>
      <c r="E15" s="673" t="s">
        <v>2123</v>
      </c>
      <c r="F15" s="676"/>
      <c r="G15" s="676"/>
      <c r="H15" s="676"/>
      <c r="I15" s="676"/>
      <c r="J15" s="676">
        <v>1</v>
      </c>
      <c r="K15" s="676">
        <v>2769</v>
      </c>
      <c r="L15" s="676">
        <v>1</v>
      </c>
      <c r="M15" s="676">
        <v>2769</v>
      </c>
      <c r="N15" s="676">
        <v>18</v>
      </c>
      <c r="O15" s="676">
        <v>49859</v>
      </c>
      <c r="P15" s="697">
        <v>18.006139400505596</v>
      </c>
      <c r="Q15" s="677">
        <v>2769.9444444444443</v>
      </c>
    </row>
    <row r="16" spans="1:17" ht="14.4" customHeight="1" x14ac:dyDescent="0.3">
      <c r="A16" s="672" t="s">
        <v>478</v>
      </c>
      <c r="B16" s="673" t="s">
        <v>2105</v>
      </c>
      <c r="C16" s="673" t="s">
        <v>2102</v>
      </c>
      <c r="D16" s="673" t="s">
        <v>2124</v>
      </c>
      <c r="E16" s="673" t="s">
        <v>2125</v>
      </c>
      <c r="F16" s="676"/>
      <c r="G16" s="676"/>
      <c r="H16" s="676"/>
      <c r="I16" s="676"/>
      <c r="J16" s="676"/>
      <c r="K16" s="676"/>
      <c r="L16" s="676"/>
      <c r="M16" s="676"/>
      <c r="N16" s="676">
        <v>2</v>
      </c>
      <c r="O16" s="676">
        <v>10296</v>
      </c>
      <c r="P16" s="697"/>
      <c r="Q16" s="677">
        <v>5148</v>
      </c>
    </row>
    <row r="17" spans="1:17" ht="14.4" customHeight="1" x14ac:dyDescent="0.3">
      <c r="A17" s="672" t="s">
        <v>478</v>
      </c>
      <c r="B17" s="673" t="s">
        <v>2105</v>
      </c>
      <c r="C17" s="673" t="s">
        <v>2102</v>
      </c>
      <c r="D17" s="673" t="s">
        <v>2126</v>
      </c>
      <c r="E17" s="673" t="s">
        <v>2127</v>
      </c>
      <c r="F17" s="676">
        <v>1</v>
      </c>
      <c r="G17" s="676">
        <v>4901</v>
      </c>
      <c r="H17" s="676"/>
      <c r="I17" s="676">
        <v>4901</v>
      </c>
      <c r="J17" s="676"/>
      <c r="K17" s="676"/>
      <c r="L17" s="676"/>
      <c r="M17" s="676"/>
      <c r="N17" s="676"/>
      <c r="O17" s="676"/>
      <c r="P17" s="697"/>
      <c r="Q17" s="677"/>
    </row>
    <row r="18" spans="1:17" ht="14.4" customHeight="1" x14ac:dyDescent="0.3">
      <c r="A18" s="672" t="s">
        <v>478</v>
      </c>
      <c r="B18" s="673" t="s">
        <v>2105</v>
      </c>
      <c r="C18" s="673" t="s">
        <v>2102</v>
      </c>
      <c r="D18" s="673" t="s">
        <v>2128</v>
      </c>
      <c r="E18" s="673" t="s">
        <v>2129</v>
      </c>
      <c r="F18" s="676"/>
      <c r="G18" s="676"/>
      <c r="H18" s="676"/>
      <c r="I18" s="676"/>
      <c r="J18" s="676"/>
      <c r="K18" s="676"/>
      <c r="L18" s="676"/>
      <c r="M18" s="676"/>
      <c r="N18" s="676">
        <v>1</v>
      </c>
      <c r="O18" s="676">
        <v>1709</v>
      </c>
      <c r="P18" s="697"/>
      <c r="Q18" s="677">
        <v>1709</v>
      </c>
    </row>
    <row r="19" spans="1:17" ht="14.4" customHeight="1" x14ac:dyDescent="0.3">
      <c r="A19" s="672" t="s">
        <v>478</v>
      </c>
      <c r="B19" s="673" t="s">
        <v>2105</v>
      </c>
      <c r="C19" s="673" t="s">
        <v>2102</v>
      </c>
      <c r="D19" s="673" t="s">
        <v>2130</v>
      </c>
      <c r="E19" s="673" t="s">
        <v>2131</v>
      </c>
      <c r="F19" s="676">
        <v>3</v>
      </c>
      <c r="G19" s="676">
        <v>2457</v>
      </c>
      <c r="H19" s="676">
        <v>1.4694976076555024</v>
      </c>
      <c r="I19" s="676">
        <v>819</v>
      </c>
      <c r="J19" s="676">
        <v>2</v>
      </c>
      <c r="K19" s="676">
        <v>1672</v>
      </c>
      <c r="L19" s="676">
        <v>1</v>
      </c>
      <c r="M19" s="676">
        <v>836</v>
      </c>
      <c r="N19" s="676">
        <v>7</v>
      </c>
      <c r="O19" s="676">
        <v>5859</v>
      </c>
      <c r="P19" s="697">
        <v>3.5041866028708135</v>
      </c>
      <c r="Q19" s="677">
        <v>837</v>
      </c>
    </row>
    <row r="20" spans="1:17" ht="14.4" customHeight="1" x14ac:dyDescent="0.3">
      <c r="A20" s="672" t="s">
        <v>478</v>
      </c>
      <c r="B20" s="673" t="s">
        <v>2105</v>
      </c>
      <c r="C20" s="673" t="s">
        <v>2102</v>
      </c>
      <c r="D20" s="673" t="s">
        <v>2132</v>
      </c>
      <c r="E20" s="673" t="s">
        <v>2133</v>
      </c>
      <c r="F20" s="676">
        <v>2</v>
      </c>
      <c r="G20" s="676">
        <v>0</v>
      </c>
      <c r="H20" s="676"/>
      <c r="I20" s="676">
        <v>0</v>
      </c>
      <c r="J20" s="676"/>
      <c r="K20" s="676"/>
      <c r="L20" s="676"/>
      <c r="M20" s="676"/>
      <c r="N20" s="676">
        <v>4</v>
      </c>
      <c r="O20" s="676">
        <v>0</v>
      </c>
      <c r="P20" s="697"/>
      <c r="Q20" s="677">
        <v>0</v>
      </c>
    </row>
    <row r="21" spans="1:17" ht="14.4" customHeight="1" x14ac:dyDescent="0.3">
      <c r="A21" s="672" t="s">
        <v>478</v>
      </c>
      <c r="B21" s="673" t="s">
        <v>2105</v>
      </c>
      <c r="C21" s="673" t="s">
        <v>2102</v>
      </c>
      <c r="D21" s="673" t="s">
        <v>2134</v>
      </c>
      <c r="E21" s="673" t="s">
        <v>2135</v>
      </c>
      <c r="F21" s="676">
        <v>1</v>
      </c>
      <c r="G21" s="676">
        <v>0</v>
      </c>
      <c r="H21" s="676"/>
      <c r="I21" s="676">
        <v>0</v>
      </c>
      <c r="J21" s="676"/>
      <c r="K21" s="676"/>
      <c r="L21" s="676"/>
      <c r="M21" s="676"/>
      <c r="N21" s="676">
        <v>1</v>
      </c>
      <c r="O21" s="676">
        <v>0</v>
      </c>
      <c r="P21" s="697"/>
      <c r="Q21" s="677">
        <v>0</v>
      </c>
    </row>
    <row r="22" spans="1:17" ht="14.4" customHeight="1" x14ac:dyDescent="0.3">
      <c r="A22" s="672" t="s">
        <v>478</v>
      </c>
      <c r="B22" s="673" t="s">
        <v>2105</v>
      </c>
      <c r="C22" s="673" t="s">
        <v>2102</v>
      </c>
      <c r="D22" s="673" t="s">
        <v>2136</v>
      </c>
      <c r="E22" s="673" t="s">
        <v>2137</v>
      </c>
      <c r="F22" s="676">
        <v>1</v>
      </c>
      <c r="G22" s="676">
        <v>0</v>
      </c>
      <c r="H22" s="676"/>
      <c r="I22" s="676">
        <v>0</v>
      </c>
      <c r="J22" s="676"/>
      <c r="K22" s="676"/>
      <c r="L22" s="676"/>
      <c r="M22" s="676"/>
      <c r="N22" s="676">
        <v>1</v>
      </c>
      <c r="O22" s="676">
        <v>0</v>
      </c>
      <c r="P22" s="697"/>
      <c r="Q22" s="677">
        <v>0</v>
      </c>
    </row>
    <row r="23" spans="1:17" ht="14.4" customHeight="1" x14ac:dyDescent="0.3">
      <c r="A23" s="672" t="s">
        <v>478</v>
      </c>
      <c r="B23" s="673" t="s">
        <v>2105</v>
      </c>
      <c r="C23" s="673" t="s">
        <v>2102</v>
      </c>
      <c r="D23" s="673" t="s">
        <v>2138</v>
      </c>
      <c r="E23" s="673" t="s">
        <v>2139</v>
      </c>
      <c r="F23" s="676">
        <v>1</v>
      </c>
      <c r="G23" s="676">
        <v>0</v>
      </c>
      <c r="H23" s="676"/>
      <c r="I23" s="676">
        <v>0</v>
      </c>
      <c r="J23" s="676"/>
      <c r="K23" s="676"/>
      <c r="L23" s="676"/>
      <c r="M23" s="676"/>
      <c r="N23" s="676"/>
      <c r="O23" s="676"/>
      <c r="P23" s="697"/>
      <c r="Q23" s="677"/>
    </row>
    <row r="24" spans="1:17" ht="14.4" customHeight="1" x14ac:dyDescent="0.3">
      <c r="A24" s="672" t="s">
        <v>478</v>
      </c>
      <c r="B24" s="673" t="s">
        <v>2105</v>
      </c>
      <c r="C24" s="673" t="s">
        <v>2102</v>
      </c>
      <c r="D24" s="673" t="s">
        <v>2140</v>
      </c>
      <c r="E24" s="673" t="s">
        <v>2141</v>
      </c>
      <c r="F24" s="676">
        <v>1</v>
      </c>
      <c r="G24" s="676">
        <v>0</v>
      </c>
      <c r="H24" s="676"/>
      <c r="I24" s="676">
        <v>0</v>
      </c>
      <c r="J24" s="676"/>
      <c r="K24" s="676"/>
      <c r="L24" s="676"/>
      <c r="M24" s="676"/>
      <c r="N24" s="676">
        <v>2</v>
      </c>
      <c r="O24" s="676">
        <v>0</v>
      </c>
      <c r="P24" s="697"/>
      <c r="Q24" s="677">
        <v>0</v>
      </c>
    </row>
    <row r="25" spans="1:17" ht="14.4" customHeight="1" x14ac:dyDescent="0.3">
      <c r="A25" s="672" t="s">
        <v>478</v>
      </c>
      <c r="B25" s="673" t="s">
        <v>2105</v>
      </c>
      <c r="C25" s="673" t="s">
        <v>2102</v>
      </c>
      <c r="D25" s="673" t="s">
        <v>2142</v>
      </c>
      <c r="E25" s="673" t="s">
        <v>2143</v>
      </c>
      <c r="F25" s="676">
        <v>1</v>
      </c>
      <c r="G25" s="676">
        <v>0</v>
      </c>
      <c r="H25" s="676"/>
      <c r="I25" s="676">
        <v>0</v>
      </c>
      <c r="J25" s="676"/>
      <c r="K25" s="676"/>
      <c r="L25" s="676"/>
      <c r="M25" s="676"/>
      <c r="N25" s="676"/>
      <c r="O25" s="676"/>
      <c r="P25" s="697"/>
      <c r="Q25" s="677"/>
    </row>
    <row r="26" spans="1:17" ht="14.4" customHeight="1" x14ac:dyDescent="0.3">
      <c r="A26" s="672" t="s">
        <v>478</v>
      </c>
      <c r="B26" s="673" t="s">
        <v>2105</v>
      </c>
      <c r="C26" s="673" t="s">
        <v>2102</v>
      </c>
      <c r="D26" s="673" t="s">
        <v>2144</v>
      </c>
      <c r="E26" s="673" t="s">
        <v>2145</v>
      </c>
      <c r="F26" s="676"/>
      <c r="G26" s="676"/>
      <c r="H26" s="676"/>
      <c r="I26" s="676"/>
      <c r="J26" s="676"/>
      <c r="K26" s="676"/>
      <c r="L26" s="676"/>
      <c r="M26" s="676"/>
      <c r="N26" s="676">
        <v>1</v>
      </c>
      <c r="O26" s="676">
        <v>0</v>
      </c>
      <c r="P26" s="697"/>
      <c r="Q26" s="677">
        <v>0</v>
      </c>
    </row>
    <row r="27" spans="1:17" ht="14.4" customHeight="1" x14ac:dyDescent="0.3">
      <c r="A27" s="672" t="s">
        <v>478</v>
      </c>
      <c r="B27" s="673" t="s">
        <v>2105</v>
      </c>
      <c r="C27" s="673" t="s">
        <v>2102</v>
      </c>
      <c r="D27" s="673" t="s">
        <v>2146</v>
      </c>
      <c r="E27" s="673" t="s">
        <v>2147</v>
      </c>
      <c r="F27" s="676">
        <v>1</v>
      </c>
      <c r="G27" s="676">
        <v>0</v>
      </c>
      <c r="H27" s="676"/>
      <c r="I27" s="676">
        <v>0</v>
      </c>
      <c r="J27" s="676"/>
      <c r="K27" s="676"/>
      <c r="L27" s="676"/>
      <c r="M27" s="676"/>
      <c r="N27" s="676">
        <v>3</v>
      </c>
      <c r="O27" s="676">
        <v>0</v>
      </c>
      <c r="P27" s="697"/>
      <c r="Q27" s="677">
        <v>0</v>
      </c>
    </row>
    <row r="28" spans="1:17" ht="14.4" customHeight="1" x14ac:dyDescent="0.3">
      <c r="A28" s="672" t="s">
        <v>478</v>
      </c>
      <c r="B28" s="673" t="s">
        <v>2105</v>
      </c>
      <c r="C28" s="673" t="s">
        <v>2102</v>
      </c>
      <c r="D28" s="673" t="s">
        <v>2148</v>
      </c>
      <c r="E28" s="673" t="s">
        <v>2149</v>
      </c>
      <c r="F28" s="676">
        <v>1</v>
      </c>
      <c r="G28" s="676">
        <v>755</v>
      </c>
      <c r="H28" s="676"/>
      <c r="I28" s="676">
        <v>755</v>
      </c>
      <c r="J28" s="676"/>
      <c r="K28" s="676"/>
      <c r="L28" s="676"/>
      <c r="M28" s="676"/>
      <c r="N28" s="676"/>
      <c r="O28" s="676"/>
      <c r="P28" s="697"/>
      <c r="Q28" s="677"/>
    </row>
    <row r="29" spans="1:17" ht="14.4" customHeight="1" x14ac:dyDescent="0.3">
      <c r="A29" s="672" t="s">
        <v>478</v>
      </c>
      <c r="B29" s="673" t="s">
        <v>2105</v>
      </c>
      <c r="C29" s="673" t="s">
        <v>2102</v>
      </c>
      <c r="D29" s="673" t="s">
        <v>2150</v>
      </c>
      <c r="E29" s="673" t="s">
        <v>2151</v>
      </c>
      <c r="F29" s="676">
        <v>1</v>
      </c>
      <c r="G29" s="676">
        <v>815</v>
      </c>
      <c r="H29" s="676"/>
      <c r="I29" s="676">
        <v>815</v>
      </c>
      <c r="J29" s="676"/>
      <c r="K29" s="676"/>
      <c r="L29" s="676"/>
      <c r="M29" s="676"/>
      <c r="N29" s="676">
        <v>2</v>
      </c>
      <c r="O29" s="676">
        <v>1680</v>
      </c>
      <c r="P29" s="697"/>
      <c r="Q29" s="677">
        <v>840</v>
      </c>
    </row>
    <row r="30" spans="1:17" ht="14.4" customHeight="1" x14ac:dyDescent="0.3">
      <c r="A30" s="672" t="s">
        <v>478</v>
      </c>
      <c r="B30" s="673" t="s">
        <v>2105</v>
      </c>
      <c r="C30" s="673" t="s">
        <v>2102</v>
      </c>
      <c r="D30" s="673" t="s">
        <v>2152</v>
      </c>
      <c r="E30" s="673" t="s">
        <v>2153</v>
      </c>
      <c r="F30" s="676">
        <v>1</v>
      </c>
      <c r="G30" s="676">
        <v>9123</v>
      </c>
      <c r="H30" s="676">
        <v>0.97666202762016918</v>
      </c>
      <c r="I30" s="676">
        <v>9123</v>
      </c>
      <c r="J30" s="676">
        <v>1</v>
      </c>
      <c r="K30" s="676">
        <v>9341</v>
      </c>
      <c r="L30" s="676">
        <v>1</v>
      </c>
      <c r="M30" s="676">
        <v>9341</v>
      </c>
      <c r="N30" s="676">
        <v>3</v>
      </c>
      <c r="O30" s="676">
        <v>28038</v>
      </c>
      <c r="P30" s="697">
        <v>3.0016058237876031</v>
      </c>
      <c r="Q30" s="677">
        <v>9346</v>
      </c>
    </row>
    <row r="31" spans="1:17" ht="14.4" customHeight="1" x14ac:dyDescent="0.3">
      <c r="A31" s="672" t="s">
        <v>478</v>
      </c>
      <c r="B31" s="673" t="s">
        <v>2105</v>
      </c>
      <c r="C31" s="673" t="s">
        <v>2102</v>
      </c>
      <c r="D31" s="673" t="s">
        <v>2154</v>
      </c>
      <c r="E31" s="673" t="s">
        <v>2155</v>
      </c>
      <c r="F31" s="676">
        <v>1</v>
      </c>
      <c r="G31" s="676">
        <v>436</v>
      </c>
      <c r="H31" s="676"/>
      <c r="I31" s="676">
        <v>436</v>
      </c>
      <c r="J31" s="676"/>
      <c r="K31" s="676"/>
      <c r="L31" s="676"/>
      <c r="M31" s="676"/>
      <c r="N31" s="676">
        <v>2</v>
      </c>
      <c r="O31" s="676">
        <v>890</v>
      </c>
      <c r="P31" s="697"/>
      <c r="Q31" s="677">
        <v>445</v>
      </c>
    </row>
    <row r="32" spans="1:17" ht="14.4" customHeight="1" x14ac:dyDescent="0.3">
      <c r="A32" s="672" t="s">
        <v>478</v>
      </c>
      <c r="B32" s="673" t="s">
        <v>2105</v>
      </c>
      <c r="C32" s="673" t="s">
        <v>2102</v>
      </c>
      <c r="D32" s="673" t="s">
        <v>2156</v>
      </c>
      <c r="E32" s="673" t="s">
        <v>2157</v>
      </c>
      <c r="F32" s="676"/>
      <c r="G32" s="676"/>
      <c r="H32" s="676"/>
      <c r="I32" s="676"/>
      <c r="J32" s="676"/>
      <c r="K32" s="676"/>
      <c r="L32" s="676"/>
      <c r="M32" s="676"/>
      <c r="N32" s="676">
        <v>9</v>
      </c>
      <c r="O32" s="676">
        <v>7785</v>
      </c>
      <c r="P32" s="697"/>
      <c r="Q32" s="677">
        <v>865</v>
      </c>
    </row>
    <row r="33" spans="1:17" ht="14.4" customHeight="1" x14ac:dyDescent="0.3">
      <c r="A33" s="672" t="s">
        <v>478</v>
      </c>
      <c r="B33" s="673" t="s">
        <v>2105</v>
      </c>
      <c r="C33" s="673" t="s">
        <v>2102</v>
      </c>
      <c r="D33" s="673" t="s">
        <v>2158</v>
      </c>
      <c r="E33" s="673" t="s">
        <v>2159</v>
      </c>
      <c r="F33" s="676">
        <v>3</v>
      </c>
      <c r="G33" s="676">
        <v>10476</v>
      </c>
      <c r="H33" s="676">
        <v>0.96677740863787376</v>
      </c>
      <c r="I33" s="676">
        <v>3492</v>
      </c>
      <c r="J33" s="676">
        <v>3</v>
      </c>
      <c r="K33" s="676">
        <v>10836</v>
      </c>
      <c r="L33" s="676">
        <v>1</v>
      </c>
      <c r="M33" s="676">
        <v>3612</v>
      </c>
      <c r="N33" s="676">
        <v>2</v>
      </c>
      <c r="O33" s="676">
        <v>7228</v>
      </c>
      <c r="P33" s="697">
        <v>0.66703580657069028</v>
      </c>
      <c r="Q33" s="677">
        <v>3614</v>
      </c>
    </row>
    <row r="34" spans="1:17" ht="14.4" customHeight="1" x14ac:dyDescent="0.3">
      <c r="A34" s="672" t="s">
        <v>478</v>
      </c>
      <c r="B34" s="673" t="s">
        <v>2105</v>
      </c>
      <c r="C34" s="673" t="s">
        <v>2102</v>
      </c>
      <c r="D34" s="673" t="s">
        <v>2160</v>
      </c>
      <c r="E34" s="673" t="s">
        <v>2161</v>
      </c>
      <c r="F34" s="676">
        <v>3</v>
      </c>
      <c r="G34" s="676">
        <v>1905</v>
      </c>
      <c r="H34" s="676"/>
      <c r="I34" s="676">
        <v>635</v>
      </c>
      <c r="J34" s="676"/>
      <c r="K34" s="676"/>
      <c r="L34" s="676"/>
      <c r="M34" s="676"/>
      <c r="N34" s="676"/>
      <c r="O34" s="676"/>
      <c r="P34" s="697"/>
      <c r="Q34" s="677"/>
    </row>
    <row r="35" spans="1:17" ht="14.4" customHeight="1" x14ac:dyDescent="0.3">
      <c r="A35" s="672" t="s">
        <v>478</v>
      </c>
      <c r="B35" s="673" t="s">
        <v>2105</v>
      </c>
      <c r="C35" s="673" t="s">
        <v>2102</v>
      </c>
      <c r="D35" s="673" t="s">
        <v>2162</v>
      </c>
      <c r="E35" s="673" t="s">
        <v>2163</v>
      </c>
      <c r="F35" s="676"/>
      <c r="G35" s="676"/>
      <c r="H35" s="676"/>
      <c r="I35" s="676"/>
      <c r="J35" s="676">
        <v>1</v>
      </c>
      <c r="K35" s="676">
        <v>15607</v>
      </c>
      <c r="L35" s="676">
        <v>1</v>
      </c>
      <c r="M35" s="676">
        <v>15607</v>
      </c>
      <c r="N35" s="676"/>
      <c r="O35" s="676"/>
      <c r="P35" s="697"/>
      <c r="Q35" s="677"/>
    </row>
    <row r="36" spans="1:17" ht="14.4" customHeight="1" x14ac:dyDescent="0.3">
      <c r="A36" s="672" t="s">
        <v>478</v>
      </c>
      <c r="B36" s="673" t="s">
        <v>2105</v>
      </c>
      <c r="C36" s="673" t="s">
        <v>2102</v>
      </c>
      <c r="D36" s="673" t="s">
        <v>2164</v>
      </c>
      <c r="E36" s="673" t="s">
        <v>2165</v>
      </c>
      <c r="F36" s="676"/>
      <c r="G36" s="676"/>
      <c r="H36" s="676"/>
      <c r="I36" s="676"/>
      <c r="J36" s="676">
        <v>1</v>
      </c>
      <c r="K36" s="676">
        <v>16075</v>
      </c>
      <c r="L36" s="676">
        <v>1</v>
      </c>
      <c r="M36" s="676">
        <v>16075</v>
      </c>
      <c r="N36" s="676">
        <v>1</v>
      </c>
      <c r="O36" s="676">
        <v>16084</v>
      </c>
      <c r="P36" s="697">
        <v>1.0005598755832037</v>
      </c>
      <c r="Q36" s="677">
        <v>16084</v>
      </c>
    </row>
    <row r="37" spans="1:17" ht="14.4" customHeight="1" x14ac:dyDescent="0.3">
      <c r="A37" s="672" t="s">
        <v>478</v>
      </c>
      <c r="B37" s="673" t="s">
        <v>2105</v>
      </c>
      <c r="C37" s="673" t="s">
        <v>2102</v>
      </c>
      <c r="D37" s="673" t="s">
        <v>2166</v>
      </c>
      <c r="E37" s="673" t="s">
        <v>2167</v>
      </c>
      <c r="F37" s="676"/>
      <c r="G37" s="676"/>
      <c r="H37" s="676"/>
      <c r="I37" s="676"/>
      <c r="J37" s="676"/>
      <c r="K37" s="676"/>
      <c r="L37" s="676"/>
      <c r="M37" s="676"/>
      <c r="N37" s="676">
        <v>1</v>
      </c>
      <c r="O37" s="676">
        <v>0</v>
      </c>
      <c r="P37" s="697"/>
      <c r="Q37" s="677">
        <v>0</v>
      </c>
    </row>
    <row r="38" spans="1:17" ht="14.4" customHeight="1" x14ac:dyDescent="0.3">
      <c r="A38" s="672" t="s">
        <v>478</v>
      </c>
      <c r="B38" s="673" t="s">
        <v>2105</v>
      </c>
      <c r="C38" s="673" t="s">
        <v>2102</v>
      </c>
      <c r="D38" s="673" t="s">
        <v>2168</v>
      </c>
      <c r="E38" s="673" t="s">
        <v>2169</v>
      </c>
      <c r="F38" s="676">
        <v>2</v>
      </c>
      <c r="G38" s="676">
        <v>0</v>
      </c>
      <c r="H38" s="676"/>
      <c r="I38" s="676">
        <v>0</v>
      </c>
      <c r="J38" s="676"/>
      <c r="K38" s="676"/>
      <c r="L38" s="676"/>
      <c r="M38" s="676"/>
      <c r="N38" s="676">
        <v>4</v>
      </c>
      <c r="O38" s="676">
        <v>0</v>
      </c>
      <c r="P38" s="697"/>
      <c r="Q38" s="677">
        <v>0</v>
      </c>
    </row>
    <row r="39" spans="1:17" ht="14.4" customHeight="1" x14ac:dyDescent="0.3">
      <c r="A39" s="672" t="s">
        <v>478</v>
      </c>
      <c r="B39" s="673" t="s">
        <v>2105</v>
      </c>
      <c r="C39" s="673" t="s">
        <v>2102</v>
      </c>
      <c r="D39" s="673" t="s">
        <v>2170</v>
      </c>
      <c r="E39" s="673" t="s">
        <v>2171</v>
      </c>
      <c r="F39" s="676"/>
      <c r="G39" s="676"/>
      <c r="H39" s="676"/>
      <c r="I39" s="676"/>
      <c r="J39" s="676"/>
      <c r="K39" s="676"/>
      <c r="L39" s="676"/>
      <c r="M39" s="676"/>
      <c r="N39" s="676">
        <v>2</v>
      </c>
      <c r="O39" s="676">
        <v>9143</v>
      </c>
      <c r="P39" s="697"/>
      <c r="Q39" s="677">
        <v>4571.5</v>
      </c>
    </row>
    <row r="40" spans="1:17" ht="14.4" customHeight="1" x14ac:dyDescent="0.3">
      <c r="A40" s="672" t="s">
        <v>478</v>
      </c>
      <c r="B40" s="673" t="s">
        <v>2105</v>
      </c>
      <c r="C40" s="673" t="s">
        <v>2102</v>
      </c>
      <c r="D40" s="673" t="s">
        <v>2172</v>
      </c>
      <c r="E40" s="673" t="s">
        <v>2173</v>
      </c>
      <c r="F40" s="676">
        <v>4</v>
      </c>
      <c r="G40" s="676">
        <v>12900</v>
      </c>
      <c r="H40" s="676">
        <v>1.3042159538974825</v>
      </c>
      <c r="I40" s="676">
        <v>3225</v>
      </c>
      <c r="J40" s="676">
        <v>3</v>
      </c>
      <c r="K40" s="676">
        <v>9891</v>
      </c>
      <c r="L40" s="676">
        <v>1</v>
      </c>
      <c r="M40" s="676">
        <v>3297</v>
      </c>
      <c r="N40" s="676">
        <v>4</v>
      </c>
      <c r="O40" s="676">
        <v>13192</v>
      </c>
      <c r="P40" s="697">
        <v>1.3337377413810534</v>
      </c>
      <c r="Q40" s="677">
        <v>3298</v>
      </c>
    </row>
    <row r="41" spans="1:17" ht="14.4" customHeight="1" x14ac:dyDescent="0.3">
      <c r="A41" s="672" t="s">
        <v>478</v>
      </c>
      <c r="B41" s="673" t="s">
        <v>2105</v>
      </c>
      <c r="C41" s="673" t="s">
        <v>2102</v>
      </c>
      <c r="D41" s="673" t="s">
        <v>2174</v>
      </c>
      <c r="E41" s="673" t="s">
        <v>2175</v>
      </c>
      <c r="F41" s="676"/>
      <c r="G41" s="676"/>
      <c r="H41" s="676"/>
      <c r="I41" s="676"/>
      <c r="J41" s="676"/>
      <c r="K41" s="676"/>
      <c r="L41" s="676"/>
      <c r="M41" s="676"/>
      <c r="N41" s="676">
        <v>1</v>
      </c>
      <c r="O41" s="676">
        <v>9265</v>
      </c>
      <c r="P41" s="697"/>
      <c r="Q41" s="677">
        <v>9265</v>
      </c>
    </row>
    <row r="42" spans="1:17" ht="14.4" customHeight="1" x14ac:dyDescent="0.3">
      <c r="A42" s="672" t="s">
        <v>478</v>
      </c>
      <c r="B42" s="673" t="s">
        <v>2105</v>
      </c>
      <c r="C42" s="673" t="s">
        <v>2102</v>
      </c>
      <c r="D42" s="673" t="s">
        <v>2176</v>
      </c>
      <c r="E42" s="673" t="s">
        <v>2177</v>
      </c>
      <c r="F42" s="676"/>
      <c r="G42" s="676"/>
      <c r="H42" s="676"/>
      <c r="I42" s="676"/>
      <c r="J42" s="676"/>
      <c r="K42" s="676"/>
      <c r="L42" s="676"/>
      <c r="M42" s="676"/>
      <c r="N42" s="676">
        <v>1</v>
      </c>
      <c r="O42" s="676">
        <v>0</v>
      </c>
      <c r="P42" s="697"/>
      <c r="Q42" s="677">
        <v>0</v>
      </c>
    </row>
    <row r="43" spans="1:17" ht="14.4" customHeight="1" x14ac:dyDescent="0.3">
      <c r="A43" s="672" t="s">
        <v>478</v>
      </c>
      <c r="B43" s="673" t="s">
        <v>2105</v>
      </c>
      <c r="C43" s="673" t="s">
        <v>2102</v>
      </c>
      <c r="D43" s="673" t="s">
        <v>2178</v>
      </c>
      <c r="E43" s="673" t="s">
        <v>2179</v>
      </c>
      <c r="F43" s="676">
        <v>1</v>
      </c>
      <c r="G43" s="676">
        <v>0</v>
      </c>
      <c r="H43" s="676"/>
      <c r="I43" s="676">
        <v>0</v>
      </c>
      <c r="J43" s="676"/>
      <c r="K43" s="676"/>
      <c r="L43" s="676"/>
      <c r="M43" s="676"/>
      <c r="N43" s="676">
        <v>3</v>
      </c>
      <c r="O43" s="676">
        <v>0</v>
      </c>
      <c r="P43" s="697"/>
      <c r="Q43" s="677">
        <v>0</v>
      </c>
    </row>
    <row r="44" spans="1:17" ht="14.4" customHeight="1" x14ac:dyDescent="0.3">
      <c r="A44" s="672" t="s">
        <v>478</v>
      </c>
      <c r="B44" s="673" t="s">
        <v>2105</v>
      </c>
      <c r="C44" s="673" t="s">
        <v>2102</v>
      </c>
      <c r="D44" s="673" t="s">
        <v>2180</v>
      </c>
      <c r="E44" s="673" t="s">
        <v>2181</v>
      </c>
      <c r="F44" s="676"/>
      <c r="G44" s="676"/>
      <c r="H44" s="676"/>
      <c r="I44" s="676"/>
      <c r="J44" s="676"/>
      <c r="K44" s="676"/>
      <c r="L44" s="676"/>
      <c r="M44" s="676"/>
      <c r="N44" s="676">
        <v>1</v>
      </c>
      <c r="O44" s="676">
        <v>0</v>
      </c>
      <c r="P44" s="697"/>
      <c r="Q44" s="677">
        <v>0</v>
      </c>
    </row>
    <row r="45" spans="1:17" ht="14.4" customHeight="1" x14ac:dyDescent="0.3">
      <c r="A45" s="672" t="s">
        <v>478</v>
      </c>
      <c r="B45" s="673" t="s">
        <v>2105</v>
      </c>
      <c r="C45" s="673" t="s">
        <v>2102</v>
      </c>
      <c r="D45" s="673" t="s">
        <v>2182</v>
      </c>
      <c r="E45" s="673" t="s">
        <v>2183</v>
      </c>
      <c r="F45" s="676">
        <v>1</v>
      </c>
      <c r="G45" s="676">
        <v>4675</v>
      </c>
      <c r="H45" s="676"/>
      <c r="I45" s="676">
        <v>4675</v>
      </c>
      <c r="J45" s="676"/>
      <c r="K45" s="676"/>
      <c r="L45" s="676"/>
      <c r="M45" s="676"/>
      <c r="N45" s="676">
        <v>3</v>
      </c>
      <c r="O45" s="676">
        <v>14196</v>
      </c>
      <c r="P45" s="697"/>
      <c r="Q45" s="677">
        <v>4732</v>
      </c>
    </row>
    <row r="46" spans="1:17" ht="14.4" customHeight="1" x14ac:dyDescent="0.3">
      <c r="A46" s="672" t="s">
        <v>478</v>
      </c>
      <c r="B46" s="673" t="s">
        <v>2105</v>
      </c>
      <c r="C46" s="673" t="s">
        <v>2102</v>
      </c>
      <c r="D46" s="673" t="s">
        <v>2184</v>
      </c>
      <c r="E46" s="673" t="s">
        <v>2185</v>
      </c>
      <c r="F46" s="676">
        <v>1</v>
      </c>
      <c r="G46" s="676">
        <v>4557</v>
      </c>
      <c r="H46" s="676"/>
      <c r="I46" s="676">
        <v>4557</v>
      </c>
      <c r="J46" s="676"/>
      <c r="K46" s="676"/>
      <c r="L46" s="676"/>
      <c r="M46" s="676"/>
      <c r="N46" s="676"/>
      <c r="O46" s="676"/>
      <c r="P46" s="697"/>
      <c r="Q46" s="677"/>
    </row>
    <row r="47" spans="1:17" ht="14.4" customHeight="1" x14ac:dyDescent="0.3">
      <c r="A47" s="672" t="s">
        <v>478</v>
      </c>
      <c r="B47" s="673" t="s">
        <v>2105</v>
      </c>
      <c r="C47" s="673" t="s">
        <v>2102</v>
      </c>
      <c r="D47" s="673" t="s">
        <v>2186</v>
      </c>
      <c r="E47" s="673" t="s">
        <v>2187</v>
      </c>
      <c r="F47" s="676"/>
      <c r="G47" s="676"/>
      <c r="H47" s="676"/>
      <c r="I47" s="676"/>
      <c r="J47" s="676">
        <v>2</v>
      </c>
      <c r="K47" s="676">
        <v>10564</v>
      </c>
      <c r="L47" s="676">
        <v>1</v>
      </c>
      <c r="M47" s="676">
        <v>5282</v>
      </c>
      <c r="N47" s="676">
        <v>1</v>
      </c>
      <c r="O47" s="676">
        <v>5284</v>
      </c>
      <c r="P47" s="697">
        <v>0.50018932222642942</v>
      </c>
      <c r="Q47" s="677">
        <v>5284</v>
      </c>
    </row>
    <row r="48" spans="1:17" ht="14.4" customHeight="1" x14ac:dyDescent="0.3">
      <c r="A48" s="672" t="s">
        <v>478</v>
      </c>
      <c r="B48" s="673" t="s">
        <v>2105</v>
      </c>
      <c r="C48" s="673" t="s">
        <v>2102</v>
      </c>
      <c r="D48" s="673" t="s">
        <v>2188</v>
      </c>
      <c r="E48" s="673" t="s">
        <v>2189</v>
      </c>
      <c r="F48" s="676">
        <v>1</v>
      </c>
      <c r="G48" s="676">
        <v>0</v>
      </c>
      <c r="H48" s="676"/>
      <c r="I48" s="676">
        <v>0</v>
      </c>
      <c r="J48" s="676"/>
      <c r="K48" s="676"/>
      <c r="L48" s="676"/>
      <c r="M48" s="676"/>
      <c r="N48" s="676">
        <v>1</v>
      </c>
      <c r="O48" s="676">
        <v>0</v>
      </c>
      <c r="P48" s="697"/>
      <c r="Q48" s="677">
        <v>0</v>
      </c>
    </row>
    <row r="49" spans="1:17" ht="14.4" customHeight="1" x14ac:dyDescent="0.3">
      <c r="A49" s="672" t="s">
        <v>478</v>
      </c>
      <c r="B49" s="673" t="s">
        <v>2105</v>
      </c>
      <c r="C49" s="673" t="s">
        <v>2102</v>
      </c>
      <c r="D49" s="673" t="s">
        <v>2190</v>
      </c>
      <c r="E49" s="673" t="s">
        <v>2191</v>
      </c>
      <c r="F49" s="676"/>
      <c r="G49" s="676"/>
      <c r="H49" s="676"/>
      <c r="I49" s="676"/>
      <c r="J49" s="676"/>
      <c r="K49" s="676"/>
      <c r="L49" s="676"/>
      <c r="M49" s="676"/>
      <c r="N49" s="676">
        <v>1</v>
      </c>
      <c r="O49" s="676">
        <v>11010</v>
      </c>
      <c r="P49" s="697"/>
      <c r="Q49" s="677">
        <v>11010</v>
      </c>
    </row>
    <row r="50" spans="1:17" ht="14.4" customHeight="1" x14ac:dyDescent="0.3">
      <c r="A50" s="672" t="s">
        <v>478</v>
      </c>
      <c r="B50" s="673" t="s">
        <v>2105</v>
      </c>
      <c r="C50" s="673" t="s">
        <v>2102</v>
      </c>
      <c r="D50" s="673" t="s">
        <v>2192</v>
      </c>
      <c r="E50" s="673" t="s">
        <v>2193</v>
      </c>
      <c r="F50" s="676"/>
      <c r="G50" s="676"/>
      <c r="H50" s="676"/>
      <c r="I50" s="676"/>
      <c r="J50" s="676">
        <v>1</v>
      </c>
      <c r="K50" s="676">
        <v>4114</v>
      </c>
      <c r="L50" s="676">
        <v>1</v>
      </c>
      <c r="M50" s="676">
        <v>4114</v>
      </c>
      <c r="N50" s="676"/>
      <c r="O50" s="676"/>
      <c r="P50" s="697"/>
      <c r="Q50" s="677"/>
    </row>
    <row r="51" spans="1:17" ht="14.4" customHeight="1" x14ac:dyDescent="0.3">
      <c r="A51" s="672" t="s">
        <v>478</v>
      </c>
      <c r="B51" s="673" t="s">
        <v>2105</v>
      </c>
      <c r="C51" s="673" t="s">
        <v>2102</v>
      </c>
      <c r="D51" s="673" t="s">
        <v>2194</v>
      </c>
      <c r="E51" s="673" t="s">
        <v>2195</v>
      </c>
      <c r="F51" s="676"/>
      <c r="G51" s="676"/>
      <c r="H51" s="676"/>
      <c r="I51" s="676"/>
      <c r="J51" s="676"/>
      <c r="K51" s="676"/>
      <c r="L51" s="676"/>
      <c r="M51" s="676"/>
      <c r="N51" s="676">
        <v>1</v>
      </c>
      <c r="O51" s="676">
        <v>0</v>
      </c>
      <c r="P51" s="697"/>
      <c r="Q51" s="677">
        <v>0</v>
      </c>
    </row>
    <row r="52" spans="1:17" ht="14.4" customHeight="1" x14ac:dyDescent="0.3">
      <c r="A52" s="672" t="s">
        <v>478</v>
      </c>
      <c r="B52" s="673" t="s">
        <v>2105</v>
      </c>
      <c r="C52" s="673" t="s">
        <v>2102</v>
      </c>
      <c r="D52" s="673" t="s">
        <v>2196</v>
      </c>
      <c r="E52" s="673" t="s">
        <v>2197</v>
      </c>
      <c r="F52" s="676"/>
      <c r="G52" s="676"/>
      <c r="H52" s="676"/>
      <c r="I52" s="676"/>
      <c r="J52" s="676"/>
      <c r="K52" s="676"/>
      <c r="L52" s="676"/>
      <c r="M52" s="676"/>
      <c r="N52" s="676">
        <v>1</v>
      </c>
      <c r="O52" s="676">
        <v>8450</v>
      </c>
      <c r="P52" s="697"/>
      <c r="Q52" s="677">
        <v>8450</v>
      </c>
    </row>
    <row r="53" spans="1:17" ht="14.4" customHeight="1" x14ac:dyDescent="0.3">
      <c r="A53" s="672" t="s">
        <v>478</v>
      </c>
      <c r="B53" s="673" t="s">
        <v>2105</v>
      </c>
      <c r="C53" s="673" t="s">
        <v>2102</v>
      </c>
      <c r="D53" s="673" t="s">
        <v>2198</v>
      </c>
      <c r="E53" s="673" t="s">
        <v>2199</v>
      </c>
      <c r="F53" s="676"/>
      <c r="G53" s="676"/>
      <c r="H53" s="676"/>
      <c r="I53" s="676"/>
      <c r="J53" s="676"/>
      <c r="K53" s="676"/>
      <c r="L53" s="676"/>
      <c r="M53" s="676"/>
      <c r="N53" s="676">
        <v>1</v>
      </c>
      <c r="O53" s="676">
        <v>0</v>
      </c>
      <c r="P53" s="697"/>
      <c r="Q53" s="677">
        <v>0</v>
      </c>
    </row>
    <row r="54" spans="1:17" ht="14.4" customHeight="1" x14ac:dyDescent="0.3">
      <c r="A54" s="672" t="s">
        <v>478</v>
      </c>
      <c r="B54" s="673" t="s">
        <v>2200</v>
      </c>
      <c r="C54" s="673" t="s">
        <v>2102</v>
      </c>
      <c r="D54" s="673" t="s">
        <v>2201</v>
      </c>
      <c r="E54" s="673" t="s">
        <v>2202</v>
      </c>
      <c r="F54" s="676">
        <v>1</v>
      </c>
      <c r="G54" s="676">
        <v>696</v>
      </c>
      <c r="H54" s="676">
        <v>0.4908321579689704</v>
      </c>
      <c r="I54" s="676">
        <v>696</v>
      </c>
      <c r="J54" s="676">
        <v>2</v>
      </c>
      <c r="K54" s="676">
        <v>1418</v>
      </c>
      <c r="L54" s="676">
        <v>1</v>
      </c>
      <c r="M54" s="676">
        <v>709</v>
      </c>
      <c r="N54" s="676">
        <v>4</v>
      </c>
      <c r="O54" s="676">
        <v>2840</v>
      </c>
      <c r="P54" s="697">
        <v>2.002820874471086</v>
      </c>
      <c r="Q54" s="677">
        <v>710</v>
      </c>
    </row>
    <row r="55" spans="1:17" ht="14.4" customHeight="1" x14ac:dyDescent="0.3">
      <c r="A55" s="672" t="s">
        <v>478</v>
      </c>
      <c r="B55" s="673" t="s">
        <v>2200</v>
      </c>
      <c r="C55" s="673" t="s">
        <v>2102</v>
      </c>
      <c r="D55" s="673" t="s">
        <v>2203</v>
      </c>
      <c r="E55" s="673" t="s">
        <v>2204</v>
      </c>
      <c r="F55" s="676">
        <v>1</v>
      </c>
      <c r="G55" s="676">
        <v>301</v>
      </c>
      <c r="H55" s="676"/>
      <c r="I55" s="676">
        <v>301</v>
      </c>
      <c r="J55" s="676"/>
      <c r="K55" s="676"/>
      <c r="L55" s="676"/>
      <c r="M55" s="676"/>
      <c r="N55" s="676"/>
      <c r="O55" s="676"/>
      <c r="P55" s="697"/>
      <c r="Q55" s="677"/>
    </row>
    <row r="56" spans="1:17" ht="14.4" customHeight="1" x14ac:dyDescent="0.3">
      <c r="A56" s="672" t="s">
        <v>478</v>
      </c>
      <c r="B56" s="673" t="s">
        <v>2200</v>
      </c>
      <c r="C56" s="673" t="s">
        <v>2102</v>
      </c>
      <c r="D56" s="673" t="s">
        <v>2205</v>
      </c>
      <c r="E56" s="673" t="s">
        <v>2206</v>
      </c>
      <c r="F56" s="676">
        <v>1</v>
      </c>
      <c r="G56" s="676">
        <v>3505</v>
      </c>
      <c r="H56" s="676"/>
      <c r="I56" s="676">
        <v>3505</v>
      </c>
      <c r="J56" s="676"/>
      <c r="K56" s="676"/>
      <c r="L56" s="676"/>
      <c r="M56" s="676"/>
      <c r="N56" s="676"/>
      <c r="O56" s="676"/>
      <c r="P56" s="697"/>
      <c r="Q56" s="677"/>
    </row>
    <row r="57" spans="1:17" ht="14.4" customHeight="1" x14ac:dyDescent="0.3">
      <c r="A57" s="672" t="s">
        <v>478</v>
      </c>
      <c r="B57" s="673" t="s">
        <v>2200</v>
      </c>
      <c r="C57" s="673" t="s">
        <v>2102</v>
      </c>
      <c r="D57" s="673" t="s">
        <v>2207</v>
      </c>
      <c r="E57" s="673" t="s">
        <v>2208</v>
      </c>
      <c r="F57" s="676"/>
      <c r="G57" s="676"/>
      <c r="H57" s="676"/>
      <c r="I57" s="676"/>
      <c r="J57" s="676">
        <v>1</v>
      </c>
      <c r="K57" s="676">
        <v>4468</v>
      </c>
      <c r="L57" s="676">
        <v>1</v>
      </c>
      <c r="M57" s="676">
        <v>4468</v>
      </c>
      <c r="N57" s="676"/>
      <c r="O57" s="676"/>
      <c r="P57" s="697"/>
      <c r="Q57" s="677"/>
    </row>
    <row r="58" spans="1:17" ht="14.4" customHeight="1" x14ac:dyDescent="0.3">
      <c r="A58" s="672" t="s">
        <v>478</v>
      </c>
      <c r="B58" s="673" t="s">
        <v>2200</v>
      </c>
      <c r="C58" s="673" t="s">
        <v>2102</v>
      </c>
      <c r="D58" s="673" t="s">
        <v>2209</v>
      </c>
      <c r="E58" s="673" t="s">
        <v>2210</v>
      </c>
      <c r="F58" s="676">
        <v>3</v>
      </c>
      <c r="G58" s="676">
        <v>16086</v>
      </c>
      <c r="H58" s="676">
        <v>1.4605048120573816</v>
      </c>
      <c r="I58" s="676">
        <v>5362</v>
      </c>
      <c r="J58" s="676">
        <v>2</v>
      </c>
      <c r="K58" s="676">
        <v>11014</v>
      </c>
      <c r="L58" s="676">
        <v>1</v>
      </c>
      <c r="M58" s="676">
        <v>5507</v>
      </c>
      <c r="N58" s="676"/>
      <c r="O58" s="676"/>
      <c r="P58" s="697"/>
      <c r="Q58" s="677"/>
    </row>
    <row r="59" spans="1:17" ht="14.4" customHeight="1" x14ac:dyDescent="0.3">
      <c r="A59" s="672" t="s">
        <v>478</v>
      </c>
      <c r="B59" s="673" t="s">
        <v>2200</v>
      </c>
      <c r="C59" s="673" t="s">
        <v>2102</v>
      </c>
      <c r="D59" s="673" t="s">
        <v>2211</v>
      </c>
      <c r="E59" s="673" t="s">
        <v>2212</v>
      </c>
      <c r="F59" s="676">
        <v>1</v>
      </c>
      <c r="G59" s="676">
        <v>4082</v>
      </c>
      <c r="H59" s="676">
        <v>0.47877081867229648</v>
      </c>
      <c r="I59" s="676">
        <v>4082</v>
      </c>
      <c r="J59" s="676">
        <v>2</v>
      </c>
      <c r="K59" s="676">
        <v>8526</v>
      </c>
      <c r="L59" s="676">
        <v>1</v>
      </c>
      <c r="M59" s="676">
        <v>4263</v>
      </c>
      <c r="N59" s="676"/>
      <c r="O59" s="676"/>
      <c r="P59" s="697"/>
      <c r="Q59" s="677"/>
    </row>
    <row r="60" spans="1:17" ht="14.4" customHeight="1" x14ac:dyDescent="0.3">
      <c r="A60" s="672" t="s">
        <v>478</v>
      </c>
      <c r="B60" s="673" t="s">
        <v>2200</v>
      </c>
      <c r="C60" s="673" t="s">
        <v>2102</v>
      </c>
      <c r="D60" s="673" t="s">
        <v>2213</v>
      </c>
      <c r="E60" s="673" t="s">
        <v>2214</v>
      </c>
      <c r="F60" s="676">
        <v>2</v>
      </c>
      <c r="G60" s="676">
        <v>1892</v>
      </c>
      <c r="H60" s="676"/>
      <c r="I60" s="676">
        <v>946</v>
      </c>
      <c r="J60" s="676"/>
      <c r="K60" s="676"/>
      <c r="L60" s="676"/>
      <c r="M60" s="676"/>
      <c r="N60" s="676"/>
      <c r="O60" s="676"/>
      <c r="P60" s="697"/>
      <c r="Q60" s="677"/>
    </row>
    <row r="61" spans="1:17" ht="14.4" customHeight="1" x14ac:dyDescent="0.3">
      <c r="A61" s="672" t="s">
        <v>478</v>
      </c>
      <c r="B61" s="673" t="s">
        <v>2200</v>
      </c>
      <c r="C61" s="673" t="s">
        <v>2102</v>
      </c>
      <c r="D61" s="673" t="s">
        <v>2130</v>
      </c>
      <c r="E61" s="673" t="s">
        <v>2131</v>
      </c>
      <c r="F61" s="676"/>
      <c r="G61" s="676"/>
      <c r="H61" s="676"/>
      <c r="I61" s="676"/>
      <c r="J61" s="676">
        <v>1</v>
      </c>
      <c r="K61" s="676">
        <v>836</v>
      </c>
      <c r="L61" s="676">
        <v>1</v>
      </c>
      <c r="M61" s="676">
        <v>836</v>
      </c>
      <c r="N61" s="676"/>
      <c r="O61" s="676"/>
      <c r="P61" s="697"/>
      <c r="Q61" s="677"/>
    </row>
    <row r="62" spans="1:17" ht="14.4" customHeight="1" x14ac:dyDescent="0.3">
      <c r="A62" s="672" t="s">
        <v>478</v>
      </c>
      <c r="B62" s="673" t="s">
        <v>2200</v>
      </c>
      <c r="C62" s="673" t="s">
        <v>2102</v>
      </c>
      <c r="D62" s="673" t="s">
        <v>2215</v>
      </c>
      <c r="E62" s="673" t="s">
        <v>2216</v>
      </c>
      <c r="F62" s="676">
        <v>1</v>
      </c>
      <c r="G62" s="676">
        <v>3958</v>
      </c>
      <c r="H62" s="676"/>
      <c r="I62" s="676">
        <v>3958</v>
      </c>
      <c r="J62" s="676"/>
      <c r="K62" s="676"/>
      <c r="L62" s="676"/>
      <c r="M62" s="676"/>
      <c r="N62" s="676"/>
      <c r="O62" s="676"/>
      <c r="P62" s="697"/>
      <c r="Q62" s="677"/>
    </row>
    <row r="63" spans="1:17" ht="14.4" customHeight="1" x14ac:dyDescent="0.3">
      <c r="A63" s="672" t="s">
        <v>478</v>
      </c>
      <c r="B63" s="673" t="s">
        <v>2200</v>
      </c>
      <c r="C63" s="673" t="s">
        <v>2102</v>
      </c>
      <c r="D63" s="673" t="s">
        <v>2156</v>
      </c>
      <c r="E63" s="673" t="s">
        <v>2157</v>
      </c>
      <c r="F63" s="676"/>
      <c r="G63" s="676"/>
      <c r="H63" s="676"/>
      <c r="I63" s="676"/>
      <c r="J63" s="676">
        <v>1</v>
      </c>
      <c r="K63" s="676">
        <v>865</v>
      </c>
      <c r="L63" s="676">
        <v>1</v>
      </c>
      <c r="M63" s="676">
        <v>865</v>
      </c>
      <c r="N63" s="676">
        <v>2</v>
      </c>
      <c r="O63" s="676">
        <v>1730</v>
      </c>
      <c r="P63" s="697">
        <v>2</v>
      </c>
      <c r="Q63" s="677">
        <v>865</v>
      </c>
    </row>
    <row r="64" spans="1:17" ht="14.4" customHeight="1" x14ac:dyDescent="0.3">
      <c r="A64" s="672" t="s">
        <v>478</v>
      </c>
      <c r="B64" s="673" t="s">
        <v>2200</v>
      </c>
      <c r="C64" s="673" t="s">
        <v>2102</v>
      </c>
      <c r="D64" s="673" t="s">
        <v>2217</v>
      </c>
      <c r="E64" s="673" t="s">
        <v>2218</v>
      </c>
      <c r="F64" s="676">
        <v>2</v>
      </c>
      <c r="G64" s="676">
        <v>228</v>
      </c>
      <c r="H64" s="676">
        <v>0.38</v>
      </c>
      <c r="I64" s="676">
        <v>114</v>
      </c>
      <c r="J64" s="676">
        <v>5</v>
      </c>
      <c r="K64" s="676">
        <v>600</v>
      </c>
      <c r="L64" s="676">
        <v>1</v>
      </c>
      <c r="M64" s="676">
        <v>120</v>
      </c>
      <c r="N64" s="676">
        <v>2</v>
      </c>
      <c r="O64" s="676">
        <v>240</v>
      </c>
      <c r="P64" s="697">
        <v>0.4</v>
      </c>
      <c r="Q64" s="677">
        <v>120</v>
      </c>
    </row>
    <row r="65" spans="1:17" ht="14.4" customHeight="1" x14ac:dyDescent="0.3">
      <c r="A65" s="672" t="s">
        <v>478</v>
      </c>
      <c r="B65" s="673" t="s">
        <v>2200</v>
      </c>
      <c r="C65" s="673" t="s">
        <v>2102</v>
      </c>
      <c r="D65" s="673" t="s">
        <v>2219</v>
      </c>
      <c r="E65" s="673" t="s">
        <v>2220</v>
      </c>
      <c r="F65" s="676">
        <v>1</v>
      </c>
      <c r="G65" s="676">
        <v>311</v>
      </c>
      <c r="H65" s="676"/>
      <c r="I65" s="676">
        <v>311</v>
      </c>
      <c r="J65" s="676"/>
      <c r="K65" s="676"/>
      <c r="L65" s="676"/>
      <c r="M65" s="676"/>
      <c r="N65" s="676"/>
      <c r="O65" s="676"/>
      <c r="P65" s="697"/>
      <c r="Q65" s="677"/>
    </row>
    <row r="66" spans="1:17" ht="14.4" customHeight="1" x14ac:dyDescent="0.3">
      <c r="A66" s="672" t="s">
        <v>478</v>
      </c>
      <c r="B66" s="673" t="s">
        <v>2200</v>
      </c>
      <c r="C66" s="673" t="s">
        <v>2102</v>
      </c>
      <c r="D66" s="673" t="s">
        <v>2221</v>
      </c>
      <c r="E66" s="673" t="s">
        <v>2222</v>
      </c>
      <c r="F66" s="676"/>
      <c r="G66" s="676"/>
      <c r="H66" s="676"/>
      <c r="I66" s="676"/>
      <c r="J66" s="676">
        <v>3</v>
      </c>
      <c r="K66" s="676">
        <v>17118</v>
      </c>
      <c r="L66" s="676">
        <v>1</v>
      </c>
      <c r="M66" s="676">
        <v>5706</v>
      </c>
      <c r="N66" s="676">
        <v>1</v>
      </c>
      <c r="O66" s="676">
        <v>5711</v>
      </c>
      <c r="P66" s="697">
        <v>0.33362542353078628</v>
      </c>
      <c r="Q66" s="677">
        <v>5711</v>
      </c>
    </row>
    <row r="67" spans="1:17" ht="14.4" customHeight="1" x14ac:dyDescent="0.3">
      <c r="A67" s="672" t="s">
        <v>478</v>
      </c>
      <c r="B67" s="673" t="s">
        <v>2200</v>
      </c>
      <c r="C67" s="673" t="s">
        <v>2102</v>
      </c>
      <c r="D67" s="673" t="s">
        <v>2223</v>
      </c>
      <c r="E67" s="673" t="s">
        <v>2224</v>
      </c>
      <c r="F67" s="676">
        <v>1</v>
      </c>
      <c r="G67" s="676">
        <v>3795</v>
      </c>
      <c r="H67" s="676"/>
      <c r="I67" s="676">
        <v>3795</v>
      </c>
      <c r="J67" s="676"/>
      <c r="K67" s="676"/>
      <c r="L67" s="676"/>
      <c r="M67" s="676"/>
      <c r="N67" s="676"/>
      <c r="O67" s="676"/>
      <c r="P67" s="697"/>
      <c r="Q67" s="677"/>
    </row>
    <row r="68" spans="1:17" ht="14.4" customHeight="1" x14ac:dyDescent="0.3">
      <c r="A68" s="672" t="s">
        <v>478</v>
      </c>
      <c r="B68" s="673" t="s">
        <v>2200</v>
      </c>
      <c r="C68" s="673" t="s">
        <v>2102</v>
      </c>
      <c r="D68" s="673" t="s">
        <v>2225</v>
      </c>
      <c r="E68" s="673" t="s">
        <v>2226</v>
      </c>
      <c r="F68" s="676"/>
      <c r="G68" s="676"/>
      <c r="H68" s="676"/>
      <c r="I68" s="676"/>
      <c r="J68" s="676"/>
      <c r="K68" s="676"/>
      <c r="L68" s="676"/>
      <c r="M68" s="676"/>
      <c r="N68" s="676">
        <v>1</v>
      </c>
      <c r="O68" s="676">
        <v>8312</v>
      </c>
      <c r="P68" s="697"/>
      <c r="Q68" s="677">
        <v>8312</v>
      </c>
    </row>
    <row r="69" spans="1:17" ht="14.4" customHeight="1" x14ac:dyDescent="0.3">
      <c r="A69" s="672" t="s">
        <v>478</v>
      </c>
      <c r="B69" s="673" t="s">
        <v>2200</v>
      </c>
      <c r="C69" s="673" t="s">
        <v>2102</v>
      </c>
      <c r="D69" s="673" t="s">
        <v>2227</v>
      </c>
      <c r="E69" s="673" t="s">
        <v>2228</v>
      </c>
      <c r="F69" s="676">
        <v>1</v>
      </c>
      <c r="G69" s="676">
        <v>318</v>
      </c>
      <c r="H69" s="676"/>
      <c r="I69" s="676">
        <v>318</v>
      </c>
      <c r="J69" s="676"/>
      <c r="K69" s="676"/>
      <c r="L69" s="676"/>
      <c r="M69" s="676"/>
      <c r="N69" s="676"/>
      <c r="O69" s="676"/>
      <c r="P69" s="697"/>
      <c r="Q69" s="677"/>
    </row>
    <row r="70" spans="1:17" ht="14.4" customHeight="1" x14ac:dyDescent="0.3">
      <c r="A70" s="672" t="s">
        <v>478</v>
      </c>
      <c r="B70" s="673" t="s">
        <v>2200</v>
      </c>
      <c r="C70" s="673" t="s">
        <v>2102</v>
      </c>
      <c r="D70" s="673" t="s">
        <v>2229</v>
      </c>
      <c r="E70" s="673" t="s">
        <v>2230</v>
      </c>
      <c r="F70" s="676"/>
      <c r="G70" s="676"/>
      <c r="H70" s="676"/>
      <c r="I70" s="676"/>
      <c r="J70" s="676">
        <v>1</v>
      </c>
      <c r="K70" s="676">
        <v>1109</v>
      </c>
      <c r="L70" s="676">
        <v>1</v>
      </c>
      <c r="M70" s="676">
        <v>1109</v>
      </c>
      <c r="N70" s="676"/>
      <c r="O70" s="676"/>
      <c r="P70" s="697"/>
      <c r="Q70" s="677"/>
    </row>
    <row r="71" spans="1:17" ht="14.4" customHeight="1" x14ac:dyDescent="0.3">
      <c r="A71" s="672" t="s">
        <v>478</v>
      </c>
      <c r="B71" s="673" t="s">
        <v>2200</v>
      </c>
      <c r="C71" s="673" t="s">
        <v>2102</v>
      </c>
      <c r="D71" s="673" t="s">
        <v>2231</v>
      </c>
      <c r="E71" s="673" t="s">
        <v>2232</v>
      </c>
      <c r="F71" s="676"/>
      <c r="G71" s="676"/>
      <c r="H71" s="676"/>
      <c r="I71" s="676"/>
      <c r="J71" s="676">
        <v>1</v>
      </c>
      <c r="K71" s="676">
        <v>3713</v>
      </c>
      <c r="L71" s="676">
        <v>1</v>
      </c>
      <c r="M71" s="676">
        <v>3713</v>
      </c>
      <c r="N71" s="676"/>
      <c r="O71" s="676"/>
      <c r="P71" s="697"/>
      <c r="Q71" s="677"/>
    </row>
    <row r="72" spans="1:17" ht="14.4" customHeight="1" x14ac:dyDescent="0.3">
      <c r="A72" s="672" t="s">
        <v>478</v>
      </c>
      <c r="B72" s="673" t="s">
        <v>2200</v>
      </c>
      <c r="C72" s="673" t="s">
        <v>2102</v>
      </c>
      <c r="D72" s="673" t="s">
        <v>2233</v>
      </c>
      <c r="E72" s="673" t="s">
        <v>2234</v>
      </c>
      <c r="F72" s="676"/>
      <c r="G72" s="676"/>
      <c r="H72" s="676"/>
      <c r="I72" s="676"/>
      <c r="J72" s="676">
        <v>1</v>
      </c>
      <c r="K72" s="676">
        <v>2758</v>
      </c>
      <c r="L72" s="676">
        <v>1</v>
      </c>
      <c r="M72" s="676">
        <v>2758</v>
      </c>
      <c r="N72" s="676"/>
      <c r="O72" s="676"/>
      <c r="P72" s="697"/>
      <c r="Q72" s="677"/>
    </row>
    <row r="73" spans="1:17" ht="14.4" customHeight="1" x14ac:dyDescent="0.3">
      <c r="A73" s="672" t="s">
        <v>478</v>
      </c>
      <c r="B73" s="673" t="s">
        <v>2235</v>
      </c>
      <c r="C73" s="673" t="s">
        <v>2102</v>
      </c>
      <c r="D73" s="673" t="s">
        <v>2236</v>
      </c>
      <c r="E73" s="673" t="s">
        <v>2237</v>
      </c>
      <c r="F73" s="676"/>
      <c r="G73" s="676"/>
      <c r="H73" s="676"/>
      <c r="I73" s="676"/>
      <c r="J73" s="676"/>
      <c r="K73" s="676"/>
      <c r="L73" s="676"/>
      <c r="M73" s="676"/>
      <c r="N73" s="676">
        <v>1</v>
      </c>
      <c r="O73" s="676">
        <v>0</v>
      </c>
      <c r="P73" s="697"/>
      <c r="Q73" s="677">
        <v>0</v>
      </c>
    </row>
    <row r="74" spans="1:17" ht="14.4" customHeight="1" x14ac:dyDescent="0.3">
      <c r="A74" s="672" t="s">
        <v>478</v>
      </c>
      <c r="B74" s="673" t="s">
        <v>2235</v>
      </c>
      <c r="C74" s="673" t="s">
        <v>2102</v>
      </c>
      <c r="D74" s="673" t="s">
        <v>2146</v>
      </c>
      <c r="E74" s="673" t="s">
        <v>2147</v>
      </c>
      <c r="F74" s="676"/>
      <c r="G74" s="676"/>
      <c r="H74" s="676"/>
      <c r="I74" s="676"/>
      <c r="J74" s="676"/>
      <c r="K74" s="676"/>
      <c r="L74" s="676"/>
      <c r="M74" s="676"/>
      <c r="N74" s="676">
        <v>1</v>
      </c>
      <c r="O74" s="676">
        <v>0</v>
      </c>
      <c r="P74" s="697"/>
      <c r="Q74" s="677">
        <v>0</v>
      </c>
    </row>
    <row r="75" spans="1:17" ht="14.4" customHeight="1" x14ac:dyDescent="0.3">
      <c r="A75" s="672" t="s">
        <v>478</v>
      </c>
      <c r="B75" s="673" t="s">
        <v>2235</v>
      </c>
      <c r="C75" s="673" t="s">
        <v>2102</v>
      </c>
      <c r="D75" s="673" t="s">
        <v>2178</v>
      </c>
      <c r="E75" s="673" t="s">
        <v>2179</v>
      </c>
      <c r="F75" s="676"/>
      <c r="G75" s="676"/>
      <c r="H75" s="676"/>
      <c r="I75" s="676"/>
      <c r="J75" s="676"/>
      <c r="K75" s="676"/>
      <c r="L75" s="676"/>
      <c r="M75" s="676"/>
      <c r="N75" s="676">
        <v>1</v>
      </c>
      <c r="O75" s="676">
        <v>0</v>
      </c>
      <c r="P75" s="697"/>
      <c r="Q75" s="677">
        <v>0</v>
      </c>
    </row>
    <row r="76" spans="1:17" ht="14.4" customHeight="1" x14ac:dyDescent="0.3">
      <c r="A76" s="672" t="s">
        <v>478</v>
      </c>
      <c r="B76" s="673" t="s">
        <v>2235</v>
      </c>
      <c r="C76" s="673" t="s">
        <v>2102</v>
      </c>
      <c r="D76" s="673" t="s">
        <v>2238</v>
      </c>
      <c r="E76" s="673" t="s">
        <v>2239</v>
      </c>
      <c r="F76" s="676"/>
      <c r="G76" s="676"/>
      <c r="H76" s="676"/>
      <c r="I76" s="676"/>
      <c r="J76" s="676"/>
      <c r="K76" s="676"/>
      <c r="L76" s="676"/>
      <c r="M76" s="676"/>
      <c r="N76" s="676">
        <v>1</v>
      </c>
      <c r="O76" s="676">
        <v>0</v>
      </c>
      <c r="P76" s="697"/>
      <c r="Q76" s="677">
        <v>0</v>
      </c>
    </row>
    <row r="77" spans="1:17" ht="14.4" customHeight="1" x14ac:dyDescent="0.3">
      <c r="A77" s="672" t="s">
        <v>478</v>
      </c>
      <c r="B77" s="673" t="s">
        <v>2235</v>
      </c>
      <c r="C77" s="673" t="s">
        <v>2102</v>
      </c>
      <c r="D77" s="673" t="s">
        <v>2240</v>
      </c>
      <c r="E77" s="673" t="s">
        <v>2241</v>
      </c>
      <c r="F77" s="676"/>
      <c r="G77" s="676"/>
      <c r="H77" s="676"/>
      <c r="I77" s="676"/>
      <c r="J77" s="676"/>
      <c r="K77" s="676"/>
      <c r="L77" s="676"/>
      <c r="M77" s="676"/>
      <c r="N77" s="676">
        <v>1</v>
      </c>
      <c r="O77" s="676">
        <v>0</v>
      </c>
      <c r="P77" s="697"/>
      <c r="Q77" s="677">
        <v>0</v>
      </c>
    </row>
    <row r="78" spans="1:17" ht="14.4" customHeight="1" x14ac:dyDescent="0.3">
      <c r="A78" s="672" t="s">
        <v>478</v>
      </c>
      <c r="B78" s="673" t="s">
        <v>2235</v>
      </c>
      <c r="C78" s="673" t="s">
        <v>2102</v>
      </c>
      <c r="D78" s="673" t="s">
        <v>2242</v>
      </c>
      <c r="E78" s="673"/>
      <c r="F78" s="676"/>
      <c r="G78" s="676"/>
      <c r="H78" s="676"/>
      <c r="I78" s="676"/>
      <c r="J78" s="676"/>
      <c r="K78" s="676"/>
      <c r="L78" s="676"/>
      <c r="M78" s="676"/>
      <c r="N78" s="676">
        <v>1</v>
      </c>
      <c r="O78" s="676">
        <v>7605</v>
      </c>
      <c r="P78" s="697"/>
      <c r="Q78" s="677">
        <v>7605</v>
      </c>
    </row>
    <row r="79" spans="1:17" ht="14.4" customHeight="1" x14ac:dyDescent="0.3">
      <c r="A79" s="672" t="s">
        <v>478</v>
      </c>
      <c r="B79" s="673" t="s">
        <v>2243</v>
      </c>
      <c r="C79" s="673" t="s">
        <v>2102</v>
      </c>
      <c r="D79" s="673" t="s">
        <v>2244</v>
      </c>
      <c r="E79" s="673" t="s">
        <v>2245</v>
      </c>
      <c r="F79" s="676"/>
      <c r="G79" s="676"/>
      <c r="H79" s="676"/>
      <c r="I79" s="676"/>
      <c r="J79" s="676"/>
      <c r="K79" s="676"/>
      <c r="L79" s="676"/>
      <c r="M79" s="676"/>
      <c r="N79" s="676">
        <v>1</v>
      </c>
      <c r="O79" s="676">
        <v>5705</v>
      </c>
      <c r="P79" s="697"/>
      <c r="Q79" s="677">
        <v>5705</v>
      </c>
    </row>
    <row r="80" spans="1:17" ht="14.4" customHeight="1" x14ac:dyDescent="0.3">
      <c r="A80" s="672" t="s">
        <v>478</v>
      </c>
      <c r="B80" s="673" t="s">
        <v>2243</v>
      </c>
      <c r="C80" s="673" t="s">
        <v>2102</v>
      </c>
      <c r="D80" s="673" t="s">
        <v>2246</v>
      </c>
      <c r="E80" s="673" t="s">
        <v>2247</v>
      </c>
      <c r="F80" s="676"/>
      <c r="G80" s="676"/>
      <c r="H80" s="676"/>
      <c r="I80" s="676"/>
      <c r="J80" s="676"/>
      <c r="K80" s="676"/>
      <c r="L80" s="676"/>
      <c r="M80" s="676"/>
      <c r="N80" s="676">
        <v>1</v>
      </c>
      <c r="O80" s="676">
        <v>2348</v>
      </c>
      <c r="P80" s="697"/>
      <c r="Q80" s="677">
        <v>2348</v>
      </c>
    </row>
    <row r="81" spans="1:17" ht="14.4" customHeight="1" x14ac:dyDescent="0.3">
      <c r="A81" s="672" t="s">
        <v>478</v>
      </c>
      <c r="B81" s="673" t="s">
        <v>2243</v>
      </c>
      <c r="C81" s="673" t="s">
        <v>2102</v>
      </c>
      <c r="D81" s="673" t="s">
        <v>2248</v>
      </c>
      <c r="E81" s="673" t="s">
        <v>2249</v>
      </c>
      <c r="F81" s="676"/>
      <c r="G81" s="676"/>
      <c r="H81" s="676"/>
      <c r="I81" s="676"/>
      <c r="J81" s="676"/>
      <c r="K81" s="676"/>
      <c r="L81" s="676"/>
      <c r="M81" s="676"/>
      <c r="N81" s="676">
        <v>1</v>
      </c>
      <c r="O81" s="676">
        <v>5606</v>
      </c>
      <c r="P81" s="697"/>
      <c r="Q81" s="677">
        <v>5606</v>
      </c>
    </row>
    <row r="82" spans="1:17" ht="14.4" customHeight="1" x14ac:dyDescent="0.3">
      <c r="A82" s="672" t="s">
        <v>478</v>
      </c>
      <c r="B82" s="673" t="s">
        <v>2243</v>
      </c>
      <c r="C82" s="673" t="s">
        <v>2102</v>
      </c>
      <c r="D82" s="673" t="s">
        <v>2250</v>
      </c>
      <c r="E82" s="673" t="s">
        <v>2251</v>
      </c>
      <c r="F82" s="676"/>
      <c r="G82" s="676"/>
      <c r="H82" s="676"/>
      <c r="I82" s="676"/>
      <c r="J82" s="676"/>
      <c r="K82" s="676"/>
      <c r="L82" s="676"/>
      <c r="M82" s="676"/>
      <c r="N82" s="676">
        <v>1</v>
      </c>
      <c r="O82" s="676">
        <v>4114</v>
      </c>
      <c r="P82" s="697"/>
      <c r="Q82" s="677">
        <v>4114</v>
      </c>
    </row>
    <row r="83" spans="1:17" ht="14.4" customHeight="1" x14ac:dyDescent="0.3">
      <c r="A83" s="672" t="s">
        <v>478</v>
      </c>
      <c r="B83" s="673" t="s">
        <v>2243</v>
      </c>
      <c r="C83" s="673" t="s">
        <v>2102</v>
      </c>
      <c r="D83" s="673" t="s">
        <v>2252</v>
      </c>
      <c r="E83" s="673" t="s">
        <v>2253</v>
      </c>
      <c r="F83" s="676"/>
      <c r="G83" s="676"/>
      <c r="H83" s="676"/>
      <c r="I83" s="676"/>
      <c r="J83" s="676"/>
      <c r="K83" s="676"/>
      <c r="L83" s="676"/>
      <c r="M83" s="676"/>
      <c r="N83" s="676">
        <v>1</v>
      </c>
      <c r="O83" s="676">
        <v>4609</v>
      </c>
      <c r="P83" s="697"/>
      <c r="Q83" s="677">
        <v>4609</v>
      </c>
    </row>
    <row r="84" spans="1:17" ht="14.4" customHeight="1" x14ac:dyDescent="0.3">
      <c r="A84" s="672" t="s">
        <v>478</v>
      </c>
      <c r="B84" s="673" t="s">
        <v>2101</v>
      </c>
      <c r="C84" s="673" t="s">
        <v>2254</v>
      </c>
      <c r="D84" s="673" t="s">
        <v>2255</v>
      </c>
      <c r="E84" s="673" t="s">
        <v>1289</v>
      </c>
      <c r="F84" s="676"/>
      <c r="G84" s="676"/>
      <c r="H84" s="676"/>
      <c r="I84" s="676"/>
      <c r="J84" s="676"/>
      <c r="K84" s="676"/>
      <c r="L84" s="676"/>
      <c r="M84" s="676"/>
      <c r="N84" s="676">
        <v>0.2</v>
      </c>
      <c r="O84" s="676">
        <v>2258.7600000000002</v>
      </c>
      <c r="P84" s="697"/>
      <c r="Q84" s="677">
        <v>11293.800000000001</v>
      </c>
    </row>
    <row r="85" spans="1:17" ht="14.4" customHeight="1" x14ac:dyDescent="0.3">
      <c r="A85" s="672" t="s">
        <v>478</v>
      </c>
      <c r="B85" s="673" t="s">
        <v>2101</v>
      </c>
      <c r="C85" s="673" t="s">
        <v>2254</v>
      </c>
      <c r="D85" s="673" t="s">
        <v>2256</v>
      </c>
      <c r="E85" s="673" t="s">
        <v>2257</v>
      </c>
      <c r="F85" s="676">
        <v>1</v>
      </c>
      <c r="G85" s="676">
        <v>79.680000000000007</v>
      </c>
      <c r="H85" s="676">
        <v>4.6936299053969677E-2</v>
      </c>
      <c r="I85" s="676">
        <v>79.680000000000007</v>
      </c>
      <c r="J85" s="676">
        <v>34</v>
      </c>
      <c r="K85" s="676">
        <v>1697.6200000000001</v>
      </c>
      <c r="L85" s="676">
        <v>1</v>
      </c>
      <c r="M85" s="676">
        <v>49.930000000000007</v>
      </c>
      <c r="N85" s="676"/>
      <c r="O85" s="676"/>
      <c r="P85" s="697"/>
      <c r="Q85" s="677"/>
    </row>
    <row r="86" spans="1:17" ht="14.4" customHeight="1" x14ac:dyDescent="0.3">
      <c r="A86" s="672" t="s">
        <v>478</v>
      </c>
      <c r="B86" s="673" t="s">
        <v>2101</v>
      </c>
      <c r="C86" s="673" t="s">
        <v>2254</v>
      </c>
      <c r="D86" s="673" t="s">
        <v>2258</v>
      </c>
      <c r="E86" s="673" t="s">
        <v>2259</v>
      </c>
      <c r="F86" s="676"/>
      <c r="G86" s="676"/>
      <c r="H86" s="676"/>
      <c r="I86" s="676"/>
      <c r="J86" s="676">
        <v>3</v>
      </c>
      <c r="K86" s="676">
        <v>14964.35</v>
      </c>
      <c r="L86" s="676">
        <v>1</v>
      </c>
      <c r="M86" s="676">
        <v>4988.1166666666668</v>
      </c>
      <c r="N86" s="676">
        <v>16</v>
      </c>
      <c r="O86" s="676">
        <v>79809.8</v>
      </c>
      <c r="P86" s="697">
        <v>5.3333288783007617</v>
      </c>
      <c r="Q86" s="677">
        <v>4988.1125000000002</v>
      </c>
    </row>
    <row r="87" spans="1:17" ht="14.4" customHeight="1" x14ac:dyDescent="0.3">
      <c r="A87" s="672" t="s">
        <v>478</v>
      </c>
      <c r="B87" s="673" t="s">
        <v>2101</v>
      </c>
      <c r="C87" s="673" t="s">
        <v>2254</v>
      </c>
      <c r="D87" s="673" t="s">
        <v>2260</v>
      </c>
      <c r="E87" s="673" t="s">
        <v>2261</v>
      </c>
      <c r="F87" s="676">
        <v>29</v>
      </c>
      <c r="G87" s="676">
        <v>3272.0699999999997</v>
      </c>
      <c r="H87" s="676"/>
      <c r="I87" s="676">
        <v>112.82999999999998</v>
      </c>
      <c r="J87" s="676"/>
      <c r="K87" s="676"/>
      <c r="L87" s="676"/>
      <c r="M87" s="676"/>
      <c r="N87" s="676"/>
      <c r="O87" s="676"/>
      <c r="P87" s="697"/>
      <c r="Q87" s="677"/>
    </row>
    <row r="88" spans="1:17" ht="14.4" customHeight="1" x14ac:dyDescent="0.3">
      <c r="A88" s="672" t="s">
        <v>478</v>
      </c>
      <c r="B88" s="673" t="s">
        <v>2101</v>
      </c>
      <c r="C88" s="673" t="s">
        <v>2254</v>
      </c>
      <c r="D88" s="673" t="s">
        <v>2262</v>
      </c>
      <c r="E88" s="673" t="s">
        <v>2263</v>
      </c>
      <c r="F88" s="676">
        <v>18.399999999999999</v>
      </c>
      <c r="G88" s="676">
        <v>11124.679999999998</v>
      </c>
      <c r="H88" s="676"/>
      <c r="I88" s="676">
        <v>604.60217391304343</v>
      </c>
      <c r="J88" s="676"/>
      <c r="K88" s="676"/>
      <c r="L88" s="676"/>
      <c r="M88" s="676"/>
      <c r="N88" s="676"/>
      <c r="O88" s="676"/>
      <c r="P88" s="697"/>
      <c r="Q88" s="677"/>
    </row>
    <row r="89" spans="1:17" ht="14.4" customHeight="1" x14ac:dyDescent="0.3">
      <c r="A89" s="672" t="s">
        <v>478</v>
      </c>
      <c r="B89" s="673" t="s">
        <v>2101</v>
      </c>
      <c r="C89" s="673" t="s">
        <v>2254</v>
      </c>
      <c r="D89" s="673" t="s">
        <v>2264</v>
      </c>
      <c r="E89" s="673" t="s">
        <v>2265</v>
      </c>
      <c r="F89" s="676">
        <v>3</v>
      </c>
      <c r="G89" s="676">
        <v>241.29</v>
      </c>
      <c r="H89" s="676">
        <v>0.33333333333333331</v>
      </c>
      <c r="I89" s="676">
        <v>80.429999999999993</v>
      </c>
      <c r="J89" s="676">
        <v>9</v>
      </c>
      <c r="K89" s="676">
        <v>723.87</v>
      </c>
      <c r="L89" s="676">
        <v>1</v>
      </c>
      <c r="M89" s="676">
        <v>80.430000000000007</v>
      </c>
      <c r="N89" s="676"/>
      <c r="O89" s="676"/>
      <c r="P89" s="697"/>
      <c r="Q89" s="677"/>
    </row>
    <row r="90" spans="1:17" ht="14.4" customHeight="1" x14ac:dyDescent="0.3">
      <c r="A90" s="672" t="s">
        <v>478</v>
      </c>
      <c r="B90" s="673" t="s">
        <v>2101</v>
      </c>
      <c r="C90" s="673" t="s">
        <v>2254</v>
      </c>
      <c r="D90" s="673" t="s">
        <v>2266</v>
      </c>
      <c r="E90" s="673" t="s">
        <v>1297</v>
      </c>
      <c r="F90" s="676">
        <v>150</v>
      </c>
      <c r="G90" s="676">
        <v>8760</v>
      </c>
      <c r="H90" s="676">
        <v>1.8072289156626506</v>
      </c>
      <c r="I90" s="676">
        <v>58.4</v>
      </c>
      <c r="J90" s="676">
        <v>83</v>
      </c>
      <c r="K90" s="676">
        <v>4847.2</v>
      </c>
      <c r="L90" s="676">
        <v>1</v>
      </c>
      <c r="M90" s="676">
        <v>58.4</v>
      </c>
      <c r="N90" s="676">
        <v>93</v>
      </c>
      <c r="O90" s="676">
        <v>5431.2</v>
      </c>
      <c r="P90" s="697">
        <v>1.1204819277108433</v>
      </c>
      <c r="Q90" s="677">
        <v>58.4</v>
      </c>
    </row>
    <row r="91" spans="1:17" ht="14.4" customHeight="1" x14ac:dyDescent="0.3">
      <c r="A91" s="672" t="s">
        <v>478</v>
      </c>
      <c r="B91" s="673" t="s">
        <v>2101</v>
      </c>
      <c r="C91" s="673" t="s">
        <v>2254</v>
      </c>
      <c r="D91" s="673" t="s">
        <v>2267</v>
      </c>
      <c r="E91" s="673" t="s">
        <v>2268</v>
      </c>
      <c r="F91" s="676">
        <v>2.5</v>
      </c>
      <c r="G91" s="676">
        <v>1730.6</v>
      </c>
      <c r="H91" s="676">
        <v>0.33333140723020593</v>
      </c>
      <c r="I91" s="676">
        <v>692.24</v>
      </c>
      <c r="J91" s="676">
        <v>7.5000000000000009</v>
      </c>
      <c r="K91" s="676">
        <v>5191.83</v>
      </c>
      <c r="L91" s="676">
        <v>1</v>
      </c>
      <c r="M91" s="676">
        <v>692.24399999999991</v>
      </c>
      <c r="N91" s="676">
        <v>9</v>
      </c>
      <c r="O91" s="676">
        <v>6230.2199999999993</v>
      </c>
      <c r="P91" s="697">
        <v>1.2000046226475056</v>
      </c>
      <c r="Q91" s="677">
        <v>692.24666666666656</v>
      </c>
    </row>
    <row r="92" spans="1:17" ht="14.4" customHeight="1" x14ac:dyDescent="0.3">
      <c r="A92" s="672" t="s">
        <v>478</v>
      </c>
      <c r="B92" s="673" t="s">
        <v>2101</v>
      </c>
      <c r="C92" s="673" t="s">
        <v>2254</v>
      </c>
      <c r="D92" s="673" t="s">
        <v>2269</v>
      </c>
      <c r="E92" s="673" t="s">
        <v>1540</v>
      </c>
      <c r="F92" s="676">
        <v>2.6</v>
      </c>
      <c r="G92" s="676">
        <v>31234.84</v>
      </c>
      <c r="H92" s="676">
        <v>0.19117647058823531</v>
      </c>
      <c r="I92" s="676">
        <v>12013.4</v>
      </c>
      <c r="J92" s="676">
        <v>13.600000000000001</v>
      </c>
      <c r="K92" s="676">
        <v>163382.24</v>
      </c>
      <c r="L92" s="676">
        <v>1</v>
      </c>
      <c r="M92" s="676">
        <v>12013.399999999998</v>
      </c>
      <c r="N92" s="676">
        <v>48.7</v>
      </c>
      <c r="O92" s="676">
        <v>585052.58000000007</v>
      </c>
      <c r="P92" s="697">
        <v>3.5808823529411771</v>
      </c>
      <c r="Q92" s="677">
        <v>12013.400000000001</v>
      </c>
    </row>
    <row r="93" spans="1:17" ht="14.4" customHeight="1" x14ac:dyDescent="0.3">
      <c r="A93" s="672" t="s">
        <v>478</v>
      </c>
      <c r="B93" s="673" t="s">
        <v>2101</v>
      </c>
      <c r="C93" s="673" t="s">
        <v>2254</v>
      </c>
      <c r="D93" s="673" t="s">
        <v>2270</v>
      </c>
      <c r="E93" s="673" t="s">
        <v>2271</v>
      </c>
      <c r="F93" s="676">
        <v>19</v>
      </c>
      <c r="G93" s="676">
        <v>63652.47</v>
      </c>
      <c r="H93" s="676">
        <v>2.375</v>
      </c>
      <c r="I93" s="676">
        <v>3350.13</v>
      </c>
      <c r="J93" s="676">
        <v>8</v>
      </c>
      <c r="K93" s="676">
        <v>26801.040000000001</v>
      </c>
      <c r="L93" s="676">
        <v>1</v>
      </c>
      <c r="M93" s="676">
        <v>3350.13</v>
      </c>
      <c r="N93" s="676"/>
      <c r="O93" s="676"/>
      <c r="P93" s="697"/>
      <c r="Q93" s="677"/>
    </row>
    <row r="94" spans="1:17" ht="14.4" customHeight="1" x14ac:dyDescent="0.3">
      <c r="A94" s="672" t="s">
        <v>478</v>
      </c>
      <c r="B94" s="673" t="s">
        <v>2101</v>
      </c>
      <c r="C94" s="673" t="s">
        <v>2254</v>
      </c>
      <c r="D94" s="673" t="s">
        <v>2272</v>
      </c>
      <c r="E94" s="673" t="s">
        <v>2273</v>
      </c>
      <c r="F94" s="676">
        <v>0.1</v>
      </c>
      <c r="G94" s="676">
        <v>494.39</v>
      </c>
      <c r="H94" s="676"/>
      <c r="I94" s="676">
        <v>4943.8999999999996</v>
      </c>
      <c r="J94" s="676"/>
      <c r="K94" s="676"/>
      <c r="L94" s="676"/>
      <c r="M94" s="676"/>
      <c r="N94" s="676">
        <v>0.2</v>
      </c>
      <c r="O94" s="676">
        <v>988.78</v>
      </c>
      <c r="P94" s="697"/>
      <c r="Q94" s="677">
        <v>4943.8999999999996</v>
      </c>
    </row>
    <row r="95" spans="1:17" ht="14.4" customHeight="1" x14ac:dyDescent="0.3">
      <c r="A95" s="672" t="s">
        <v>478</v>
      </c>
      <c r="B95" s="673" t="s">
        <v>2101</v>
      </c>
      <c r="C95" s="673" t="s">
        <v>2254</v>
      </c>
      <c r="D95" s="673" t="s">
        <v>2274</v>
      </c>
      <c r="E95" s="673" t="s">
        <v>2275</v>
      </c>
      <c r="F95" s="676">
        <v>42</v>
      </c>
      <c r="G95" s="676">
        <v>1621.62</v>
      </c>
      <c r="H95" s="676">
        <v>21</v>
      </c>
      <c r="I95" s="676">
        <v>38.61</v>
      </c>
      <c r="J95" s="676">
        <v>2</v>
      </c>
      <c r="K95" s="676">
        <v>77.22</v>
      </c>
      <c r="L95" s="676">
        <v>1</v>
      </c>
      <c r="M95" s="676">
        <v>38.61</v>
      </c>
      <c r="N95" s="676"/>
      <c r="O95" s="676"/>
      <c r="P95" s="697"/>
      <c r="Q95" s="677"/>
    </row>
    <row r="96" spans="1:17" ht="14.4" customHeight="1" x14ac:dyDescent="0.3">
      <c r="A96" s="672" t="s">
        <v>478</v>
      </c>
      <c r="B96" s="673" t="s">
        <v>2101</v>
      </c>
      <c r="C96" s="673" t="s">
        <v>2254</v>
      </c>
      <c r="D96" s="673" t="s">
        <v>2276</v>
      </c>
      <c r="E96" s="673" t="s">
        <v>2277</v>
      </c>
      <c r="F96" s="676">
        <v>7.9</v>
      </c>
      <c r="G96" s="676">
        <v>3054.1499999999996</v>
      </c>
      <c r="H96" s="676">
        <v>79.00025866528712</v>
      </c>
      <c r="I96" s="676">
        <v>386.60126582278474</v>
      </c>
      <c r="J96" s="676">
        <v>0.1</v>
      </c>
      <c r="K96" s="676">
        <v>38.659999999999997</v>
      </c>
      <c r="L96" s="676">
        <v>1</v>
      </c>
      <c r="M96" s="676">
        <v>386.59999999999997</v>
      </c>
      <c r="N96" s="676"/>
      <c r="O96" s="676"/>
      <c r="P96" s="697"/>
      <c r="Q96" s="677"/>
    </row>
    <row r="97" spans="1:17" ht="14.4" customHeight="1" x14ac:dyDescent="0.3">
      <c r="A97" s="672" t="s">
        <v>478</v>
      </c>
      <c r="B97" s="673" t="s">
        <v>2101</v>
      </c>
      <c r="C97" s="673" t="s">
        <v>2254</v>
      </c>
      <c r="D97" s="673" t="s">
        <v>1393</v>
      </c>
      <c r="E97" s="673" t="s">
        <v>2278</v>
      </c>
      <c r="F97" s="676"/>
      <c r="G97" s="676"/>
      <c r="H97" s="676"/>
      <c r="I97" s="676"/>
      <c r="J97" s="676">
        <v>18</v>
      </c>
      <c r="K97" s="676">
        <v>152280</v>
      </c>
      <c r="L97" s="676">
        <v>1</v>
      </c>
      <c r="M97" s="676">
        <v>8460</v>
      </c>
      <c r="N97" s="676">
        <v>18</v>
      </c>
      <c r="O97" s="676">
        <v>163812.08000000002</v>
      </c>
      <c r="P97" s="697">
        <v>1.0757294457578146</v>
      </c>
      <c r="Q97" s="677">
        <v>9100.6711111111126</v>
      </c>
    </row>
    <row r="98" spans="1:17" ht="14.4" customHeight="1" x14ac:dyDescent="0.3">
      <c r="A98" s="672" t="s">
        <v>478</v>
      </c>
      <c r="B98" s="673" t="s">
        <v>2101</v>
      </c>
      <c r="C98" s="673" t="s">
        <v>2254</v>
      </c>
      <c r="D98" s="673" t="s">
        <v>2279</v>
      </c>
      <c r="E98" s="673" t="s">
        <v>2280</v>
      </c>
      <c r="F98" s="676">
        <v>104.5</v>
      </c>
      <c r="G98" s="676">
        <v>4747.43</v>
      </c>
      <c r="H98" s="676">
        <v>55.357159514925371</v>
      </c>
      <c r="I98" s="676">
        <v>45.429952153110051</v>
      </c>
      <c r="J98" s="676">
        <v>2</v>
      </c>
      <c r="K98" s="676">
        <v>85.76</v>
      </c>
      <c r="L98" s="676">
        <v>1</v>
      </c>
      <c r="M98" s="676">
        <v>42.88</v>
      </c>
      <c r="N98" s="676"/>
      <c r="O98" s="676"/>
      <c r="P98" s="697"/>
      <c r="Q98" s="677"/>
    </row>
    <row r="99" spans="1:17" ht="14.4" customHeight="1" x14ac:dyDescent="0.3">
      <c r="A99" s="672" t="s">
        <v>478</v>
      </c>
      <c r="B99" s="673" t="s">
        <v>2101</v>
      </c>
      <c r="C99" s="673" t="s">
        <v>2254</v>
      </c>
      <c r="D99" s="673" t="s">
        <v>2281</v>
      </c>
      <c r="E99" s="673" t="s">
        <v>2282</v>
      </c>
      <c r="F99" s="676">
        <v>1</v>
      </c>
      <c r="G99" s="676">
        <v>77.22</v>
      </c>
      <c r="H99" s="676">
        <v>8.3333333333333329E-2</v>
      </c>
      <c r="I99" s="676">
        <v>77.22</v>
      </c>
      <c r="J99" s="676">
        <v>12</v>
      </c>
      <c r="K99" s="676">
        <v>926.64</v>
      </c>
      <c r="L99" s="676">
        <v>1</v>
      </c>
      <c r="M99" s="676">
        <v>77.22</v>
      </c>
      <c r="N99" s="676">
        <v>3</v>
      </c>
      <c r="O99" s="676">
        <v>231.66</v>
      </c>
      <c r="P99" s="697">
        <v>0.25</v>
      </c>
      <c r="Q99" s="677">
        <v>77.22</v>
      </c>
    </row>
    <row r="100" spans="1:17" ht="14.4" customHeight="1" x14ac:dyDescent="0.3">
      <c r="A100" s="672" t="s">
        <v>478</v>
      </c>
      <c r="B100" s="673" t="s">
        <v>2101</v>
      </c>
      <c r="C100" s="673" t="s">
        <v>2254</v>
      </c>
      <c r="D100" s="673" t="s">
        <v>2283</v>
      </c>
      <c r="E100" s="673" t="s">
        <v>2284</v>
      </c>
      <c r="F100" s="676">
        <v>96.96</v>
      </c>
      <c r="G100" s="676">
        <v>35220.720000000001</v>
      </c>
      <c r="H100" s="676">
        <v>0.98498281489021933</v>
      </c>
      <c r="I100" s="676">
        <v>363.25000000000006</v>
      </c>
      <c r="J100" s="676">
        <v>131.60000000000002</v>
      </c>
      <c r="K100" s="676">
        <v>35757.700000000004</v>
      </c>
      <c r="L100" s="676">
        <v>1</v>
      </c>
      <c r="M100" s="676">
        <v>271.71504559270517</v>
      </c>
      <c r="N100" s="676">
        <v>127.19999999999999</v>
      </c>
      <c r="O100" s="676">
        <v>34562.080000000002</v>
      </c>
      <c r="P100" s="697">
        <v>0.96656328566993954</v>
      </c>
      <c r="Q100" s="677">
        <v>271.7144654088051</v>
      </c>
    </row>
    <row r="101" spans="1:17" ht="14.4" customHeight="1" x14ac:dyDescent="0.3">
      <c r="A101" s="672" t="s">
        <v>478</v>
      </c>
      <c r="B101" s="673" t="s">
        <v>2101</v>
      </c>
      <c r="C101" s="673" t="s">
        <v>2254</v>
      </c>
      <c r="D101" s="673" t="s">
        <v>2285</v>
      </c>
      <c r="E101" s="673" t="s">
        <v>2286</v>
      </c>
      <c r="F101" s="676"/>
      <c r="G101" s="676"/>
      <c r="H101" s="676"/>
      <c r="I101" s="676"/>
      <c r="J101" s="676">
        <v>1.8</v>
      </c>
      <c r="K101" s="676">
        <v>244.53</v>
      </c>
      <c r="L101" s="676">
        <v>1</v>
      </c>
      <c r="M101" s="676">
        <v>135.85</v>
      </c>
      <c r="N101" s="676"/>
      <c r="O101" s="676"/>
      <c r="P101" s="697"/>
      <c r="Q101" s="677"/>
    </row>
    <row r="102" spans="1:17" ht="14.4" customHeight="1" x14ac:dyDescent="0.3">
      <c r="A102" s="672" t="s">
        <v>478</v>
      </c>
      <c r="B102" s="673" t="s">
        <v>2101</v>
      </c>
      <c r="C102" s="673" t="s">
        <v>2254</v>
      </c>
      <c r="D102" s="673" t="s">
        <v>2287</v>
      </c>
      <c r="E102" s="673" t="s">
        <v>2288</v>
      </c>
      <c r="F102" s="676">
        <v>6</v>
      </c>
      <c r="G102" s="676">
        <v>35914.300000000003</v>
      </c>
      <c r="H102" s="676"/>
      <c r="I102" s="676">
        <v>5985.7166666666672</v>
      </c>
      <c r="J102" s="676"/>
      <c r="K102" s="676"/>
      <c r="L102" s="676"/>
      <c r="M102" s="676"/>
      <c r="N102" s="676"/>
      <c r="O102" s="676"/>
      <c r="P102" s="697"/>
      <c r="Q102" s="677"/>
    </row>
    <row r="103" spans="1:17" ht="14.4" customHeight="1" x14ac:dyDescent="0.3">
      <c r="A103" s="672" t="s">
        <v>478</v>
      </c>
      <c r="B103" s="673" t="s">
        <v>2101</v>
      </c>
      <c r="C103" s="673" t="s">
        <v>2254</v>
      </c>
      <c r="D103" s="673" t="s">
        <v>2289</v>
      </c>
      <c r="E103" s="673" t="s">
        <v>2290</v>
      </c>
      <c r="F103" s="676">
        <v>28</v>
      </c>
      <c r="G103" s="676">
        <v>1183.8600000000001</v>
      </c>
      <c r="H103" s="676"/>
      <c r="I103" s="676">
        <v>42.280714285714289</v>
      </c>
      <c r="J103" s="676"/>
      <c r="K103" s="676"/>
      <c r="L103" s="676"/>
      <c r="M103" s="676"/>
      <c r="N103" s="676"/>
      <c r="O103" s="676"/>
      <c r="P103" s="697"/>
      <c r="Q103" s="677"/>
    </row>
    <row r="104" spans="1:17" ht="14.4" customHeight="1" x14ac:dyDescent="0.3">
      <c r="A104" s="672" t="s">
        <v>478</v>
      </c>
      <c r="B104" s="673" t="s">
        <v>2101</v>
      </c>
      <c r="C104" s="673" t="s">
        <v>2254</v>
      </c>
      <c r="D104" s="673" t="s">
        <v>2291</v>
      </c>
      <c r="E104" s="673" t="s">
        <v>2292</v>
      </c>
      <c r="F104" s="676">
        <v>0.2</v>
      </c>
      <c r="G104" s="676">
        <v>885.4</v>
      </c>
      <c r="H104" s="676">
        <v>1</v>
      </c>
      <c r="I104" s="676">
        <v>4427</v>
      </c>
      <c r="J104" s="676">
        <v>0.2</v>
      </c>
      <c r="K104" s="676">
        <v>885.4</v>
      </c>
      <c r="L104" s="676">
        <v>1</v>
      </c>
      <c r="M104" s="676">
        <v>4427</v>
      </c>
      <c r="N104" s="676"/>
      <c r="O104" s="676"/>
      <c r="P104" s="697"/>
      <c r="Q104" s="677"/>
    </row>
    <row r="105" spans="1:17" ht="14.4" customHeight="1" x14ac:dyDescent="0.3">
      <c r="A105" s="672" t="s">
        <v>478</v>
      </c>
      <c r="B105" s="673" t="s">
        <v>2101</v>
      </c>
      <c r="C105" s="673" t="s">
        <v>2254</v>
      </c>
      <c r="D105" s="673" t="s">
        <v>2293</v>
      </c>
      <c r="E105" s="673" t="s">
        <v>2294</v>
      </c>
      <c r="F105" s="676">
        <v>1.2</v>
      </c>
      <c r="G105" s="676">
        <v>4506.24</v>
      </c>
      <c r="H105" s="676"/>
      <c r="I105" s="676">
        <v>3755.2</v>
      </c>
      <c r="J105" s="676"/>
      <c r="K105" s="676"/>
      <c r="L105" s="676"/>
      <c r="M105" s="676"/>
      <c r="N105" s="676"/>
      <c r="O105" s="676"/>
      <c r="P105" s="697"/>
      <c r="Q105" s="677"/>
    </row>
    <row r="106" spans="1:17" ht="14.4" customHeight="1" x14ac:dyDescent="0.3">
      <c r="A106" s="672" t="s">
        <v>478</v>
      </c>
      <c r="B106" s="673" t="s">
        <v>2101</v>
      </c>
      <c r="C106" s="673" t="s">
        <v>2254</v>
      </c>
      <c r="D106" s="673" t="s">
        <v>2295</v>
      </c>
      <c r="E106" s="673" t="s">
        <v>2296</v>
      </c>
      <c r="F106" s="676">
        <v>6</v>
      </c>
      <c r="G106" s="676">
        <v>25889.46</v>
      </c>
      <c r="H106" s="676"/>
      <c r="I106" s="676">
        <v>4314.91</v>
      </c>
      <c r="J106" s="676"/>
      <c r="K106" s="676"/>
      <c r="L106" s="676"/>
      <c r="M106" s="676"/>
      <c r="N106" s="676"/>
      <c r="O106" s="676"/>
      <c r="P106" s="697"/>
      <c r="Q106" s="677"/>
    </row>
    <row r="107" spans="1:17" ht="14.4" customHeight="1" x14ac:dyDescent="0.3">
      <c r="A107" s="672" t="s">
        <v>478</v>
      </c>
      <c r="B107" s="673" t="s">
        <v>2101</v>
      </c>
      <c r="C107" s="673" t="s">
        <v>2254</v>
      </c>
      <c r="D107" s="673" t="s">
        <v>2297</v>
      </c>
      <c r="E107" s="673" t="s">
        <v>2298</v>
      </c>
      <c r="F107" s="676"/>
      <c r="G107" s="676"/>
      <c r="H107" s="676"/>
      <c r="I107" s="676"/>
      <c r="J107" s="676">
        <v>0.8</v>
      </c>
      <c r="K107" s="676">
        <v>309.27999999999997</v>
      </c>
      <c r="L107" s="676">
        <v>1</v>
      </c>
      <c r="M107" s="676">
        <v>386.59999999999997</v>
      </c>
      <c r="N107" s="676"/>
      <c r="O107" s="676"/>
      <c r="P107" s="697"/>
      <c r="Q107" s="677"/>
    </row>
    <row r="108" spans="1:17" ht="14.4" customHeight="1" x14ac:dyDescent="0.3">
      <c r="A108" s="672" t="s">
        <v>478</v>
      </c>
      <c r="B108" s="673" t="s">
        <v>2101</v>
      </c>
      <c r="C108" s="673" t="s">
        <v>2254</v>
      </c>
      <c r="D108" s="673" t="s">
        <v>2299</v>
      </c>
      <c r="E108" s="673" t="s">
        <v>2300</v>
      </c>
      <c r="F108" s="676">
        <v>1</v>
      </c>
      <c r="G108" s="676">
        <v>109.6</v>
      </c>
      <c r="H108" s="676"/>
      <c r="I108" s="676">
        <v>109.6</v>
      </c>
      <c r="J108" s="676"/>
      <c r="K108" s="676"/>
      <c r="L108" s="676"/>
      <c r="M108" s="676"/>
      <c r="N108" s="676"/>
      <c r="O108" s="676"/>
      <c r="P108" s="697"/>
      <c r="Q108" s="677"/>
    </row>
    <row r="109" spans="1:17" ht="14.4" customHeight="1" x14ac:dyDescent="0.3">
      <c r="A109" s="672" t="s">
        <v>478</v>
      </c>
      <c r="B109" s="673" t="s">
        <v>2101</v>
      </c>
      <c r="C109" s="673" t="s">
        <v>2254</v>
      </c>
      <c r="D109" s="673" t="s">
        <v>2301</v>
      </c>
      <c r="E109" s="673" t="s">
        <v>2300</v>
      </c>
      <c r="F109" s="676">
        <v>31</v>
      </c>
      <c r="G109" s="676">
        <v>6795.2</v>
      </c>
      <c r="H109" s="676"/>
      <c r="I109" s="676">
        <v>219.2</v>
      </c>
      <c r="J109" s="676"/>
      <c r="K109" s="676"/>
      <c r="L109" s="676"/>
      <c r="M109" s="676"/>
      <c r="N109" s="676"/>
      <c r="O109" s="676"/>
      <c r="P109" s="697"/>
      <c r="Q109" s="677"/>
    </row>
    <row r="110" spans="1:17" ht="14.4" customHeight="1" x14ac:dyDescent="0.3">
      <c r="A110" s="672" t="s">
        <v>478</v>
      </c>
      <c r="B110" s="673" t="s">
        <v>2101</v>
      </c>
      <c r="C110" s="673" t="s">
        <v>2254</v>
      </c>
      <c r="D110" s="673" t="s">
        <v>2302</v>
      </c>
      <c r="E110" s="673" t="s">
        <v>2303</v>
      </c>
      <c r="F110" s="676">
        <v>2.6</v>
      </c>
      <c r="G110" s="676">
        <v>539.61</v>
      </c>
      <c r="H110" s="676"/>
      <c r="I110" s="676">
        <v>207.5423076923077</v>
      </c>
      <c r="J110" s="676"/>
      <c r="K110" s="676"/>
      <c r="L110" s="676"/>
      <c r="M110" s="676"/>
      <c r="N110" s="676">
        <v>2.2999999999999998</v>
      </c>
      <c r="O110" s="676">
        <v>987.16000000000008</v>
      </c>
      <c r="P110" s="697"/>
      <c r="Q110" s="677">
        <v>429.20000000000005</v>
      </c>
    </row>
    <row r="111" spans="1:17" ht="14.4" customHeight="1" x14ac:dyDescent="0.3">
      <c r="A111" s="672" t="s">
        <v>478</v>
      </c>
      <c r="B111" s="673" t="s">
        <v>2101</v>
      </c>
      <c r="C111" s="673" t="s">
        <v>2254</v>
      </c>
      <c r="D111" s="673" t="s">
        <v>2304</v>
      </c>
      <c r="E111" s="673" t="s">
        <v>1545</v>
      </c>
      <c r="F111" s="676">
        <v>15</v>
      </c>
      <c r="G111" s="676">
        <v>986.25</v>
      </c>
      <c r="H111" s="676">
        <v>0.20270270270270271</v>
      </c>
      <c r="I111" s="676">
        <v>65.75</v>
      </c>
      <c r="J111" s="676">
        <v>74</v>
      </c>
      <c r="K111" s="676">
        <v>4865.5</v>
      </c>
      <c r="L111" s="676">
        <v>1</v>
      </c>
      <c r="M111" s="676">
        <v>65.75</v>
      </c>
      <c r="N111" s="676">
        <v>29</v>
      </c>
      <c r="O111" s="676">
        <v>1854.1100000000001</v>
      </c>
      <c r="P111" s="697">
        <v>0.38107285993217554</v>
      </c>
      <c r="Q111" s="677">
        <v>63.9348275862069</v>
      </c>
    </row>
    <row r="112" spans="1:17" ht="14.4" customHeight="1" x14ac:dyDescent="0.3">
      <c r="A112" s="672" t="s">
        <v>478</v>
      </c>
      <c r="B112" s="673" t="s">
        <v>2101</v>
      </c>
      <c r="C112" s="673" t="s">
        <v>2254</v>
      </c>
      <c r="D112" s="673" t="s">
        <v>2305</v>
      </c>
      <c r="E112" s="673" t="s">
        <v>1278</v>
      </c>
      <c r="F112" s="676">
        <v>3.1999999999999997</v>
      </c>
      <c r="G112" s="676">
        <v>296.78999999999996</v>
      </c>
      <c r="H112" s="676">
        <v>0.64937423420269547</v>
      </c>
      <c r="I112" s="676">
        <v>92.746875000000003</v>
      </c>
      <c r="J112" s="676">
        <v>5.8</v>
      </c>
      <c r="K112" s="676">
        <v>457.04</v>
      </c>
      <c r="L112" s="676">
        <v>1</v>
      </c>
      <c r="M112" s="676">
        <v>78.800000000000011</v>
      </c>
      <c r="N112" s="676">
        <v>2.2000000000000002</v>
      </c>
      <c r="O112" s="676">
        <v>173.36</v>
      </c>
      <c r="P112" s="697">
        <v>0.37931034482758624</v>
      </c>
      <c r="Q112" s="677">
        <v>78.8</v>
      </c>
    </row>
    <row r="113" spans="1:17" ht="14.4" customHeight="1" x14ac:dyDescent="0.3">
      <c r="A113" s="672" t="s">
        <v>478</v>
      </c>
      <c r="B113" s="673" t="s">
        <v>2101</v>
      </c>
      <c r="C113" s="673" t="s">
        <v>2254</v>
      </c>
      <c r="D113" s="673" t="s">
        <v>2306</v>
      </c>
      <c r="E113" s="673" t="s">
        <v>1557</v>
      </c>
      <c r="F113" s="676"/>
      <c r="G113" s="676"/>
      <c r="H113" s="676"/>
      <c r="I113" s="676"/>
      <c r="J113" s="676">
        <v>273</v>
      </c>
      <c r="K113" s="676">
        <v>19150.95</v>
      </c>
      <c r="L113" s="676">
        <v>1</v>
      </c>
      <c r="M113" s="676">
        <v>70.150000000000006</v>
      </c>
      <c r="N113" s="676">
        <v>615</v>
      </c>
      <c r="O113" s="676">
        <v>37704.07</v>
      </c>
      <c r="P113" s="697">
        <v>1.9687832718481328</v>
      </c>
      <c r="Q113" s="677">
        <v>61.307430894308943</v>
      </c>
    </row>
    <row r="114" spans="1:17" ht="14.4" customHeight="1" x14ac:dyDescent="0.3">
      <c r="A114" s="672" t="s">
        <v>478</v>
      </c>
      <c r="B114" s="673" t="s">
        <v>2101</v>
      </c>
      <c r="C114" s="673" t="s">
        <v>2254</v>
      </c>
      <c r="D114" s="673" t="s">
        <v>2307</v>
      </c>
      <c r="E114" s="673" t="s">
        <v>2308</v>
      </c>
      <c r="F114" s="676">
        <v>1</v>
      </c>
      <c r="G114" s="676">
        <v>1287.3599999999999</v>
      </c>
      <c r="H114" s="676">
        <v>0.33333333333333331</v>
      </c>
      <c r="I114" s="676">
        <v>1287.3599999999999</v>
      </c>
      <c r="J114" s="676">
        <v>3</v>
      </c>
      <c r="K114" s="676">
        <v>3862.08</v>
      </c>
      <c r="L114" s="676">
        <v>1</v>
      </c>
      <c r="M114" s="676">
        <v>1287.3599999999999</v>
      </c>
      <c r="N114" s="676"/>
      <c r="O114" s="676"/>
      <c r="P114" s="697"/>
      <c r="Q114" s="677"/>
    </row>
    <row r="115" spans="1:17" ht="14.4" customHeight="1" x14ac:dyDescent="0.3">
      <c r="A115" s="672" t="s">
        <v>478</v>
      </c>
      <c r="B115" s="673" t="s">
        <v>2101</v>
      </c>
      <c r="C115" s="673" t="s">
        <v>2254</v>
      </c>
      <c r="D115" s="673" t="s">
        <v>2309</v>
      </c>
      <c r="E115" s="673" t="s">
        <v>2310</v>
      </c>
      <c r="F115" s="676">
        <v>3.35</v>
      </c>
      <c r="G115" s="676">
        <v>2563.4200000000005</v>
      </c>
      <c r="H115" s="676">
        <v>0.9852941176470591</v>
      </c>
      <c r="I115" s="676">
        <v>765.20000000000016</v>
      </c>
      <c r="J115" s="676">
        <v>3.42</v>
      </c>
      <c r="K115" s="676">
        <v>2601.6799999999998</v>
      </c>
      <c r="L115" s="676">
        <v>1</v>
      </c>
      <c r="M115" s="676">
        <v>760.72514619883043</v>
      </c>
      <c r="N115" s="676">
        <v>4.6499999999999995</v>
      </c>
      <c r="O115" s="676">
        <v>3558.1800000000003</v>
      </c>
      <c r="P115" s="697">
        <v>1.3676470588235297</v>
      </c>
      <c r="Q115" s="677">
        <v>765.20000000000016</v>
      </c>
    </row>
    <row r="116" spans="1:17" ht="14.4" customHeight="1" x14ac:dyDescent="0.3">
      <c r="A116" s="672" t="s">
        <v>478</v>
      </c>
      <c r="B116" s="673" t="s">
        <v>2101</v>
      </c>
      <c r="C116" s="673" t="s">
        <v>2254</v>
      </c>
      <c r="D116" s="673" t="s">
        <v>2311</v>
      </c>
      <c r="E116" s="673" t="s">
        <v>2310</v>
      </c>
      <c r="F116" s="676"/>
      <c r="G116" s="676"/>
      <c r="H116" s="676"/>
      <c r="I116" s="676"/>
      <c r="J116" s="676"/>
      <c r="K116" s="676"/>
      <c r="L116" s="676"/>
      <c r="M116" s="676"/>
      <c r="N116" s="676">
        <v>1.3</v>
      </c>
      <c r="O116" s="676">
        <v>484.35</v>
      </c>
      <c r="P116" s="697"/>
      <c r="Q116" s="677">
        <v>372.57692307692309</v>
      </c>
    </row>
    <row r="117" spans="1:17" ht="14.4" customHeight="1" x14ac:dyDescent="0.3">
      <c r="A117" s="672" t="s">
        <v>478</v>
      </c>
      <c r="B117" s="673" t="s">
        <v>2101</v>
      </c>
      <c r="C117" s="673" t="s">
        <v>2254</v>
      </c>
      <c r="D117" s="673" t="s">
        <v>2312</v>
      </c>
      <c r="E117" s="673" t="s">
        <v>2313</v>
      </c>
      <c r="F117" s="676"/>
      <c r="G117" s="676"/>
      <c r="H117" s="676"/>
      <c r="I117" s="676"/>
      <c r="J117" s="676"/>
      <c r="K117" s="676"/>
      <c r="L117" s="676"/>
      <c r="M117" s="676"/>
      <c r="N117" s="676">
        <v>0.4</v>
      </c>
      <c r="O117" s="676">
        <v>353.58</v>
      </c>
      <c r="P117" s="697"/>
      <c r="Q117" s="677">
        <v>883.94999999999993</v>
      </c>
    </row>
    <row r="118" spans="1:17" ht="14.4" customHeight="1" x14ac:dyDescent="0.3">
      <c r="A118" s="672" t="s">
        <v>478</v>
      </c>
      <c r="B118" s="673" t="s">
        <v>2101</v>
      </c>
      <c r="C118" s="673" t="s">
        <v>2254</v>
      </c>
      <c r="D118" s="673" t="s">
        <v>2314</v>
      </c>
      <c r="E118" s="673" t="s">
        <v>2315</v>
      </c>
      <c r="F118" s="676">
        <v>1.5</v>
      </c>
      <c r="G118" s="676">
        <v>899.7</v>
      </c>
      <c r="H118" s="676"/>
      <c r="I118" s="676">
        <v>599.80000000000007</v>
      </c>
      <c r="J118" s="676"/>
      <c r="K118" s="676"/>
      <c r="L118" s="676"/>
      <c r="M118" s="676"/>
      <c r="N118" s="676">
        <v>0.8</v>
      </c>
      <c r="O118" s="676">
        <v>479.84</v>
      </c>
      <c r="P118" s="697"/>
      <c r="Q118" s="677">
        <v>599.79999999999995</v>
      </c>
    </row>
    <row r="119" spans="1:17" ht="14.4" customHeight="1" x14ac:dyDescent="0.3">
      <c r="A119" s="672" t="s">
        <v>478</v>
      </c>
      <c r="B119" s="673" t="s">
        <v>2101</v>
      </c>
      <c r="C119" s="673" t="s">
        <v>2254</v>
      </c>
      <c r="D119" s="673" t="s">
        <v>2316</v>
      </c>
      <c r="E119" s="673" t="s">
        <v>2315</v>
      </c>
      <c r="F119" s="676">
        <v>3.4</v>
      </c>
      <c r="G119" s="676">
        <v>2719.14</v>
      </c>
      <c r="H119" s="676">
        <v>1.3076686319960755</v>
      </c>
      <c r="I119" s="676">
        <v>799.74705882352941</v>
      </c>
      <c r="J119" s="676">
        <v>2.6</v>
      </c>
      <c r="K119" s="676">
        <v>2079.38</v>
      </c>
      <c r="L119" s="676">
        <v>1</v>
      </c>
      <c r="M119" s="676">
        <v>799.76153846153852</v>
      </c>
      <c r="N119" s="676">
        <v>0.4</v>
      </c>
      <c r="O119" s="676">
        <v>319.89</v>
      </c>
      <c r="P119" s="697">
        <v>0.15383912512383496</v>
      </c>
      <c r="Q119" s="677">
        <v>799.72499999999991</v>
      </c>
    </row>
    <row r="120" spans="1:17" ht="14.4" customHeight="1" x14ac:dyDescent="0.3">
      <c r="A120" s="672" t="s">
        <v>478</v>
      </c>
      <c r="B120" s="673" t="s">
        <v>2101</v>
      </c>
      <c r="C120" s="673" t="s">
        <v>2254</v>
      </c>
      <c r="D120" s="673" t="s">
        <v>2317</v>
      </c>
      <c r="E120" s="673" t="s">
        <v>2318</v>
      </c>
      <c r="F120" s="676">
        <v>3</v>
      </c>
      <c r="G120" s="676">
        <v>10146.33</v>
      </c>
      <c r="H120" s="676"/>
      <c r="I120" s="676">
        <v>3382.11</v>
      </c>
      <c r="J120" s="676"/>
      <c r="K120" s="676"/>
      <c r="L120" s="676"/>
      <c r="M120" s="676"/>
      <c r="N120" s="676"/>
      <c r="O120" s="676"/>
      <c r="P120" s="697"/>
      <c r="Q120" s="677"/>
    </row>
    <row r="121" spans="1:17" ht="14.4" customHeight="1" x14ac:dyDescent="0.3">
      <c r="A121" s="672" t="s">
        <v>478</v>
      </c>
      <c r="B121" s="673" t="s">
        <v>2101</v>
      </c>
      <c r="C121" s="673" t="s">
        <v>2254</v>
      </c>
      <c r="D121" s="673" t="s">
        <v>1395</v>
      </c>
      <c r="E121" s="673" t="s">
        <v>1396</v>
      </c>
      <c r="F121" s="676">
        <v>3</v>
      </c>
      <c r="G121" s="676">
        <v>3862.08</v>
      </c>
      <c r="H121" s="676">
        <v>0.27272727272727276</v>
      </c>
      <c r="I121" s="676">
        <v>1287.3599999999999</v>
      </c>
      <c r="J121" s="676">
        <v>11</v>
      </c>
      <c r="K121" s="676">
        <v>14160.96</v>
      </c>
      <c r="L121" s="676">
        <v>1</v>
      </c>
      <c r="M121" s="676">
        <v>1287.3599999999999</v>
      </c>
      <c r="N121" s="676">
        <v>68</v>
      </c>
      <c r="O121" s="676">
        <v>87540.48000000001</v>
      </c>
      <c r="P121" s="697">
        <v>6.1818181818181825</v>
      </c>
      <c r="Q121" s="677">
        <v>1287.3600000000001</v>
      </c>
    </row>
    <row r="122" spans="1:17" ht="14.4" customHeight="1" x14ac:dyDescent="0.3">
      <c r="A122" s="672" t="s">
        <v>478</v>
      </c>
      <c r="B122" s="673" t="s">
        <v>2101</v>
      </c>
      <c r="C122" s="673" t="s">
        <v>2254</v>
      </c>
      <c r="D122" s="673" t="s">
        <v>2319</v>
      </c>
      <c r="E122" s="673" t="s">
        <v>1323</v>
      </c>
      <c r="F122" s="676">
        <v>19.2</v>
      </c>
      <c r="G122" s="676">
        <v>39643.509999999995</v>
      </c>
      <c r="H122" s="676"/>
      <c r="I122" s="676">
        <v>2064.7661458333332</v>
      </c>
      <c r="J122" s="676"/>
      <c r="K122" s="676"/>
      <c r="L122" s="676"/>
      <c r="M122" s="676"/>
      <c r="N122" s="676"/>
      <c r="O122" s="676"/>
      <c r="P122" s="697"/>
      <c r="Q122" s="677"/>
    </row>
    <row r="123" spans="1:17" ht="14.4" customHeight="1" x14ac:dyDescent="0.3">
      <c r="A123" s="672" t="s">
        <v>478</v>
      </c>
      <c r="B123" s="673" t="s">
        <v>2101</v>
      </c>
      <c r="C123" s="673" t="s">
        <v>2254</v>
      </c>
      <c r="D123" s="673" t="s">
        <v>2320</v>
      </c>
      <c r="E123" s="673" t="s">
        <v>2321</v>
      </c>
      <c r="F123" s="676"/>
      <c r="G123" s="676"/>
      <c r="H123" s="676"/>
      <c r="I123" s="676"/>
      <c r="J123" s="676">
        <v>3.5000000000000004</v>
      </c>
      <c r="K123" s="676">
        <v>1371.2999999999997</v>
      </c>
      <c r="L123" s="676">
        <v>1</v>
      </c>
      <c r="M123" s="676">
        <v>391.7999999999999</v>
      </c>
      <c r="N123" s="676">
        <v>1.4</v>
      </c>
      <c r="O123" s="676">
        <v>548.52</v>
      </c>
      <c r="P123" s="697">
        <v>0.40000000000000008</v>
      </c>
      <c r="Q123" s="677">
        <v>391.8</v>
      </c>
    </row>
    <row r="124" spans="1:17" ht="14.4" customHeight="1" x14ac:dyDescent="0.3">
      <c r="A124" s="672" t="s">
        <v>478</v>
      </c>
      <c r="B124" s="673" t="s">
        <v>2101</v>
      </c>
      <c r="C124" s="673" t="s">
        <v>2254</v>
      </c>
      <c r="D124" s="673" t="s">
        <v>2322</v>
      </c>
      <c r="E124" s="673" t="s">
        <v>2323</v>
      </c>
      <c r="F124" s="676"/>
      <c r="G124" s="676"/>
      <c r="H124" s="676"/>
      <c r="I124" s="676"/>
      <c r="J124" s="676">
        <v>0.1</v>
      </c>
      <c r="K124" s="676">
        <v>76.56</v>
      </c>
      <c r="L124" s="676">
        <v>1</v>
      </c>
      <c r="M124" s="676">
        <v>765.6</v>
      </c>
      <c r="N124" s="676"/>
      <c r="O124" s="676"/>
      <c r="P124" s="697"/>
      <c r="Q124" s="677"/>
    </row>
    <row r="125" spans="1:17" ht="14.4" customHeight="1" x14ac:dyDescent="0.3">
      <c r="A125" s="672" t="s">
        <v>478</v>
      </c>
      <c r="B125" s="673" t="s">
        <v>2101</v>
      </c>
      <c r="C125" s="673" t="s">
        <v>2254</v>
      </c>
      <c r="D125" s="673" t="s">
        <v>2324</v>
      </c>
      <c r="E125" s="673" t="s">
        <v>2325</v>
      </c>
      <c r="F125" s="676"/>
      <c r="G125" s="676"/>
      <c r="H125" s="676"/>
      <c r="I125" s="676"/>
      <c r="J125" s="676">
        <v>0.1</v>
      </c>
      <c r="K125" s="676">
        <v>38.6</v>
      </c>
      <c r="L125" s="676">
        <v>1</v>
      </c>
      <c r="M125" s="676">
        <v>386</v>
      </c>
      <c r="N125" s="676">
        <v>1</v>
      </c>
      <c r="O125" s="676">
        <v>386.05</v>
      </c>
      <c r="P125" s="697">
        <v>10.001295336787564</v>
      </c>
      <c r="Q125" s="677">
        <v>386.05</v>
      </c>
    </row>
    <row r="126" spans="1:17" ht="14.4" customHeight="1" x14ac:dyDescent="0.3">
      <c r="A126" s="672" t="s">
        <v>478</v>
      </c>
      <c r="B126" s="673" t="s">
        <v>2101</v>
      </c>
      <c r="C126" s="673" t="s">
        <v>2254</v>
      </c>
      <c r="D126" s="673" t="s">
        <v>2326</v>
      </c>
      <c r="E126" s="673" t="s">
        <v>1334</v>
      </c>
      <c r="F126" s="676">
        <v>2.5</v>
      </c>
      <c r="G126" s="676">
        <v>1930.35</v>
      </c>
      <c r="H126" s="676">
        <v>0.43103756269007987</v>
      </c>
      <c r="I126" s="676">
        <v>772.14</v>
      </c>
      <c r="J126" s="676">
        <v>5.8</v>
      </c>
      <c r="K126" s="676">
        <v>4478.38</v>
      </c>
      <c r="L126" s="676">
        <v>1</v>
      </c>
      <c r="M126" s="676">
        <v>772.13448275862072</v>
      </c>
      <c r="N126" s="676">
        <v>18.309999999999999</v>
      </c>
      <c r="O126" s="676">
        <v>14138.07</v>
      </c>
      <c r="P126" s="697">
        <v>3.1569607759948908</v>
      </c>
      <c r="Q126" s="677">
        <v>772.15019115237578</v>
      </c>
    </row>
    <row r="127" spans="1:17" ht="14.4" customHeight="1" x14ac:dyDescent="0.3">
      <c r="A127" s="672" t="s">
        <v>478</v>
      </c>
      <c r="B127" s="673" t="s">
        <v>2101</v>
      </c>
      <c r="C127" s="673" t="s">
        <v>2254</v>
      </c>
      <c r="D127" s="673" t="s">
        <v>2327</v>
      </c>
      <c r="E127" s="673" t="s">
        <v>2328</v>
      </c>
      <c r="F127" s="676"/>
      <c r="G127" s="676"/>
      <c r="H127" s="676"/>
      <c r="I127" s="676"/>
      <c r="J127" s="676">
        <v>1</v>
      </c>
      <c r="K127" s="676">
        <v>863.17</v>
      </c>
      <c r="L127" s="676">
        <v>1</v>
      </c>
      <c r="M127" s="676">
        <v>863.17</v>
      </c>
      <c r="N127" s="676"/>
      <c r="O127" s="676"/>
      <c r="P127" s="697"/>
      <c r="Q127" s="677"/>
    </row>
    <row r="128" spans="1:17" ht="14.4" customHeight="1" x14ac:dyDescent="0.3">
      <c r="A128" s="672" t="s">
        <v>478</v>
      </c>
      <c r="B128" s="673" t="s">
        <v>2101</v>
      </c>
      <c r="C128" s="673" t="s">
        <v>2254</v>
      </c>
      <c r="D128" s="673" t="s">
        <v>2329</v>
      </c>
      <c r="E128" s="673" t="s">
        <v>2330</v>
      </c>
      <c r="F128" s="676">
        <v>11.17</v>
      </c>
      <c r="G128" s="676">
        <v>35784.36</v>
      </c>
      <c r="H128" s="676"/>
      <c r="I128" s="676">
        <v>3203.6132497761864</v>
      </c>
      <c r="J128" s="676"/>
      <c r="K128" s="676"/>
      <c r="L128" s="676"/>
      <c r="M128" s="676"/>
      <c r="N128" s="676"/>
      <c r="O128" s="676"/>
      <c r="P128" s="697"/>
      <c r="Q128" s="677"/>
    </row>
    <row r="129" spans="1:17" ht="14.4" customHeight="1" x14ac:dyDescent="0.3">
      <c r="A129" s="672" t="s">
        <v>478</v>
      </c>
      <c r="B129" s="673" t="s">
        <v>2101</v>
      </c>
      <c r="C129" s="673" t="s">
        <v>2254</v>
      </c>
      <c r="D129" s="673" t="s">
        <v>2331</v>
      </c>
      <c r="E129" s="673" t="s">
        <v>1560</v>
      </c>
      <c r="F129" s="676">
        <v>14.3</v>
      </c>
      <c r="G129" s="676">
        <v>6131.26</v>
      </c>
      <c r="H129" s="676">
        <v>0.4620510246683035</v>
      </c>
      <c r="I129" s="676">
        <v>428.75944055944058</v>
      </c>
      <c r="J129" s="676">
        <v>31.099999999999998</v>
      </c>
      <c r="K129" s="676">
        <v>13269.66</v>
      </c>
      <c r="L129" s="676">
        <v>1</v>
      </c>
      <c r="M129" s="676">
        <v>426.67717041800648</v>
      </c>
      <c r="N129" s="676">
        <v>23.1</v>
      </c>
      <c r="O129" s="676">
        <v>9557.99</v>
      </c>
      <c r="P129" s="697">
        <v>0.72028899007208924</v>
      </c>
      <c r="Q129" s="677">
        <v>413.76580086580083</v>
      </c>
    </row>
    <row r="130" spans="1:17" ht="14.4" customHeight="1" x14ac:dyDescent="0.3">
      <c r="A130" s="672" t="s">
        <v>478</v>
      </c>
      <c r="B130" s="673" t="s">
        <v>2101</v>
      </c>
      <c r="C130" s="673" t="s">
        <v>2254</v>
      </c>
      <c r="D130" s="673" t="s">
        <v>2332</v>
      </c>
      <c r="E130" s="673" t="s">
        <v>1553</v>
      </c>
      <c r="F130" s="676">
        <v>22.5</v>
      </c>
      <c r="G130" s="676">
        <v>4932</v>
      </c>
      <c r="H130" s="676">
        <v>0.30405405405405406</v>
      </c>
      <c r="I130" s="676">
        <v>219.2</v>
      </c>
      <c r="J130" s="676">
        <v>74</v>
      </c>
      <c r="K130" s="676">
        <v>16220.8</v>
      </c>
      <c r="L130" s="676">
        <v>1</v>
      </c>
      <c r="M130" s="676">
        <v>219.2</v>
      </c>
      <c r="N130" s="676">
        <v>23</v>
      </c>
      <c r="O130" s="676">
        <v>5041.5999999999995</v>
      </c>
      <c r="P130" s="697">
        <v>0.3108108108108108</v>
      </c>
      <c r="Q130" s="677">
        <v>219.2</v>
      </c>
    </row>
    <row r="131" spans="1:17" ht="14.4" customHeight="1" x14ac:dyDescent="0.3">
      <c r="A131" s="672" t="s">
        <v>478</v>
      </c>
      <c r="B131" s="673" t="s">
        <v>2101</v>
      </c>
      <c r="C131" s="673" t="s">
        <v>2254</v>
      </c>
      <c r="D131" s="673" t="s">
        <v>2333</v>
      </c>
      <c r="E131" s="673" t="s">
        <v>2334</v>
      </c>
      <c r="F131" s="676"/>
      <c r="G131" s="676"/>
      <c r="H131" s="676"/>
      <c r="I131" s="676"/>
      <c r="J131" s="676">
        <v>18</v>
      </c>
      <c r="K131" s="676">
        <v>185930.82</v>
      </c>
      <c r="L131" s="676">
        <v>1</v>
      </c>
      <c r="M131" s="676">
        <v>10329.49</v>
      </c>
      <c r="N131" s="676">
        <v>19</v>
      </c>
      <c r="O131" s="676">
        <v>196260.31</v>
      </c>
      <c r="P131" s="697">
        <v>1.0555555555555556</v>
      </c>
      <c r="Q131" s="677">
        <v>10329.49</v>
      </c>
    </row>
    <row r="132" spans="1:17" ht="14.4" customHeight="1" x14ac:dyDescent="0.3">
      <c r="A132" s="672" t="s">
        <v>478</v>
      </c>
      <c r="B132" s="673" t="s">
        <v>2101</v>
      </c>
      <c r="C132" s="673" t="s">
        <v>2254</v>
      </c>
      <c r="D132" s="673" t="s">
        <v>1400</v>
      </c>
      <c r="E132" s="673" t="s">
        <v>1403</v>
      </c>
      <c r="F132" s="676"/>
      <c r="G132" s="676"/>
      <c r="H132" s="676"/>
      <c r="I132" s="676"/>
      <c r="J132" s="676">
        <v>2</v>
      </c>
      <c r="K132" s="676">
        <v>6345.56</v>
      </c>
      <c r="L132" s="676">
        <v>1</v>
      </c>
      <c r="M132" s="676">
        <v>3172.78</v>
      </c>
      <c r="N132" s="676">
        <v>11</v>
      </c>
      <c r="O132" s="676">
        <v>34900.58</v>
      </c>
      <c r="P132" s="697">
        <v>5.5</v>
      </c>
      <c r="Q132" s="677">
        <v>3172.78</v>
      </c>
    </row>
    <row r="133" spans="1:17" ht="14.4" customHeight="1" x14ac:dyDescent="0.3">
      <c r="A133" s="672" t="s">
        <v>478</v>
      </c>
      <c r="B133" s="673" t="s">
        <v>2101</v>
      </c>
      <c r="C133" s="673" t="s">
        <v>2254</v>
      </c>
      <c r="D133" s="673" t="s">
        <v>2335</v>
      </c>
      <c r="E133" s="673" t="s">
        <v>1560</v>
      </c>
      <c r="F133" s="676"/>
      <c r="G133" s="676"/>
      <c r="H133" s="676"/>
      <c r="I133" s="676"/>
      <c r="J133" s="676"/>
      <c r="K133" s="676"/>
      <c r="L133" s="676"/>
      <c r="M133" s="676"/>
      <c r="N133" s="676">
        <v>9.8000000000000007</v>
      </c>
      <c r="O133" s="676">
        <v>7803.7000000000007</v>
      </c>
      <c r="P133" s="697"/>
      <c r="Q133" s="677">
        <v>796.29591836734699</v>
      </c>
    </row>
    <row r="134" spans="1:17" ht="14.4" customHeight="1" x14ac:dyDescent="0.3">
      <c r="A134" s="672" t="s">
        <v>478</v>
      </c>
      <c r="B134" s="673" t="s">
        <v>2101</v>
      </c>
      <c r="C134" s="673" t="s">
        <v>2254</v>
      </c>
      <c r="D134" s="673" t="s">
        <v>2336</v>
      </c>
      <c r="E134" s="673" t="s">
        <v>1272</v>
      </c>
      <c r="F134" s="676"/>
      <c r="G134" s="676"/>
      <c r="H134" s="676"/>
      <c r="I134" s="676"/>
      <c r="J134" s="676">
        <v>82</v>
      </c>
      <c r="K134" s="676">
        <v>5391.5</v>
      </c>
      <c r="L134" s="676">
        <v>1</v>
      </c>
      <c r="M134" s="676">
        <v>65.75</v>
      </c>
      <c r="N134" s="676"/>
      <c r="O134" s="676"/>
      <c r="P134" s="697"/>
      <c r="Q134" s="677"/>
    </row>
    <row r="135" spans="1:17" ht="14.4" customHeight="1" x14ac:dyDescent="0.3">
      <c r="A135" s="672" t="s">
        <v>478</v>
      </c>
      <c r="B135" s="673" t="s">
        <v>2101</v>
      </c>
      <c r="C135" s="673" t="s">
        <v>2254</v>
      </c>
      <c r="D135" s="673" t="s">
        <v>1402</v>
      </c>
      <c r="E135" s="673" t="s">
        <v>1403</v>
      </c>
      <c r="F135" s="676"/>
      <c r="G135" s="676"/>
      <c r="H135" s="676"/>
      <c r="I135" s="676"/>
      <c r="J135" s="676"/>
      <c r="K135" s="676"/>
      <c r="L135" s="676"/>
      <c r="M135" s="676"/>
      <c r="N135" s="676">
        <v>8</v>
      </c>
      <c r="O135" s="676">
        <v>50764.56</v>
      </c>
      <c r="P135" s="697"/>
      <c r="Q135" s="677">
        <v>6345.57</v>
      </c>
    </row>
    <row r="136" spans="1:17" ht="14.4" customHeight="1" x14ac:dyDescent="0.3">
      <c r="A136" s="672" t="s">
        <v>478</v>
      </c>
      <c r="B136" s="673" t="s">
        <v>2101</v>
      </c>
      <c r="C136" s="673" t="s">
        <v>2254</v>
      </c>
      <c r="D136" s="673" t="s">
        <v>2337</v>
      </c>
      <c r="E136" s="673" t="s">
        <v>2318</v>
      </c>
      <c r="F136" s="676">
        <v>3</v>
      </c>
      <c r="G136" s="676">
        <v>20292.66</v>
      </c>
      <c r="H136" s="676"/>
      <c r="I136" s="676">
        <v>6764.22</v>
      </c>
      <c r="J136" s="676"/>
      <c r="K136" s="676"/>
      <c r="L136" s="676"/>
      <c r="M136" s="676"/>
      <c r="N136" s="676"/>
      <c r="O136" s="676"/>
      <c r="P136" s="697"/>
      <c r="Q136" s="677"/>
    </row>
    <row r="137" spans="1:17" ht="14.4" customHeight="1" x14ac:dyDescent="0.3">
      <c r="A137" s="672" t="s">
        <v>478</v>
      </c>
      <c r="B137" s="673" t="s">
        <v>2101</v>
      </c>
      <c r="C137" s="673" t="s">
        <v>2254</v>
      </c>
      <c r="D137" s="673" t="s">
        <v>2338</v>
      </c>
      <c r="E137" s="673" t="s">
        <v>2339</v>
      </c>
      <c r="F137" s="676">
        <v>1.7</v>
      </c>
      <c r="G137" s="676">
        <v>4776.32</v>
      </c>
      <c r="H137" s="676"/>
      <c r="I137" s="676">
        <v>2809.6</v>
      </c>
      <c r="J137" s="676"/>
      <c r="K137" s="676"/>
      <c r="L137" s="676"/>
      <c r="M137" s="676"/>
      <c r="N137" s="676"/>
      <c r="O137" s="676"/>
      <c r="P137" s="697"/>
      <c r="Q137" s="677"/>
    </row>
    <row r="138" spans="1:17" ht="14.4" customHeight="1" x14ac:dyDescent="0.3">
      <c r="A138" s="672" t="s">
        <v>478</v>
      </c>
      <c r="B138" s="673" t="s">
        <v>2101</v>
      </c>
      <c r="C138" s="673" t="s">
        <v>2254</v>
      </c>
      <c r="D138" s="673" t="s">
        <v>2340</v>
      </c>
      <c r="E138" s="673" t="s">
        <v>2341</v>
      </c>
      <c r="F138" s="676">
        <v>3.8000000000000003</v>
      </c>
      <c r="G138" s="676">
        <v>1939.69</v>
      </c>
      <c r="H138" s="676"/>
      <c r="I138" s="676">
        <v>510.44473684210521</v>
      </c>
      <c r="J138" s="676"/>
      <c r="K138" s="676"/>
      <c r="L138" s="676"/>
      <c r="M138" s="676"/>
      <c r="N138" s="676"/>
      <c r="O138" s="676"/>
      <c r="P138" s="697"/>
      <c r="Q138" s="677"/>
    </row>
    <row r="139" spans="1:17" ht="14.4" customHeight="1" x14ac:dyDescent="0.3">
      <c r="A139" s="672" t="s">
        <v>478</v>
      </c>
      <c r="B139" s="673" t="s">
        <v>2101</v>
      </c>
      <c r="C139" s="673" t="s">
        <v>2254</v>
      </c>
      <c r="D139" s="673" t="s">
        <v>2342</v>
      </c>
      <c r="E139" s="673" t="s">
        <v>2343</v>
      </c>
      <c r="F139" s="676">
        <v>3.6999999999999997</v>
      </c>
      <c r="G139" s="676">
        <v>7864.72</v>
      </c>
      <c r="H139" s="676">
        <v>0.10192837465564739</v>
      </c>
      <c r="I139" s="676">
        <v>2125.6000000000004</v>
      </c>
      <c r="J139" s="676">
        <v>36.299999999999997</v>
      </c>
      <c r="K139" s="676">
        <v>77159.28</v>
      </c>
      <c r="L139" s="676">
        <v>1</v>
      </c>
      <c r="M139" s="676">
        <v>2125.6</v>
      </c>
      <c r="N139" s="676">
        <v>63.699999999999996</v>
      </c>
      <c r="O139" s="676">
        <v>135400.72</v>
      </c>
      <c r="P139" s="697">
        <v>1.7548209366391185</v>
      </c>
      <c r="Q139" s="677">
        <v>2125.6000000000004</v>
      </c>
    </row>
    <row r="140" spans="1:17" ht="14.4" customHeight="1" x14ac:dyDescent="0.3">
      <c r="A140" s="672" t="s">
        <v>478</v>
      </c>
      <c r="B140" s="673" t="s">
        <v>2101</v>
      </c>
      <c r="C140" s="673" t="s">
        <v>2254</v>
      </c>
      <c r="D140" s="673" t="s">
        <v>2344</v>
      </c>
      <c r="E140" s="673" t="s">
        <v>2345</v>
      </c>
      <c r="F140" s="676"/>
      <c r="G140" s="676"/>
      <c r="H140" s="676"/>
      <c r="I140" s="676"/>
      <c r="J140" s="676"/>
      <c r="K140" s="676"/>
      <c r="L140" s="676"/>
      <c r="M140" s="676"/>
      <c r="N140" s="676">
        <v>7</v>
      </c>
      <c r="O140" s="676">
        <v>72746.45</v>
      </c>
      <c r="P140" s="697"/>
      <c r="Q140" s="677">
        <v>10392.35</v>
      </c>
    </row>
    <row r="141" spans="1:17" ht="14.4" customHeight="1" x14ac:dyDescent="0.3">
      <c r="A141" s="672" t="s">
        <v>478</v>
      </c>
      <c r="B141" s="673" t="s">
        <v>2101</v>
      </c>
      <c r="C141" s="673" t="s">
        <v>2254</v>
      </c>
      <c r="D141" s="673" t="s">
        <v>2346</v>
      </c>
      <c r="E141" s="673" t="s">
        <v>2347</v>
      </c>
      <c r="F141" s="676">
        <v>1.3</v>
      </c>
      <c r="G141" s="676">
        <v>4881.76</v>
      </c>
      <c r="H141" s="676"/>
      <c r="I141" s="676">
        <v>3755.2</v>
      </c>
      <c r="J141" s="676"/>
      <c r="K141" s="676"/>
      <c r="L141" s="676"/>
      <c r="M141" s="676"/>
      <c r="N141" s="676"/>
      <c r="O141" s="676"/>
      <c r="P141" s="697"/>
      <c r="Q141" s="677"/>
    </row>
    <row r="142" spans="1:17" ht="14.4" customHeight="1" x14ac:dyDescent="0.3">
      <c r="A142" s="672" t="s">
        <v>478</v>
      </c>
      <c r="B142" s="673" t="s">
        <v>2101</v>
      </c>
      <c r="C142" s="673" t="s">
        <v>2254</v>
      </c>
      <c r="D142" s="673" t="s">
        <v>2348</v>
      </c>
      <c r="E142" s="673" t="s">
        <v>2321</v>
      </c>
      <c r="F142" s="676">
        <v>0.1</v>
      </c>
      <c r="G142" s="676">
        <v>19.59</v>
      </c>
      <c r="H142" s="676">
        <v>0.33333333333333331</v>
      </c>
      <c r="I142" s="676">
        <v>195.89999999999998</v>
      </c>
      <c r="J142" s="676">
        <v>0.3</v>
      </c>
      <c r="K142" s="676">
        <v>58.77</v>
      </c>
      <c r="L142" s="676">
        <v>1</v>
      </c>
      <c r="M142" s="676">
        <v>195.9</v>
      </c>
      <c r="N142" s="676">
        <v>0.3</v>
      </c>
      <c r="O142" s="676">
        <v>58.77</v>
      </c>
      <c r="P142" s="697">
        <v>1</v>
      </c>
      <c r="Q142" s="677">
        <v>195.9</v>
      </c>
    </row>
    <row r="143" spans="1:17" ht="14.4" customHeight="1" x14ac:dyDescent="0.3">
      <c r="A143" s="672" t="s">
        <v>478</v>
      </c>
      <c r="B143" s="673" t="s">
        <v>2101</v>
      </c>
      <c r="C143" s="673" t="s">
        <v>2254</v>
      </c>
      <c r="D143" s="673" t="s">
        <v>2349</v>
      </c>
      <c r="E143" s="673" t="s">
        <v>2350</v>
      </c>
      <c r="F143" s="676"/>
      <c r="G143" s="676"/>
      <c r="H143" s="676"/>
      <c r="I143" s="676"/>
      <c r="J143" s="676">
        <v>0.3</v>
      </c>
      <c r="K143" s="676">
        <v>189</v>
      </c>
      <c r="L143" s="676">
        <v>1</v>
      </c>
      <c r="M143" s="676">
        <v>630</v>
      </c>
      <c r="N143" s="676">
        <v>0.79999999999999993</v>
      </c>
      <c r="O143" s="676">
        <v>320.32</v>
      </c>
      <c r="P143" s="697">
        <v>1.6948148148148148</v>
      </c>
      <c r="Q143" s="677">
        <v>400.40000000000003</v>
      </c>
    </row>
    <row r="144" spans="1:17" ht="14.4" customHeight="1" x14ac:dyDescent="0.3">
      <c r="A144" s="672" t="s">
        <v>478</v>
      </c>
      <c r="B144" s="673" t="s">
        <v>2101</v>
      </c>
      <c r="C144" s="673" t="s">
        <v>2254</v>
      </c>
      <c r="D144" s="673" t="s">
        <v>2351</v>
      </c>
      <c r="E144" s="673" t="s">
        <v>2350</v>
      </c>
      <c r="F144" s="676"/>
      <c r="G144" s="676"/>
      <c r="H144" s="676"/>
      <c r="I144" s="676"/>
      <c r="J144" s="676">
        <v>6.1000000000000005</v>
      </c>
      <c r="K144" s="676">
        <v>6984.73</v>
      </c>
      <c r="L144" s="676">
        <v>1</v>
      </c>
      <c r="M144" s="676">
        <v>1145.0377049180327</v>
      </c>
      <c r="N144" s="676">
        <v>3.7</v>
      </c>
      <c r="O144" s="676">
        <v>2962.96</v>
      </c>
      <c r="P144" s="697">
        <v>0.42420537372239159</v>
      </c>
      <c r="Q144" s="677">
        <v>800.8</v>
      </c>
    </row>
    <row r="145" spans="1:17" ht="14.4" customHeight="1" x14ac:dyDescent="0.3">
      <c r="A145" s="672" t="s">
        <v>478</v>
      </c>
      <c r="B145" s="673" t="s">
        <v>2101</v>
      </c>
      <c r="C145" s="673" t="s">
        <v>2254</v>
      </c>
      <c r="D145" s="673" t="s">
        <v>2352</v>
      </c>
      <c r="E145" s="673" t="s">
        <v>2353</v>
      </c>
      <c r="F145" s="676">
        <v>6</v>
      </c>
      <c r="G145" s="676">
        <v>22531.3</v>
      </c>
      <c r="H145" s="676"/>
      <c r="I145" s="676">
        <v>3755.2166666666667</v>
      </c>
      <c r="J145" s="676"/>
      <c r="K145" s="676"/>
      <c r="L145" s="676"/>
      <c r="M145" s="676"/>
      <c r="N145" s="676"/>
      <c r="O145" s="676"/>
      <c r="P145" s="697"/>
      <c r="Q145" s="677"/>
    </row>
    <row r="146" spans="1:17" ht="14.4" customHeight="1" x14ac:dyDescent="0.3">
      <c r="A146" s="672" t="s">
        <v>478</v>
      </c>
      <c r="B146" s="673" t="s">
        <v>2101</v>
      </c>
      <c r="C146" s="673" t="s">
        <v>2254</v>
      </c>
      <c r="D146" s="673" t="s">
        <v>2354</v>
      </c>
      <c r="E146" s="673" t="s">
        <v>1553</v>
      </c>
      <c r="F146" s="676"/>
      <c r="G146" s="676"/>
      <c r="H146" s="676"/>
      <c r="I146" s="676"/>
      <c r="J146" s="676">
        <v>8</v>
      </c>
      <c r="K146" s="676">
        <v>876.8</v>
      </c>
      <c r="L146" s="676">
        <v>1</v>
      </c>
      <c r="M146" s="676">
        <v>109.6</v>
      </c>
      <c r="N146" s="676">
        <v>5</v>
      </c>
      <c r="O146" s="676">
        <v>548</v>
      </c>
      <c r="P146" s="697">
        <v>0.625</v>
      </c>
      <c r="Q146" s="677">
        <v>109.6</v>
      </c>
    </row>
    <row r="147" spans="1:17" ht="14.4" customHeight="1" x14ac:dyDescent="0.3">
      <c r="A147" s="672" t="s">
        <v>478</v>
      </c>
      <c r="B147" s="673" t="s">
        <v>2101</v>
      </c>
      <c r="C147" s="673" t="s">
        <v>2254</v>
      </c>
      <c r="D147" s="673" t="s">
        <v>2355</v>
      </c>
      <c r="E147" s="673" t="s">
        <v>2356</v>
      </c>
      <c r="F147" s="676"/>
      <c r="G147" s="676"/>
      <c r="H147" s="676"/>
      <c r="I147" s="676"/>
      <c r="J147" s="676">
        <v>3.5</v>
      </c>
      <c r="K147" s="676">
        <v>1159.9000000000001</v>
      </c>
      <c r="L147" s="676">
        <v>1</v>
      </c>
      <c r="M147" s="676">
        <v>331.40000000000003</v>
      </c>
      <c r="N147" s="676">
        <v>5.1099999999999994</v>
      </c>
      <c r="O147" s="676">
        <v>1693.45</v>
      </c>
      <c r="P147" s="697">
        <v>1.4599965514268471</v>
      </c>
      <c r="Q147" s="677">
        <v>331.39921722113507</v>
      </c>
    </row>
    <row r="148" spans="1:17" ht="14.4" customHeight="1" x14ac:dyDescent="0.3">
      <c r="A148" s="672" t="s">
        <v>478</v>
      </c>
      <c r="B148" s="673" t="s">
        <v>2101</v>
      </c>
      <c r="C148" s="673" t="s">
        <v>2254</v>
      </c>
      <c r="D148" s="673" t="s">
        <v>2357</v>
      </c>
      <c r="E148" s="673" t="s">
        <v>1347</v>
      </c>
      <c r="F148" s="676"/>
      <c r="G148" s="676"/>
      <c r="H148" s="676"/>
      <c r="I148" s="676"/>
      <c r="J148" s="676"/>
      <c r="K148" s="676"/>
      <c r="L148" s="676"/>
      <c r="M148" s="676"/>
      <c r="N148" s="676">
        <v>6.9999999999999991</v>
      </c>
      <c r="O148" s="676">
        <v>5528.9999999999991</v>
      </c>
      <c r="P148" s="697"/>
      <c r="Q148" s="677">
        <v>789.85714285714278</v>
      </c>
    </row>
    <row r="149" spans="1:17" ht="14.4" customHeight="1" x14ac:dyDescent="0.3">
      <c r="A149" s="672" t="s">
        <v>478</v>
      </c>
      <c r="B149" s="673" t="s">
        <v>2101</v>
      </c>
      <c r="C149" s="673" t="s">
        <v>2254</v>
      </c>
      <c r="D149" s="673" t="s">
        <v>2358</v>
      </c>
      <c r="E149" s="673" t="s">
        <v>1548</v>
      </c>
      <c r="F149" s="676"/>
      <c r="G149" s="676"/>
      <c r="H149" s="676"/>
      <c r="I149" s="676"/>
      <c r="J149" s="676">
        <v>12.100000000000001</v>
      </c>
      <c r="K149" s="676">
        <v>39491.19</v>
      </c>
      <c r="L149" s="676">
        <v>1</v>
      </c>
      <c r="M149" s="676">
        <v>3263.7347107438013</v>
      </c>
      <c r="N149" s="676">
        <v>38.299999999999997</v>
      </c>
      <c r="O149" s="676">
        <v>125001.37999999999</v>
      </c>
      <c r="P149" s="697">
        <v>3.165297880362683</v>
      </c>
      <c r="Q149" s="677">
        <v>3263.7436031331595</v>
      </c>
    </row>
    <row r="150" spans="1:17" ht="14.4" customHeight="1" x14ac:dyDescent="0.3">
      <c r="A150" s="672" t="s">
        <v>478</v>
      </c>
      <c r="B150" s="673" t="s">
        <v>2101</v>
      </c>
      <c r="C150" s="673" t="s">
        <v>2359</v>
      </c>
      <c r="D150" s="673" t="s">
        <v>2360</v>
      </c>
      <c r="E150" s="673" t="s">
        <v>2361</v>
      </c>
      <c r="F150" s="676"/>
      <c r="G150" s="676"/>
      <c r="H150" s="676"/>
      <c r="I150" s="676"/>
      <c r="J150" s="676">
        <v>2</v>
      </c>
      <c r="K150" s="676">
        <v>2613.84</v>
      </c>
      <c r="L150" s="676">
        <v>1</v>
      </c>
      <c r="M150" s="676">
        <v>1306.92</v>
      </c>
      <c r="N150" s="676"/>
      <c r="O150" s="676"/>
      <c r="P150" s="697"/>
      <c r="Q150" s="677"/>
    </row>
    <row r="151" spans="1:17" ht="14.4" customHeight="1" x14ac:dyDescent="0.3">
      <c r="A151" s="672" t="s">
        <v>478</v>
      </c>
      <c r="B151" s="673" t="s">
        <v>2101</v>
      </c>
      <c r="C151" s="673" t="s">
        <v>2359</v>
      </c>
      <c r="D151" s="673" t="s">
        <v>2362</v>
      </c>
      <c r="E151" s="673" t="s">
        <v>2363</v>
      </c>
      <c r="F151" s="676">
        <v>183</v>
      </c>
      <c r="G151" s="676">
        <v>341401.14</v>
      </c>
      <c r="H151" s="676">
        <v>0.70365802845159808</v>
      </c>
      <c r="I151" s="676">
        <v>1865.5800000000002</v>
      </c>
      <c r="J151" s="676">
        <v>242</v>
      </c>
      <c r="K151" s="676">
        <v>485180.48</v>
      </c>
      <c r="L151" s="676">
        <v>1</v>
      </c>
      <c r="M151" s="676">
        <v>2004.8780165289256</v>
      </c>
      <c r="N151" s="676">
        <v>213</v>
      </c>
      <c r="O151" s="676">
        <v>459682.29000000004</v>
      </c>
      <c r="P151" s="697">
        <v>0.94744596897220612</v>
      </c>
      <c r="Q151" s="677">
        <v>2158.1328169014087</v>
      </c>
    </row>
    <row r="152" spans="1:17" ht="14.4" customHeight="1" x14ac:dyDescent="0.3">
      <c r="A152" s="672" t="s">
        <v>478</v>
      </c>
      <c r="B152" s="673" t="s">
        <v>2101</v>
      </c>
      <c r="C152" s="673" t="s">
        <v>2359</v>
      </c>
      <c r="D152" s="673" t="s">
        <v>2364</v>
      </c>
      <c r="E152" s="673" t="s">
        <v>2365</v>
      </c>
      <c r="F152" s="676">
        <v>4</v>
      </c>
      <c r="G152" s="676">
        <v>10914.84</v>
      </c>
      <c r="H152" s="676">
        <v>0.22168089182220099</v>
      </c>
      <c r="I152" s="676">
        <v>2728.71</v>
      </c>
      <c r="J152" s="676">
        <v>20</v>
      </c>
      <c r="K152" s="676">
        <v>49236.72</v>
      </c>
      <c r="L152" s="676">
        <v>1</v>
      </c>
      <c r="M152" s="676">
        <v>2461.8360000000002</v>
      </c>
      <c r="N152" s="676">
        <v>30</v>
      </c>
      <c r="O152" s="676">
        <v>79234.5</v>
      </c>
      <c r="P152" s="697">
        <v>1.6092562623992825</v>
      </c>
      <c r="Q152" s="677">
        <v>2641.15</v>
      </c>
    </row>
    <row r="153" spans="1:17" ht="14.4" customHeight="1" x14ac:dyDescent="0.3">
      <c r="A153" s="672" t="s">
        <v>478</v>
      </c>
      <c r="B153" s="673" t="s">
        <v>2101</v>
      </c>
      <c r="C153" s="673" t="s">
        <v>2359</v>
      </c>
      <c r="D153" s="673" t="s">
        <v>2366</v>
      </c>
      <c r="E153" s="673" t="s">
        <v>2367</v>
      </c>
      <c r="F153" s="676">
        <v>7</v>
      </c>
      <c r="G153" s="676">
        <v>56520.52</v>
      </c>
      <c r="H153" s="676">
        <v>0.8523391759952611</v>
      </c>
      <c r="I153" s="676">
        <v>8074.36</v>
      </c>
      <c r="J153" s="676">
        <v>8</v>
      </c>
      <c r="K153" s="676">
        <v>66312.240000000005</v>
      </c>
      <c r="L153" s="676">
        <v>1</v>
      </c>
      <c r="M153" s="676">
        <v>8289.0300000000007</v>
      </c>
      <c r="N153" s="676">
        <v>10</v>
      </c>
      <c r="O153" s="676">
        <v>89023.6</v>
      </c>
      <c r="P153" s="697">
        <v>1.3424912203237291</v>
      </c>
      <c r="Q153" s="677">
        <v>8902.36</v>
      </c>
    </row>
    <row r="154" spans="1:17" ht="14.4" customHeight="1" x14ac:dyDescent="0.3">
      <c r="A154" s="672" t="s">
        <v>478</v>
      </c>
      <c r="B154" s="673" t="s">
        <v>2101</v>
      </c>
      <c r="C154" s="673" t="s">
        <v>2359</v>
      </c>
      <c r="D154" s="673" t="s">
        <v>2368</v>
      </c>
      <c r="E154" s="673" t="s">
        <v>2369</v>
      </c>
      <c r="F154" s="676">
        <v>11</v>
      </c>
      <c r="G154" s="676">
        <v>106547.09999999999</v>
      </c>
      <c r="H154" s="676">
        <v>0.82705097730123778</v>
      </c>
      <c r="I154" s="676">
        <v>9686.0999999999985</v>
      </c>
      <c r="J154" s="676">
        <v>13</v>
      </c>
      <c r="K154" s="676">
        <v>128827.73000000001</v>
      </c>
      <c r="L154" s="676">
        <v>1</v>
      </c>
      <c r="M154" s="676">
        <v>9909.8253846153857</v>
      </c>
      <c r="N154" s="676">
        <v>13</v>
      </c>
      <c r="O154" s="676">
        <v>134018.94999999998</v>
      </c>
      <c r="P154" s="697">
        <v>1.0402958276141323</v>
      </c>
      <c r="Q154" s="677">
        <v>10309.149999999998</v>
      </c>
    </row>
    <row r="155" spans="1:17" ht="14.4" customHeight="1" x14ac:dyDescent="0.3">
      <c r="A155" s="672" t="s">
        <v>478</v>
      </c>
      <c r="B155" s="673" t="s">
        <v>2101</v>
      </c>
      <c r="C155" s="673" t="s">
        <v>2359</v>
      </c>
      <c r="D155" s="673" t="s">
        <v>2370</v>
      </c>
      <c r="E155" s="673" t="s">
        <v>2371</v>
      </c>
      <c r="F155" s="676">
        <v>89</v>
      </c>
      <c r="G155" s="676">
        <v>82375.73</v>
      </c>
      <c r="H155" s="676">
        <v>0.71783318863513046</v>
      </c>
      <c r="I155" s="676">
        <v>925.56999999999994</v>
      </c>
      <c r="J155" s="676">
        <v>108</v>
      </c>
      <c r="K155" s="676">
        <v>114756.08999999998</v>
      </c>
      <c r="L155" s="676">
        <v>1</v>
      </c>
      <c r="M155" s="676">
        <v>1062.5563888888887</v>
      </c>
      <c r="N155" s="676">
        <v>98</v>
      </c>
      <c r="O155" s="676">
        <v>118737.78</v>
      </c>
      <c r="P155" s="697">
        <v>1.0346969820948066</v>
      </c>
      <c r="Q155" s="677">
        <v>1211.6099999999999</v>
      </c>
    </row>
    <row r="156" spans="1:17" ht="14.4" customHeight="1" x14ac:dyDescent="0.3">
      <c r="A156" s="672" t="s">
        <v>478</v>
      </c>
      <c r="B156" s="673" t="s">
        <v>2101</v>
      </c>
      <c r="C156" s="673" t="s">
        <v>2359</v>
      </c>
      <c r="D156" s="673" t="s">
        <v>2372</v>
      </c>
      <c r="E156" s="673" t="s">
        <v>2373</v>
      </c>
      <c r="F156" s="676">
        <v>3</v>
      </c>
      <c r="G156" s="676">
        <v>716.04</v>
      </c>
      <c r="H156" s="676">
        <v>0.29644042956621097</v>
      </c>
      <c r="I156" s="676">
        <v>238.67999999999998</v>
      </c>
      <c r="J156" s="676">
        <v>10</v>
      </c>
      <c r="K156" s="676">
        <v>2415.46</v>
      </c>
      <c r="L156" s="676">
        <v>1</v>
      </c>
      <c r="M156" s="676">
        <v>241.54599999999999</v>
      </c>
      <c r="N156" s="676">
        <v>28</v>
      </c>
      <c r="O156" s="676">
        <v>6877.08</v>
      </c>
      <c r="P156" s="697">
        <v>2.8471098672716582</v>
      </c>
      <c r="Q156" s="677">
        <v>245.60999999999999</v>
      </c>
    </row>
    <row r="157" spans="1:17" ht="14.4" customHeight="1" x14ac:dyDescent="0.3">
      <c r="A157" s="672" t="s">
        <v>478</v>
      </c>
      <c r="B157" s="673" t="s">
        <v>2101</v>
      </c>
      <c r="C157" s="673" t="s">
        <v>2359</v>
      </c>
      <c r="D157" s="673" t="s">
        <v>2374</v>
      </c>
      <c r="E157" s="673" t="s">
        <v>2375</v>
      </c>
      <c r="F157" s="676"/>
      <c r="G157" s="676"/>
      <c r="H157" s="676"/>
      <c r="I157" s="676"/>
      <c r="J157" s="676"/>
      <c r="K157" s="676"/>
      <c r="L157" s="676"/>
      <c r="M157" s="676"/>
      <c r="N157" s="676">
        <v>1</v>
      </c>
      <c r="O157" s="676">
        <v>2641.15</v>
      </c>
      <c r="P157" s="697"/>
      <c r="Q157" s="677">
        <v>2641.15</v>
      </c>
    </row>
    <row r="158" spans="1:17" ht="14.4" customHeight="1" x14ac:dyDescent="0.3">
      <c r="A158" s="672" t="s">
        <v>478</v>
      </c>
      <c r="B158" s="673" t="s">
        <v>2101</v>
      </c>
      <c r="C158" s="673" t="s">
        <v>2376</v>
      </c>
      <c r="D158" s="673" t="s">
        <v>2377</v>
      </c>
      <c r="E158" s="673" t="s">
        <v>2378</v>
      </c>
      <c r="F158" s="676">
        <v>5</v>
      </c>
      <c r="G158" s="676">
        <v>1649.9</v>
      </c>
      <c r="H158" s="676"/>
      <c r="I158" s="676">
        <v>329.98</v>
      </c>
      <c r="J158" s="676"/>
      <c r="K158" s="676"/>
      <c r="L158" s="676"/>
      <c r="M158" s="676"/>
      <c r="N158" s="676">
        <v>3</v>
      </c>
      <c r="O158" s="676">
        <v>989.94</v>
      </c>
      <c r="P158" s="697"/>
      <c r="Q158" s="677">
        <v>329.98</v>
      </c>
    </row>
    <row r="159" spans="1:17" ht="14.4" customHeight="1" x14ac:dyDescent="0.3">
      <c r="A159" s="672" t="s">
        <v>478</v>
      </c>
      <c r="B159" s="673" t="s">
        <v>2101</v>
      </c>
      <c r="C159" s="673" t="s">
        <v>2376</v>
      </c>
      <c r="D159" s="673" t="s">
        <v>2379</v>
      </c>
      <c r="E159" s="673" t="s">
        <v>2378</v>
      </c>
      <c r="F159" s="676"/>
      <c r="G159" s="676"/>
      <c r="H159" s="676"/>
      <c r="I159" s="676"/>
      <c r="J159" s="676"/>
      <c r="K159" s="676"/>
      <c r="L159" s="676"/>
      <c r="M159" s="676"/>
      <c r="N159" s="676">
        <v>3</v>
      </c>
      <c r="O159" s="676">
        <v>1300.23</v>
      </c>
      <c r="P159" s="697"/>
      <c r="Q159" s="677">
        <v>433.41</v>
      </c>
    </row>
    <row r="160" spans="1:17" ht="14.4" customHeight="1" x14ac:dyDescent="0.3">
      <c r="A160" s="672" t="s">
        <v>478</v>
      </c>
      <c r="B160" s="673" t="s">
        <v>2101</v>
      </c>
      <c r="C160" s="673" t="s">
        <v>2376</v>
      </c>
      <c r="D160" s="673" t="s">
        <v>2380</v>
      </c>
      <c r="E160" s="673" t="s">
        <v>2381</v>
      </c>
      <c r="F160" s="676"/>
      <c r="G160" s="676"/>
      <c r="H160" s="676"/>
      <c r="I160" s="676"/>
      <c r="J160" s="676">
        <v>2</v>
      </c>
      <c r="K160" s="676">
        <v>174.1</v>
      </c>
      <c r="L160" s="676">
        <v>1</v>
      </c>
      <c r="M160" s="676">
        <v>87.05</v>
      </c>
      <c r="N160" s="676"/>
      <c r="O160" s="676"/>
      <c r="P160" s="697"/>
      <c r="Q160" s="677"/>
    </row>
    <row r="161" spans="1:17" ht="14.4" customHeight="1" x14ac:dyDescent="0.3">
      <c r="A161" s="672" t="s">
        <v>478</v>
      </c>
      <c r="B161" s="673" t="s">
        <v>2101</v>
      </c>
      <c r="C161" s="673" t="s">
        <v>2376</v>
      </c>
      <c r="D161" s="673" t="s">
        <v>2382</v>
      </c>
      <c r="E161" s="673" t="s">
        <v>2383</v>
      </c>
      <c r="F161" s="676">
        <v>0.8</v>
      </c>
      <c r="G161" s="676">
        <v>770.22</v>
      </c>
      <c r="H161" s="676"/>
      <c r="I161" s="676">
        <v>962.77499999999998</v>
      </c>
      <c r="J161" s="676"/>
      <c r="K161" s="676"/>
      <c r="L161" s="676"/>
      <c r="M161" s="676"/>
      <c r="N161" s="676"/>
      <c r="O161" s="676"/>
      <c r="P161" s="697"/>
      <c r="Q161" s="677"/>
    </row>
    <row r="162" spans="1:17" ht="14.4" customHeight="1" x14ac:dyDescent="0.3">
      <c r="A162" s="672" t="s">
        <v>478</v>
      </c>
      <c r="B162" s="673" t="s">
        <v>2101</v>
      </c>
      <c r="C162" s="673" t="s">
        <v>2376</v>
      </c>
      <c r="D162" s="673" t="s">
        <v>2384</v>
      </c>
      <c r="E162" s="673" t="s">
        <v>2385</v>
      </c>
      <c r="F162" s="676">
        <v>1.1000000000000001</v>
      </c>
      <c r="G162" s="676">
        <v>692.54</v>
      </c>
      <c r="H162" s="676">
        <v>0.91666446062210449</v>
      </c>
      <c r="I162" s="676">
        <v>629.58181818181811</v>
      </c>
      <c r="J162" s="676">
        <v>1.2</v>
      </c>
      <c r="K162" s="676">
        <v>755.5</v>
      </c>
      <c r="L162" s="676">
        <v>1</v>
      </c>
      <c r="M162" s="676">
        <v>629.58333333333337</v>
      </c>
      <c r="N162" s="676"/>
      <c r="O162" s="676"/>
      <c r="P162" s="697"/>
      <c r="Q162" s="677"/>
    </row>
    <row r="163" spans="1:17" ht="14.4" customHeight="1" x14ac:dyDescent="0.3">
      <c r="A163" s="672" t="s">
        <v>478</v>
      </c>
      <c r="B163" s="673" t="s">
        <v>2101</v>
      </c>
      <c r="C163" s="673" t="s">
        <v>2376</v>
      </c>
      <c r="D163" s="673" t="s">
        <v>2386</v>
      </c>
      <c r="E163" s="673" t="s">
        <v>2387</v>
      </c>
      <c r="F163" s="676"/>
      <c r="G163" s="676"/>
      <c r="H163" s="676"/>
      <c r="I163" s="676"/>
      <c r="J163" s="676">
        <v>1</v>
      </c>
      <c r="K163" s="676">
        <v>1099.58</v>
      </c>
      <c r="L163" s="676">
        <v>1</v>
      </c>
      <c r="M163" s="676">
        <v>1099.58</v>
      </c>
      <c r="N163" s="676"/>
      <c r="O163" s="676"/>
      <c r="P163" s="697"/>
      <c r="Q163" s="677"/>
    </row>
    <row r="164" spans="1:17" ht="14.4" customHeight="1" x14ac:dyDescent="0.3">
      <c r="A164" s="672" t="s">
        <v>478</v>
      </c>
      <c r="B164" s="673" t="s">
        <v>2101</v>
      </c>
      <c r="C164" s="673" t="s">
        <v>2376</v>
      </c>
      <c r="D164" s="673" t="s">
        <v>2388</v>
      </c>
      <c r="E164" s="673" t="s">
        <v>2387</v>
      </c>
      <c r="F164" s="676"/>
      <c r="G164" s="676"/>
      <c r="H164" s="676"/>
      <c r="I164" s="676"/>
      <c r="J164" s="676">
        <v>8</v>
      </c>
      <c r="K164" s="676">
        <v>9443.36</v>
      </c>
      <c r="L164" s="676">
        <v>1</v>
      </c>
      <c r="M164" s="676">
        <v>1180.42</v>
      </c>
      <c r="N164" s="676"/>
      <c r="O164" s="676"/>
      <c r="P164" s="697"/>
      <c r="Q164" s="677"/>
    </row>
    <row r="165" spans="1:17" ht="14.4" customHeight="1" x14ac:dyDescent="0.3">
      <c r="A165" s="672" t="s">
        <v>478</v>
      </c>
      <c r="B165" s="673" t="s">
        <v>2101</v>
      </c>
      <c r="C165" s="673" t="s">
        <v>2376</v>
      </c>
      <c r="D165" s="673" t="s">
        <v>2389</v>
      </c>
      <c r="E165" s="673" t="s">
        <v>2390</v>
      </c>
      <c r="F165" s="676"/>
      <c r="G165" s="676"/>
      <c r="H165" s="676"/>
      <c r="I165" s="676"/>
      <c r="J165" s="676">
        <v>1</v>
      </c>
      <c r="K165" s="676">
        <v>426.98</v>
      </c>
      <c r="L165" s="676">
        <v>1</v>
      </c>
      <c r="M165" s="676">
        <v>426.98</v>
      </c>
      <c r="N165" s="676"/>
      <c r="O165" s="676"/>
      <c r="P165" s="697"/>
      <c r="Q165" s="677"/>
    </row>
    <row r="166" spans="1:17" ht="14.4" customHeight="1" x14ac:dyDescent="0.3">
      <c r="A166" s="672" t="s">
        <v>478</v>
      </c>
      <c r="B166" s="673" t="s">
        <v>2101</v>
      </c>
      <c r="C166" s="673" t="s">
        <v>2376</v>
      </c>
      <c r="D166" s="673" t="s">
        <v>2391</v>
      </c>
      <c r="E166" s="673" t="s">
        <v>2381</v>
      </c>
      <c r="F166" s="676"/>
      <c r="G166" s="676"/>
      <c r="H166" s="676"/>
      <c r="I166" s="676"/>
      <c r="J166" s="676">
        <v>3</v>
      </c>
      <c r="K166" s="676">
        <v>207.06</v>
      </c>
      <c r="L166" s="676">
        <v>1</v>
      </c>
      <c r="M166" s="676">
        <v>69.02</v>
      </c>
      <c r="N166" s="676">
        <v>2</v>
      </c>
      <c r="O166" s="676">
        <v>138.04</v>
      </c>
      <c r="P166" s="697">
        <v>0.66666666666666663</v>
      </c>
      <c r="Q166" s="677">
        <v>69.02</v>
      </c>
    </row>
    <row r="167" spans="1:17" ht="14.4" customHeight="1" x14ac:dyDescent="0.3">
      <c r="A167" s="672" t="s">
        <v>478</v>
      </c>
      <c r="B167" s="673" t="s">
        <v>2101</v>
      </c>
      <c r="C167" s="673" t="s">
        <v>2376</v>
      </c>
      <c r="D167" s="673" t="s">
        <v>2392</v>
      </c>
      <c r="E167" s="673" t="s">
        <v>2393</v>
      </c>
      <c r="F167" s="676"/>
      <c r="G167" s="676"/>
      <c r="H167" s="676"/>
      <c r="I167" s="676"/>
      <c r="J167" s="676">
        <v>1</v>
      </c>
      <c r="K167" s="676">
        <v>6847</v>
      </c>
      <c r="L167" s="676">
        <v>1</v>
      </c>
      <c r="M167" s="676">
        <v>6847</v>
      </c>
      <c r="N167" s="676"/>
      <c r="O167" s="676"/>
      <c r="P167" s="697"/>
      <c r="Q167" s="677"/>
    </row>
    <row r="168" spans="1:17" ht="14.4" customHeight="1" x14ac:dyDescent="0.3">
      <c r="A168" s="672" t="s">
        <v>478</v>
      </c>
      <c r="B168" s="673" t="s">
        <v>2101</v>
      </c>
      <c r="C168" s="673" t="s">
        <v>2376</v>
      </c>
      <c r="D168" s="673" t="s">
        <v>2394</v>
      </c>
      <c r="E168" s="673" t="s">
        <v>2395</v>
      </c>
      <c r="F168" s="676">
        <v>1</v>
      </c>
      <c r="G168" s="676">
        <v>6832.75</v>
      </c>
      <c r="H168" s="676">
        <v>1</v>
      </c>
      <c r="I168" s="676">
        <v>6832.75</v>
      </c>
      <c r="J168" s="676">
        <v>1</v>
      </c>
      <c r="K168" s="676">
        <v>6832.75</v>
      </c>
      <c r="L168" s="676">
        <v>1</v>
      </c>
      <c r="M168" s="676">
        <v>6832.75</v>
      </c>
      <c r="N168" s="676">
        <v>1</v>
      </c>
      <c r="O168" s="676">
        <v>6559.4</v>
      </c>
      <c r="P168" s="697">
        <v>0.95999414584171816</v>
      </c>
      <c r="Q168" s="677">
        <v>6559.4</v>
      </c>
    </row>
    <row r="169" spans="1:17" ht="14.4" customHeight="1" x14ac:dyDescent="0.3">
      <c r="A169" s="672" t="s">
        <v>478</v>
      </c>
      <c r="B169" s="673" t="s">
        <v>2101</v>
      </c>
      <c r="C169" s="673" t="s">
        <v>2376</v>
      </c>
      <c r="D169" s="673" t="s">
        <v>2396</v>
      </c>
      <c r="E169" s="673" t="s">
        <v>2397</v>
      </c>
      <c r="F169" s="676"/>
      <c r="G169" s="676"/>
      <c r="H169" s="676"/>
      <c r="I169" s="676"/>
      <c r="J169" s="676">
        <v>1</v>
      </c>
      <c r="K169" s="676">
        <v>6570.55</v>
      </c>
      <c r="L169" s="676">
        <v>1</v>
      </c>
      <c r="M169" s="676">
        <v>6570.55</v>
      </c>
      <c r="N169" s="676"/>
      <c r="O169" s="676"/>
      <c r="P169" s="697"/>
      <c r="Q169" s="677"/>
    </row>
    <row r="170" spans="1:17" ht="14.4" customHeight="1" x14ac:dyDescent="0.3">
      <c r="A170" s="672" t="s">
        <v>478</v>
      </c>
      <c r="B170" s="673" t="s">
        <v>2101</v>
      </c>
      <c r="C170" s="673" t="s">
        <v>2376</v>
      </c>
      <c r="D170" s="673" t="s">
        <v>2398</v>
      </c>
      <c r="E170" s="673" t="s">
        <v>2399</v>
      </c>
      <c r="F170" s="676">
        <v>1</v>
      </c>
      <c r="G170" s="676">
        <v>713.02</v>
      </c>
      <c r="H170" s="676"/>
      <c r="I170" s="676">
        <v>713.02</v>
      </c>
      <c r="J170" s="676"/>
      <c r="K170" s="676"/>
      <c r="L170" s="676"/>
      <c r="M170" s="676"/>
      <c r="N170" s="676"/>
      <c r="O170" s="676"/>
      <c r="P170" s="697"/>
      <c r="Q170" s="677"/>
    </row>
    <row r="171" spans="1:17" ht="14.4" customHeight="1" x14ac:dyDescent="0.3">
      <c r="A171" s="672" t="s">
        <v>478</v>
      </c>
      <c r="B171" s="673" t="s">
        <v>2101</v>
      </c>
      <c r="C171" s="673" t="s">
        <v>2376</v>
      </c>
      <c r="D171" s="673" t="s">
        <v>2400</v>
      </c>
      <c r="E171" s="673" t="s">
        <v>2401</v>
      </c>
      <c r="F171" s="676">
        <v>1</v>
      </c>
      <c r="G171" s="676">
        <v>230.07</v>
      </c>
      <c r="H171" s="676"/>
      <c r="I171" s="676">
        <v>230.07</v>
      </c>
      <c r="J171" s="676"/>
      <c r="K171" s="676"/>
      <c r="L171" s="676"/>
      <c r="M171" s="676"/>
      <c r="N171" s="676"/>
      <c r="O171" s="676"/>
      <c r="P171" s="697"/>
      <c r="Q171" s="677"/>
    </row>
    <row r="172" spans="1:17" ht="14.4" customHeight="1" x14ac:dyDescent="0.3">
      <c r="A172" s="672" t="s">
        <v>478</v>
      </c>
      <c r="B172" s="673" t="s">
        <v>2101</v>
      </c>
      <c r="C172" s="673" t="s">
        <v>2376</v>
      </c>
      <c r="D172" s="673" t="s">
        <v>2402</v>
      </c>
      <c r="E172" s="673" t="s">
        <v>2381</v>
      </c>
      <c r="F172" s="676"/>
      <c r="G172" s="676"/>
      <c r="H172" s="676"/>
      <c r="I172" s="676"/>
      <c r="J172" s="676"/>
      <c r="K172" s="676"/>
      <c r="L172" s="676"/>
      <c r="M172" s="676"/>
      <c r="N172" s="676">
        <v>1</v>
      </c>
      <c r="O172" s="676">
        <v>172.04</v>
      </c>
      <c r="P172" s="697"/>
      <c r="Q172" s="677">
        <v>172.04</v>
      </c>
    </row>
    <row r="173" spans="1:17" ht="14.4" customHeight="1" x14ac:dyDescent="0.3">
      <c r="A173" s="672" t="s">
        <v>478</v>
      </c>
      <c r="B173" s="673" t="s">
        <v>2101</v>
      </c>
      <c r="C173" s="673" t="s">
        <v>2376</v>
      </c>
      <c r="D173" s="673" t="s">
        <v>2403</v>
      </c>
      <c r="E173" s="673" t="s">
        <v>2404</v>
      </c>
      <c r="F173" s="676"/>
      <c r="G173" s="676"/>
      <c r="H173" s="676"/>
      <c r="I173" s="676"/>
      <c r="J173" s="676">
        <v>3</v>
      </c>
      <c r="K173" s="676">
        <v>7875.33</v>
      </c>
      <c r="L173" s="676">
        <v>1</v>
      </c>
      <c r="M173" s="676">
        <v>2625.11</v>
      </c>
      <c r="N173" s="676"/>
      <c r="O173" s="676"/>
      <c r="P173" s="697"/>
      <c r="Q173" s="677"/>
    </row>
    <row r="174" spans="1:17" ht="14.4" customHeight="1" x14ac:dyDescent="0.3">
      <c r="A174" s="672" t="s">
        <v>478</v>
      </c>
      <c r="B174" s="673" t="s">
        <v>2101</v>
      </c>
      <c r="C174" s="673" t="s">
        <v>2376</v>
      </c>
      <c r="D174" s="673" t="s">
        <v>2405</v>
      </c>
      <c r="E174" s="673" t="s">
        <v>2406</v>
      </c>
      <c r="F174" s="676"/>
      <c r="G174" s="676"/>
      <c r="H174" s="676"/>
      <c r="I174" s="676"/>
      <c r="J174" s="676">
        <v>2</v>
      </c>
      <c r="K174" s="676">
        <v>1448.84</v>
      </c>
      <c r="L174" s="676">
        <v>1</v>
      </c>
      <c r="M174" s="676">
        <v>724.42</v>
      </c>
      <c r="N174" s="676"/>
      <c r="O174" s="676"/>
      <c r="P174" s="697"/>
      <c r="Q174" s="677"/>
    </row>
    <row r="175" spans="1:17" ht="14.4" customHeight="1" x14ac:dyDescent="0.3">
      <c r="A175" s="672" t="s">
        <v>478</v>
      </c>
      <c r="B175" s="673" t="s">
        <v>2101</v>
      </c>
      <c r="C175" s="673" t="s">
        <v>2376</v>
      </c>
      <c r="D175" s="673" t="s">
        <v>2407</v>
      </c>
      <c r="E175" s="673" t="s">
        <v>2408</v>
      </c>
      <c r="F175" s="676"/>
      <c r="G175" s="676"/>
      <c r="H175" s="676"/>
      <c r="I175" s="676"/>
      <c r="J175" s="676">
        <v>1</v>
      </c>
      <c r="K175" s="676">
        <v>239.4</v>
      </c>
      <c r="L175" s="676">
        <v>1</v>
      </c>
      <c r="M175" s="676">
        <v>239.4</v>
      </c>
      <c r="N175" s="676"/>
      <c r="O175" s="676"/>
      <c r="P175" s="697"/>
      <c r="Q175" s="677"/>
    </row>
    <row r="176" spans="1:17" ht="14.4" customHeight="1" x14ac:dyDescent="0.3">
      <c r="A176" s="672" t="s">
        <v>478</v>
      </c>
      <c r="B176" s="673" t="s">
        <v>2101</v>
      </c>
      <c r="C176" s="673" t="s">
        <v>2376</v>
      </c>
      <c r="D176" s="673" t="s">
        <v>2409</v>
      </c>
      <c r="E176" s="673" t="s">
        <v>2410</v>
      </c>
      <c r="F176" s="676"/>
      <c r="G176" s="676"/>
      <c r="H176" s="676"/>
      <c r="I176" s="676"/>
      <c r="J176" s="676">
        <v>3</v>
      </c>
      <c r="K176" s="676">
        <v>4265.67</v>
      </c>
      <c r="L176" s="676">
        <v>1</v>
      </c>
      <c r="M176" s="676">
        <v>1421.89</v>
      </c>
      <c r="N176" s="676"/>
      <c r="O176" s="676"/>
      <c r="P176" s="697"/>
      <c r="Q176" s="677"/>
    </row>
    <row r="177" spans="1:17" ht="14.4" customHeight="1" x14ac:dyDescent="0.3">
      <c r="A177" s="672" t="s">
        <v>478</v>
      </c>
      <c r="B177" s="673" t="s">
        <v>2101</v>
      </c>
      <c r="C177" s="673" t="s">
        <v>2376</v>
      </c>
      <c r="D177" s="673" t="s">
        <v>2411</v>
      </c>
      <c r="E177" s="673" t="s">
        <v>2410</v>
      </c>
      <c r="F177" s="676"/>
      <c r="G177" s="676"/>
      <c r="H177" s="676"/>
      <c r="I177" s="676"/>
      <c r="J177" s="676">
        <v>5</v>
      </c>
      <c r="K177" s="676">
        <v>8280.5499999999993</v>
      </c>
      <c r="L177" s="676">
        <v>1</v>
      </c>
      <c r="M177" s="676">
        <v>1656.11</v>
      </c>
      <c r="N177" s="676"/>
      <c r="O177" s="676"/>
      <c r="P177" s="697"/>
      <c r="Q177" s="677"/>
    </row>
    <row r="178" spans="1:17" ht="14.4" customHeight="1" x14ac:dyDescent="0.3">
      <c r="A178" s="672" t="s">
        <v>478</v>
      </c>
      <c r="B178" s="673" t="s">
        <v>2101</v>
      </c>
      <c r="C178" s="673" t="s">
        <v>2376</v>
      </c>
      <c r="D178" s="673" t="s">
        <v>2412</v>
      </c>
      <c r="E178" s="673" t="s">
        <v>2413</v>
      </c>
      <c r="F178" s="676">
        <v>7</v>
      </c>
      <c r="G178" s="676">
        <v>13203.26</v>
      </c>
      <c r="H178" s="676"/>
      <c r="I178" s="676">
        <v>1886.18</v>
      </c>
      <c r="J178" s="676"/>
      <c r="K178" s="676"/>
      <c r="L178" s="676"/>
      <c r="M178" s="676"/>
      <c r="N178" s="676"/>
      <c r="O178" s="676"/>
      <c r="P178" s="697"/>
      <c r="Q178" s="677"/>
    </row>
    <row r="179" spans="1:17" ht="14.4" customHeight="1" x14ac:dyDescent="0.3">
      <c r="A179" s="672" t="s">
        <v>478</v>
      </c>
      <c r="B179" s="673" t="s">
        <v>2101</v>
      </c>
      <c r="C179" s="673" t="s">
        <v>2376</v>
      </c>
      <c r="D179" s="673" t="s">
        <v>2414</v>
      </c>
      <c r="E179" s="673" t="s">
        <v>2413</v>
      </c>
      <c r="F179" s="676">
        <v>2</v>
      </c>
      <c r="G179" s="676">
        <v>4068.76</v>
      </c>
      <c r="H179" s="676"/>
      <c r="I179" s="676">
        <v>2034.38</v>
      </c>
      <c r="J179" s="676"/>
      <c r="K179" s="676"/>
      <c r="L179" s="676"/>
      <c r="M179" s="676"/>
      <c r="N179" s="676"/>
      <c r="O179" s="676"/>
      <c r="P179" s="697"/>
      <c r="Q179" s="677"/>
    </row>
    <row r="180" spans="1:17" ht="14.4" customHeight="1" x14ac:dyDescent="0.3">
      <c r="A180" s="672" t="s">
        <v>478</v>
      </c>
      <c r="B180" s="673" t="s">
        <v>2101</v>
      </c>
      <c r="C180" s="673" t="s">
        <v>2376</v>
      </c>
      <c r="D180" s="673" t="s">
        <v>2415</v>
      </c>
      <c r="E180" s="673" t="s">
        <v>2413</v>
      </c>
      <c r="F180" s="676">
        <v>2</v>
      </c>
      <c r="G180" s="676">
        <v>4456.3599999999997</v>
      </c>
      <c r="H180" s="676"/>
      <c r="I180" s="676">
        <v>2228.1799999999998</v>
      </c>
      <c r="J180" s="676"/>
      <c r="K180" s="676"/>
      <c r="L180" s="676"/>
      <c r="M180" s="676"/>
      <c r="N180" s="676"/>
      <c r="O180" s="676"/>
      <c r="P180" s="697"/>
      <c r="Q180" s="677"/>
    </row>
    <row r="181" spans="1:17" ht="14.4" customHeight="1" x14ac:dyDescent="0.3">
      <c r="A181" s="672" t="s">
        <v>478</v>
      </c>
      <c r="B181" s="673" t="s">
        <v>2101</v>
      </c>
      <c r="C181" s="673" t="s">
        <v>2376</v>
      </c>
      <c r="D181" s="673" t="s">
        <v>2416</v>
      </c>
      <c r="E181" s="673" t="s">
        <v>2417</v>
      </c>
      <c r="F181" s="676"/>
      <c r="G181" s="676"/>
      <c r="H181" s="676"/>
      <c r="I181" s="676"/>
      <c r="J181" s="676">
        <v>3</v>
      </c>
      <c r="K181" s="676">
        <v>2367.87</v>
      </c>
      <c r="L181" s="676">
        <v>1</v>
      </c>
      <c r="M181" s="676">
        <v>789.29</v>
      </c>
      <c r="N181" s="676">
        <v>4</v>
      </c>
      <c r="O181" s="676">
        <v>3157.16</v>
      </c>
      <c r="P181" s="697">
        <v>1.3333333333333333</v>
      </c>
      <c r="Q181" s="677">
        <v>789.29</v>
      </c>
    </row>
    <row r="182" spans="1:17" ht="14.4" customHeight="1" x14ac:dyDescent="0.3">
      <c r="A182" s="672" t="s">
        <v>478</v>
      </c>
      <c r="B182" s="673" t="s">
        <v>2101</v>
      </c>
      <c r="C182" s="673" t="s">
        <v>2376</v>
      </c>
      <c r="D182" s="673" t="s">
        <v>2418</v>
      </c>
      <c r="E182" s="673" t="s">
        <v>2413</v>
      </c>
      <c r="F182" s="676">
        <v>8</v>
      </c>
      <c r="G182" s="676">
        <v>19831.84</v>
      </c>
      <c r="H182" s="676"/>
      <c r="I182" s="676">
        <v>2478.98</v>
      </c>
      <c r="J182" s="676"/>
      <c r="K182" s="676"/>
      <c r="L182" s="676"/>
      <c r="M182" s="676"/>
      <c r="N182" s="676"/>
      <c r="O182" s="676"/>
      <c r="P182" s="697"/>
      <c r="Q182" s="677"/>
    </row>
    <row r="183" spans="1:17" ht="14.4" customHeight="1" x14ac:dyDescent="0.3">
      <c r="A183" s="672" t="s">
        <v>478</v>
      </c>
      <c r="B183" s="673" t="s">
        <v>2101</v>
      </c>
      <c r="C183" s="673" t="s">
        <v>2376</v>
      </c>
      <c r="D183" s="673" t="s">
        <v>2419</v>
      </c>
      <c r="E183" s="673" t="s">
        <v>2420</v>
      </c>
      <c r="F183" s="676"/>
      <c r="G183" s="676"/>
      <c r="H183" s="676"/>
      <c r="I183" s="676"/>
      <c r="J183" s="676">
        <v>1</v>
      </c>
      <c r="K183" s="676">
        <v>8222.51</v>
      </c>
      <c r="L183" s="676">
        <v>1</v>
      </c>
      <c r="M183" s="676">
        <v>8222.51</v>
      </c>
      <c r="N183" s="676"/>
      <c r="O183" s="676"/>
      <c r="P183" s="697"/>
      <c r="Q183" s="677"/>
    </row>
    <row r="184" spans="1:17" ht="14.4" customHeight="1" x14ac:dyDescent="0.3">
      <c r="A184" s="672" t="s">
        <v>478</v>
      </c>
      <c r="B184" s="673" t="s">
        <v>2101</v>
      </c>
      <c r="C184" s="673" t="s">
        <v>2376</v>
      </c>
      <c r="D184" s="673" t="s">
        <v>2421</v>
      </c>
      <c r="E184" s="673" t="s">
        <v>2422</v>
      </c>
      <c r="F184" s="676">
        <v>1</v>
      </c>
      <c r="G184" s="676">
        <v>10628.95</v>
      </c>
      <c r="H184" s="676">
        <v>1</v>
      </c>
      <c r="I184" s="676">
        <v>10628.95</v>
      </c>
      <c r="J184" s="676">
        <v>1</v>
      </c>
      <c r="K184" s="676">
        <v>10628.95</v>
      </c>
      <c r="L184" s="676">
        <v>1</v>
      </c>
      <c r="M184" s="676">
        <v>10628.95</v>
      </c>
      <c r="N184" s="676"/>
      <c r="O184" s="676"/>
      <c r="P184" s="697"/>
      <c r="Q184" s="677"/>
    </row>
    <row r="185" spans="1:17" ht="14.4" customHeight="1" x14ac:dyDescent="0.3">
      <c r="A185" s="672" t="s">
        <v>478</v>
      </c>
      <c r="B185" s="673" t="s">
        <v>2101</v>
      </c>
      <c r="C185" s="673" t="s">
        <v>2376</v>
      </c>
      <c r="D185" s="673" t="s">
        <v>2423</v>
      </c>
      <c r="E185" s="673" t="s">
        <v>2424</v>
      </c>
      <c r="F185" s="676">
        <v>3</v>
      </c>
      <c r="G185" s="676">
        <v>3088.26</v>
      </c>
      <c r="H185" s="676">
        <v>0.75</v>
      </c>
      <c r="I185" s="676">
        <v>1029.42</v>
      </c>
      <c r="J185" s="676">
        <v>4</v>
      </c>
      <c r="K185" s="676">
        <v>4117.68</v>
      </c>
      <c r="L185" s="676">
        <v>1</v>
      </c>
      <c r="M185" s="676">
        <v>1029.42</v>
      </c>
      <c r="N185" s="676"/>
      <c r="O185" s="676"/>
      <c r="P185" s="697"/>
      <c r="Q185" s="677"/>
    </row>
    <row r="186" spans="1:17" ht="14.4" customHeight="1" x14ac:dyDescent="0.3">
      <c r="A186" s="672" t="s">
        <v>478</v>
      </c>
      <c r="B186" s="673" t="s">
        <v>2101</v>
      </c>
      <c r="C186" s="673" t="s">
        <v>2376</v>
      </c>
      <c r="D186" s="673" t="s">
        <v>2425</v>
      </c>
      <c r="E186" s="673" t="s">
        <v>2426</v>
      </c>
      <c r="F186" s="676"/>
      <c r="G186" s="676"/>
      <c r="H186" s="676"/>
      <c r="I186" s="676"/>
      <c r="J186" s="676"/>
      <c r="K186" s="676"/>
      <c r="L186" s="676"/>
      <c r="M186" s="676"/>
      <c r="N186" s="676">
        <v>2</v>
      </c>
      <c r="O186" s="676">
        <v>57900</v>
      </c>
      <c r="P186" s="697"/>
      <c r="Q186" s="677">
        <v>28950</v>
      </c>
    </row>
    <row r="187" spans="1:17" ht="14.4" customHeight="1" x14ac:dyDescent="0.3">
      <c r="A187" s="672" t="s">
        <v>478</v>
      </c>
      <c r="B187" s="673" t="s">
        <v>2101</v>
      </c>
      <c r="C187" s="673" t="s">
        <v>2376</v>
      </c>
      <c r="D187" s="673" t="s">
        <v>2427</v>
      </c>
      <c r="E187" s="673" t="s">
        <v>2428</v>
      </c>
      <c r="F187" s="676"/>
      <c r="G187" s="676"/>
      <c r="H187" s="676"/>
      <c r="I187" s="676"/>
      <c r="J187" s="676"/>
      <c r="K187" s="676"/>
      <c r="L187" s="676"/>
      <c r="M187" s="676"/>
      <c r="N187" s="676">
        <v>1</v>
      </c>
      <c r="O187" s="676">
        <v>595</v>
      </c>
      <c r="P187" s="697"/>
      <c r="Q187" s="677">
        <v>595</v>
      </c>
    </row>
    <row r="188" spans="1:17" ht="14.4" customHeight="1" x14ac:dyDescent="0.3">
      <c r="A188" s="672" t="s">
        <v>478</v>
      </c>
      <c r="B188" s="673" t="s">
        <v>2101</v>
      </c>
      <c r="C188" s="673" t="s">
        <v>2376</v>
      </c>
      <c r="D188" s="673" t="s">
        <v>2429</v>
      </c>
      <c r="E188" s="673" t="s">
        <v>2430</v>
      </c>
      <c r="F188" s="676"/>
      <c r="G188" s="676"/>
      <c r="H188" s="676"/>
      <c r="I188" s="676"/>
      <c r="J188" s="676">
        <v>2</v>
      </c>
      <c r="K188" s="676">
        <v>1803.28</v>
      </c>
      <c r="L188" s="676">
        <v>1</v>
      </c>
      <c r="M188" s="676">
        <v>901.64</v>
      </c>
      <c r="N188" s="676"/>
      <c r="O188" s="676"/>
      <c r="P188" s="697"/>
      <c r="Q188" s="677"/>
    </row>
    <row r="189" spans="1:17" ht="14.4" customHeight="1" x14ac:dyDescent="0.3">
      <c r="A189" s="672" t="s">
        <v>478</v>
      </c>
      <c r="B189" s="673" t="s">
        <v>2101</v>
      </c>
      <c r="C189" s="673" t="s">
        <v>2376</v>
      </c>
      <c r="D189" s="673" t="s">
        <v>2431</v>
      </c>
      <c r="E189" s="673" t="s">
        <v>2432</v>
      </c>
      <c r="F189" s="676"/>
      <c r="G189" s="676"/>
      <c r="H189" s="676"/>
      <c r="I189" s="676"/>
      <c r="J189" s="676"/>
      <c r="K189" s="676"/>
      <c r="L189" s="676"/>
      <c r="M189" s="676"/>
      <c r="N189" s="676">
        <v>1</v>
      </c>
      <c r="O189" s="676">
        <v>23608.2</v>
      </c>
      <c r="P189" s="697"/>
      <c r="Q189" s="677">
        <v>23608.2</v>
      </c>
    </row>
    <row r="190" spans="1:17" ht="14.4" customHeight="1" x14ac:dyDescent="0.3">
      <c r="A190" s="672" t="s">
        <v>478</v>
      </c>
      <c r="B190" s="673" t="s">
        <v>2101</v>
      </c>
      <c r="C190" s="673" t="s">
        <v>2376</v>
      </c>
      <c r="D190" s="673" t="s">
        <v>2433</v>
      </c>
      <c r="E190" s="673" t="s">
        <v>2434</v>
      </c>
      <c r="F190" s="676"/>
      <c r="G190" s="676"/>
      <c r="H190" s="676"/>
      <c r="I190" s="676"/>
      <c r="J190" s="676">
        <v>1</v>
      </c>
      <c r="K190" s="676">
        <v>408.74</v>
      </c>
      <c r="L190" s="676">
        <v>1</v>
      </c>
      <c r="M190" s="676">
        <v>408.74</v>
      </c>
      <c r="N190" s="676"/>
      <c r="O190" s="676"/>
      <c r="P190" s="697"/>
      <c r="Q190" s="677"/>
    </row>
    <row r="191" spans="1:17" ht="14.4" customHeight="1" x14ac:dyDescent="0.3">
      <c r="A191" s="672" t="s">
        <v>478</v>
      </c>
      <c r="B191" s="673" t="s">
        <v>2101</v>
      </c>
      <c r="C191" s="673" t="s">
        <v>2376</v>
      </c>
      <c r="D191" s="673" t="s">
        <v>2435</v>
      </c>
      <c r="E191" s="673" t="s">
        <v>2436</v>
      </c>
      <c r="F191" s="676"/>
      <c r="G191" s="676"/>
      <c r="H191" s="676"/>
      <c r="I191" s="676"/>
      <c r="J191" s="676">
        <v>2</v>
      </c>
      <c r="K191" s="676">
        <v>7428.44</v>
      </c>
      <c r="L191" s="676">
        <v>1</v>
      </c>
      <c r="M191" s="676">
        <v>3714.22</v>
      </c>
      <c r="N191" s="676"/>
      <c r="O191" s="676"/>
      <c r="P191" s="697"/>
      <c r="Q191" s="677"/>
    </row>
    <row r="192" spans="1:17" ht="14.4" customHeight="1" x14ac:dyDescent="0.3">
      <c r="A192" s="672" t="s">
        <v>478</v>
      </c>
      <c r="B192" s="673" t="s">
        <v>2101</v>
      </c>
      <c r="C192" s="673" t="s">
        <v>2376</v>
      </c>
      <c r="D192" s="673" t="s">
        <v>2437</v>
      </c>
      <c r="E192" s="673" t="s">
        <v>2438</v>
      </c>
      <c r="F192" s="676"/>
      <c r="G192" s="676"/>
      <c r="H192" s="676"/>
      <c r="I192" s="676"/>
      <c r="J192" s="676">
        <v>1</v>
      </c>
      <c r="K192" s="676">
        <v>10124.24</v>
      </c>
      <c r="L192" s="676">
        <v>1</v>
      </c>
      <c r="M192" s="676">
        <v>10124.24</v>
      </c>
      <c r="N192" s="676"/>
      <c r="O192" s="676"/>
      <c r="P192" s="697"/>
      <c r="Q192" s="677"/>
    </row>
    <row r="193" spans="1:17" ht="14.4" customHeight="1" x14ac:dyDescent="0.3">
      <c r="A193" s="672" t="s">
        <v>478</v>
      </c>
      <c r="B193" s="673" t="s">
        <v>2101</v>
      </c>
      <c r="C193" s="673" t="s">
        <v>2376</v>
      </c>
      <c r="D193" s="673" t="s">
        <v>2439</v>
      </c>
      <c r="E193" s="673" t="s">
        <v>2440</v>
      </c>
      <c r="F193" s="676"/>
      <c r="G193" s="676"/>
      <c r="H193" s="676"/>
      <c r="I193" s="676"/>
      <c r="J193" s="676"/>
      <c r="K193" s="676"/>
      <c r="L193" s="676"/>
      <c r="M193" s="676"/>
      <c r="N193" s="676">
        <v>1</v>
      </c>
      <c r="O193" s="676">
        <v>69228.990000000005</v>
      </c>
      <c r="P193" s="697"/>
      <c r="Q193" s="677">
        <v>69228.990000000005</v>
      </c>
    </row>
    <row r="194" spans="1:17" ht="14.4" customHeight="1" x14ac:dyDescent="0.3">
      <c r="A194" s="672" t="s">
        <v>478</v>
      </c>
      <c r="B194" s="673" t="s">
        <v>2101</v>
      </c>
      <c r="C194" s="673" t="s">
        <v>2376</v>
      </c>
      <c r="D194" s="673" t="s">
        <v>2441</v>
      </c>
      <c r="E194" s="673" t="s">
        <v>2442</v>
      </c>
      <c r="F194" s="676">
        <v>2</v>
      </c>
      <c r="G194" s="676">
        <v>1480</v>
      </c>
      <c r="H194" s="676"/>
      <c r="I194" s="676">
        <v>740</v>
      </c>
      <c r="J194" s="676"/>
      <c r="K194" s="676"/>
      <c r="L194" s="676"/>
      <c r="M194" s="676"/>
      <c r="N194" s="676"/>
      <c r="O194" s="676"/>
      <c r="P194" s="697"/>
      <c r="Q194" s="677"/>
    </row>
    <row r="195" spans="1:17" ht="14.4" customHeight="1" x14ac:dyDescent="0.3">
      <c r="A195" s="672" t="s">
        <v>478</v>
      </c>
      <c r="B195" s="673" t="s">
        <v>2101</v>
      </c>
      <c r="C195" s="673" t="s">
        <v>2376</v>
      </c>
      <c r="D195" s="673" t="s">
        <v>2443</v>
      </c>
      <c r="E195" s="673" t="s">
        <v>2444</v>
      </c>
      <c r="F195" s="676"/>
      <c r="G195" s="676"/>
      <c r="H195" s="676"/>
      <c r="I195" s="676"/>
      <c r="J195" s="676"/>
      <c r="K195" s="676"/>
      <c r="L195" s="676"/>
      <c r="M195" s="676"/>
      <c r="N195" s="676">
        <v>3</v>
      </c>
      <c r="O195" s="676">
        <v>5388</v>
      </c>
      <c r="P195" s="697"/>
      <c r="Q195" s="677">
        <v>1796</v>
      </c>
    </row>
    <row r="196" spans="1:17" ht="14.4" customHeight="1" x14ac:dyDescent="0.3">
      <c r="A196" s="672" t="s">
        <v>478</v>
      </c>
      <c r="B196" s="673" t="s">
        <v>2101</v>
      </c>
      <c r="C196" s="673" t="s">
        <v>2376</v>
      </c>
      <c r="D196" s="673" t="s">
        <v>2445</v>
      </c>
      <c r="E196" s="673" t="s">
        <v>2446</v>
      </c>
      <c r="F196" s="676">
        <v>1</v>
      </c>
      <c r="G196" s="676">
        <v>1796</v>
      </c>
      <c r="H196" s="676"/>
      <c r="I196" s="676">
        <v>1796</v>
      </c>
      <c r="J196" s="676"/>
      <c r="K196" s="676"/>
      <c r="L196" s="676"/>
      <c r="M196" s="676"/>
      <c r="N196" s="676">
        <v>3</v>
      </c>
      <c r="O196" s="676">
        <v>5388</v>
      </c>
      <c r="P196" s="697"/>
      <c r="Q196" s="677">
        <v>1796</v>
      </c>
    </row>
    <row r="197" spans="1:17" ht="14.4" customHeight="1" x14ac:dyDescent="0.3">
      <c r="A197" s="672" t="s">
        <v>478</v>
      </c>
      <c r="B197" s="673" t="s">
        <v>2101</v>
      </c>
      <c r="C197" s="673" t="s">
        <v>2376</v>
      </c>
      <c r="D197" s="673" t="s">
        <v>2447</v>
      </c>
      <c r="E197" s="673" t="s">
        <v>2448</v>
      </c>
      <c r="F197" s="676"/>
      <c r="G197" s="676"/>
      <c r="H197" s="676"/>
      <c r="I197" s="676"/>
      <c r="J197" s="676"/>
      <c r="K197" s="676"/>
      <c r="L197" s="676"/>
      <c r="M197" s="676"/>
      <c r="N197" s="676">
        <v>2</v>
      </c>
      <c r="O197" s="676">
        <v>4032</v>
      </c>
      <c r="P197" s="697"/>
      <c r="Q197" s="677">
        <v>2016</v>
      </c>
    </row>
    <row r="198" spans="1:17" ht="14.4" customHeight="1" x14ac:dyDescent="0.3">
      <c r="A198" s="672" t="s">
        <v>478</v>
      </c>
      <c r="B198" s="673" t="s">
        <v>2101</v>
      </c>
      <c r="C198" s="673" t="s">
        <v>2376</v>
      </c>
      <c r="D198" s="673" t="s">
        <v>2449</v>
      </c>
      <c r="E198" s="673" t="s">
        <v>2450</v>
      </c>
      <c r="F198" s="676"/>
      <c r="G198" s="676"/>
      <c r="H198" s="676"/>
      <c r="I198" s="676"/>
      <c r="J198" s="676"/>
      <c r="K198" s="676"/>
      <c r="L198" s="676"/>
      <c r="M198" s="676"/>
      <c r="N198" s="676">
        <v>1</v>
      </c>
      <c r="O198" s="676">
        <v>3501.87</v>
      </c>
      <c r="P198" s="697"/>
      <c r="Q198" s="677">
        <v>3501.87</v>
      </c>
    </row>
    <row r="199" spans="1:17" ht="14.4" customHeight="1" x14ac:dyDescent="0.3">
      <c r="A199" s="672" t="s">
        <v>478</v>
      </c>
      <c r="B199" s="673" t="s">
        <v>2101</v>
      </c>
      <c r="C199" s="673" t="s">
        <v>2376</v>
      </c>
      <c r="D199" s="673" t="s">
        <v>2451</v>
      </c>
      <c r="E199" s="673" t="s">
        <v>2452</v>
      </c>
      <c r="F199" s="676">
        <v>2</v>
      </c>
      <c r="G199" s="676">
        <v>2793</v>
      </c>
      <c r="H199" s="676">
        <v>2</v>
      </c>
      <c r="I199" s="676">
        <v>1396.5</v>
      </c>
      <c r="J199" s="676">
        <v>1</v>
      </c>
      <c r="K199" s="676">
        <v>1396.5</v>
      </c>
      <c r="L199" s="676">
        <v>1</v>
      </c>
      <c r="M199" s="676">
        <v>1396.5</v>
      </c>
      <c r="N199" s="676"/>
      <c r="O199" s="676"/>
      <c r="P199" s="697"/>
      <c r="Q199" s="677"/>
    </row>
    <row r="200" spans="1:17" ht="14.4" customHeight="1" x14ac:dyDescent="0.3">
      <c r="A200" s="672" t="s">
        <v>478</v>
      </c>
      <c r="B200" s="673" t="s">
        <v>2101</v>
      </c>
      <c r="C200" s="673" t="s">
        <v>2376</v>
      </c>
      <c r="D200" s="673" t="s">
        <v>2453</v>
      </c>
      <c r="E200" s="673" t="s">
        <v>2454</v>
      </c>
      <c r="F200" s="676">
        <v>3</v>
      </c>
      <c r="G200" s="676">
        <v>1669.5</v>
      </c>
      <c r="H200" s="676">
        <v>0.75</v>
      </c>
      <c r="I200" s="676">
        <v>556.5</v>
      </c>
      <c r="J200" s="676">
        <v>4</v>
      </c>
      <c r="K200" s="676">
        <v>2226</v>
      </c>
      <c r="L200" s="676">
        <v>1</v>
      </c>
      <c r="M200" s="676">
        <v>556.5</v>
      </c>
      <c r="N200" s="676">
        <v>9</v>
      </c>
      <c r="O200" s="676">
        <v>5008.5</v>
      </c>
      <c r="P200" s="697">
        <v>2.25</v>
      </c>
      <c r="Q200" s="677">
        <v>556.5</v>
      </c>
    </row>
    <row r="201" spans="1:17" ht="14.4" customHeight="1" x14ac:dyDescent="0.3">
      <c r="A201" s="672" t="s">
        <v>478</v>
      </c>
      <c r="B201" s="673" t="s">
        <v>2101</v>
      </c>
      <c r="C201" s="673" t="s">
        <v>2376</v>
      </c>
      <c r="D201" s="673" t="s">
        <v>2455</v>
      </c>
      <c r="E201" s="673" t="s">
        <v>2456</v>
      </c>
      <c r="F201" s="676"/>
      <c r="G201" s="676"/>
      <c r="H201" s="676"/>
      <c r="I201" s="676"/>
      <c r="J201" s="676">
        <v>1</v>
      </c>
      <c r="K201" s="676">
        <v>4735.3500000000004</v>
      </c>
      <c r="L201" s="676">
        <v>1</v>
      </c>
      <c r="M201" s="676">
        <v>4735.3500000000004</v>
      </c>
      <c r="N201" s="676"/>
      <c r="O201" s="676"/>
      <c r="P201" s="697"/>
      <c r="Q201" s="677"/>
    </row>
    <row r="202" spans="1:17" ht="14.4" customHeight="1" x14ac:dyDescent="0.3">
      <c r="A202" s="672" t="s">
        <v>478</v>
      </c>
      <c r="B202" s="673" t="s">
        <v>2101</v>
      </c>
      <c r="C202" s="673" t="s">
        <v>2376</v>
      </c>
      <c r="D202" s="673" t="s">
        <v>2457</v>
      </c>
      <c r="E202" s="673" t="s">
        <v>2458</v>
      </c>
      <c r="F202" s="676"/>
      <c r="G202" s="676"/>
      <c r="H202" s="676"/>
      <c r="I202" s="676"/>
      <c r="J202" s="676">
        <v>1</v>
      </c>
      <c r="K202" s="676">
        <v>7993.16</v>
      </c>
      <c r="L202" s="676">
        <v>1</v>
      </c>
      <c r="M202" s="676">
        <v>7993.16</v>
      </c>
      <c r="N202" s="676"/>
      <c r="O202" s="676"/>
      <c r="P202" s="697"/>
      <c r="Q202" s="677"/>
    </row>
    <row r="203" spans="1:17" ht="14.4" customHeight="1" x14ac:dyDescent="0.3">
      <c r="A203" s="672" t="s">
        <v>478</v>
      </c>
      <c r="B203" s="673" t="s">
        <v>2101</v>
      </c>
      <c r="C203" s="673" t="s">
        <v>2376</v>
      </c>
      <c r="D203" s="673" t="s">
        <v>2459</v>
      </c>
      <c r="E203" s="673" t="s">
        <v>2460</v>
      </c>
      <c r="F203" s="676"/>
      <c r="G203" s="676"/>
      <c r="H203" s="676"/>
      <c r="I203" s="676"/>
      <c r="J203" s="676">
        <v>1</v>
      </c>
      <c r="K203" s="676">
        <v>2866.27</v>
      </c>
      <c r="L203" s="676">
        <v>1</v>
      </c>
      <c r="M203" s="676">
        <v>2866.27</v>
      </c>
      <c r="N203" s="676"/>
      <c r="O203" s="676"/>
      <c r="P203" s="697"/>
      <c r="Q203" s="677"/>
    </row>
    <row r="204" spans="1:17" ht="14.4" customHeight="1" x14ac:dyDescent="0.3">
      <c r="A204" s="672" t="s">
        <v>478</v>
      </c>
      <c r="B204" s="673" t="s">
        <v>2101</v>
      </c>
      <c r="C204" s="673" t="s">
        <v>2376</v>
      </c>
      <c r="D204" s="673" t="s">
        <v>2461</v>
      </c>
      <c r="E204" s="673" t="s">
        <v>2462</v>
      </c>
      <c r="F204" s="676"/>
      <c r="G204" s="676"/>
      <c r="H204" s="676"/>
      <c r="I204" s="676"/>
      <c r="J204" s="676">
        <v>0.1</v>
      </c>
      <c r="K204" s="676">
        <v>177.31</v>
      </c>
      <c r="L204" s="676">
        <v>1</v>
      </c>
      <c r="M204" s="676">
        <v>1773.1</v>
      </c>
      <c r="N204" s="676"/>
      <c r="O204" s="676"/>
      <c r="P204" s="697"/>
      <c r="Q204" s="677"/>
    </row>
    <row r="205" spans="1:17" ht="14.4" customHeight="1" x14ac:dyDescent="0.3">
      <c r="A205" s="672" t="s">
        <v>478</v>
      </c>
      <c r="B205" s="673" t="s">
        <v>2101</v>
      </c>
      <c r="C205" s="673" t="s">
        <v>2376</v>
      </c>
      <c r="D205" s="673" t="s">
        <v>2463</v>
      </c>
      <c r="E205" s="673" t="s">
        <v>2464</v>
      </c>
      <c r="F205" s="676">
        <v>0.9</v>
      </c>
      <c r="G205" s="676">
        <v>226.83</v>
      </c>
      <c r="H205" s="676">
        <v>0.81820149334487613</v>
      </c>
      <c r="I205" s="676">
        <v>252.03333333333333</v>
      </c>
      <c r="J205" s="676">
        <v>1.1000000000000001</v>
      </c>
      <c r="K205" s="676">
        <v>277.23</v>
      </c>
      <c r="L205" s="676">
        <v>1</v>
      </c>
      <c r="M205" s="676">
        <v>252.02727272727273</v>
      </c>
      <c r="N205" s="676"/>
      <c r="O205" s="676"/>
      <c r="P205" s="697"/>
      <c r="Q205" s="677"/>
    </row>
    <row r="206" spans="1:17" ht="14.4" customHeight="1" x14ac:dyDescent="0.3">
      <c r="A206" s="672" t="s">
        <v>478</v>
      </c>
      <c r="B206" s="673" t="s">
        <v>2101</v>
      </c>
      <c r="C206" s="673" t="s">
        <v>2376</v>
      </c>
      <c r="D206" s="673" t="s">
        <v>2465</v>
      </c>
      <c r="E206" s="673" t="s">
        <v>2464</v>
      </c>
      <c r="F206" s="676"/>
      <c r="G206" s="676"/>
      <c r="H206" s="676"/>
      <c r="I206" s="676"/>
      <c r="J206" s="676">
        <v>1</v>
      </c>
      <c r="K206" s="676">
        <v>547.20000000000005</v>
      </c>
      <c r="L206" s="676">
        <v>1</v>
      </c>
      <c r="M206" s="676">
        <v>547.20000000000005</v>
      </c>
      <c r="N206" s="676"/>
      <c r="O206" s="676"/>
      <c r="P206" s="697"/>
      <c r="Q206" s="677"/>
    </row>
    <row r="207" spans="1:17" ht="14.4" customHeight="1" x14ac:dyDescent="0.3">
      <c r="A207" s="672" t="s">
        <v>478</v>
      </c>
      <c r="B207" s="673" t="s">
        <v>2101</v>
      </c>
      <c r="C207" s="673" t="s">
        <v>2376</v>
      </c>
      <c r="D207" s="673" t="s">
        <v>2466</v>
      </c>
      <c r="E207" s="673" t="s">
        <v>2464</v>
      </c>
      <c r="F207" s="676">
        <v>7</v>
      </c>
      <c r="G207" s="676">
        <v>12942.09</v>
      </c>
      <c r="H207" s="676">
        <v>0.63636363636363635</v>
      </c>
      <c r="I207" s="676">
        <v>1848.8700000000001</v>
      </c>
      <c r="J207" s="676">
        <v>11</v>
      </c>
      <c r="K207" s="676">
        <v>20337.57</v>
      </c>
      <c r="L207" s="676">
        <v>1</v>
      </c>
      <c r="M207" s="676">
        <v>1848.87</v>
      </c>
      <c r="N207" s="676"/>
      <c r="O207" s="676"/>
      <c r="P207" s="697"/>
      <c r="Q207" s="677"/>
    </row>
    <row r="208" spans="1:17" ht="14.4" customHeight="1" x14ac:dyDescent="0.3">
      <c r="A208" s="672" t="s">
        <v>478</v>
      </c>
      <c r="B208" s="673" t="s">
        <v>2101</v>
      </c>
      <c r="C208" s="673" t="s">
        <v>2376</v>
      </c>
      <c r="D208" s="673" t="s">
        <v>2467</v>
      </c>
      <c r="E208" s="673" t="s">
        <v>2468</v>
      </c>
      <c r="F208" s="676"/>
      <c r="G208" s="676"/>
      <c r="H208" s="676"/>
      <c r="I208" s="676"/>
      <c r="J208" s="676"/>
      <c r="K208" s="676"/>
      <c r="L208" s="676"/>
      <c r="M208" s="676"/>
      <c r="N208" s="676">
        <v>1</v>
      </c>
      <c r="O208" s="676">
        <v>1512.68</v>
      </c>
      <c r="P208" s="697"/>
      <c r="Q208" s="677">
        <v>1512.68</v>
      </c>
    </row>
    <row r="209" spans="1:17" ht="14.4" customHeight="1" x14ac:dyDescent="0.3">
      <c r="A209" s="672" t="s">
        <v>478</v>
      </c>
      <c r="B209" s="673" t="s">
        <v>2101</v>
      </c>
      <c r="C209" s="673" t="s">
        <v>2376</v>
      </c>
      <c r="D209" s="673" t="s">
        <v>2469</v>
      </c>
      <c r="E209" s="673" t="s">
        <v>2470</v>
      </c>
      <c r="F209" s="676"/>
      <c r="G209" s="676"/>
      <c r="H209" s="676"/>
      <c r="I209" s="676"/>
      <c r="J209" s="676"/>
      <c r="K209" s="676"/>
      <c r="L209" s="676"/>
      <c r="M209" s="676"/>
      <c r="N209" s="676">
        <v>1</v>
      </c>
      <c r="O209" s="676">
        <v>8491.4599999999991</v>
      </c>
      <c r="P209" s="697"/>
      <c r="Q209" s="677">
        <v>8491.4599999999991</v>
      </c>
    </row>
    <row r="210" spans="1:17" ht="14.4" customHeight="1" x14ac:dyDescent="0.3">
      <c r="A210" s="672" t="s">
        <v>478</v>
      </c>
      <c r="B210" s="673" t="s">
        <v>2101</v>
      </c>
      <c r="C210" s="673" t="s">
        <v>2376</v>
      </c>
      <c r="D210" s="673" t="s">
        <v>2471</v>
      </c>
      <c r="E210" s="673" t="s">
        <v>2472</v>
      </c>
      <c r="F210" s="676"/>
      <c r="G210" s="676"/>
      <c r="H210" s="676"/>
      <c r="I210" s="676"/>
      <c r="J210" s="676"/>
      <c r="K210" s="676"/>
      <c r="L210" s="676"/>
      <c r="M210" s="676"/>
      <c r="N210" s="676">
        <v>2</v>
      </c>
      <c r="O210" s="676">
        <v>5998.48</v>
      </c>
      <c r="P210" s="697"/>
      <c r="Q210" s="677">
        <v>2999.24</v>
      </c>
    </row>
    <row r="211" spans="1:17" ht="14.4" customHeight="1" x14ac:dyDescent="0.3">
      <c r="A211" s="672" t="s">
        <v>478</v>
      </c>
      <c r="B211" s="673" t="s">
        <v>2101</v>
      </c>
      <c r="C211" s="673" t="s">
        <v>2376</v>
      </c>
      <c r="D211" s="673" t="s">
        <v>2473</v>
      </c>
      <c r="E211" s="673" t="s">
        <v>2474</v>
      </c>
      <c r="F211" s="676">
        <v>6</v>
      </c>
      <c r="G211" s="676">
        <v>579.6</v>
      </c>
      <c r="H211" s="676">
        <v>1.2</v>
      </c>
      <c r="I211" s="676">
        <v>96.600000000000009</v>
      </c>
      <c r="J211" s="676">
        <v>5</v>
      </c>
      <c r="K211" s="676">
        <v>483</v>
      </c>
      <c r="L211" s="676">
        <v>1</v>
      </c>
      <c r="M211" s="676">
        <v>96.6</v>
      </c>
      <c r="N211" s="676">
        <v>20</v>
      </c>
      <c r="O211" s="676">
        <v>1932</v>
      </c>
      <c r="P211" s="697">
        <v>4</v>
      </c>
      <c r="Q211" s="677">
        <v>96.6</v>
      </c>
    </row>
    <row r="212" spans="1:17" ht="14.4" customHeight="1" x14ac:dyDescent="0.3">
      <c r="A212" s="672" t="s">
        <v>478</v>
      </c>
      <c r="B212" s="673" t="s">
        <v>2101</v>
      </c>
      <c r="C212" s="673" t="s">
        <v>2376</v>
      </c>
      <c r="D212" s="673" t="s">
        <v>2475</v>
      </c>
      <c r="E212" s="673" t="s">
        <v>2476</v>
      </c>
      <c r="F212" s="676"/>
      <c r="G212" s="676"/>
      <c r="H212" s="676"/>
      <c r="I212" s="676"/>
      <c r="J212" s="676"/>
      <c r="K212" s="676"/>
      <c r="L212" s="676"/>
      <c r="M212" s="676"/>
      <c r="N212" s="676">
        <v>1</v>
      </c>
      <c r="O212" s="676">
        <v>3278.02</v>
      </c>
      <c r="P212" s="697"/>
      <c r="Q212" s="677">
        <v>3278.02</v>
      </c>
    </row>
    <row r="213" spans="1:17" ht="14.4" customHeight="1" x14ac:dyDescent="0.3">
      <c r="A213" s="672" t="s">
        <v>478</v>
      </c>
      <c r="B213" s="673" t="s">
        <v>2101</v>
      </c>
      <c r="C213" s="673" t="s">
        <v>2376</v>
      </c>
      <c r="D213" s="673" t="s">
        <v>2477</v>
      </c>
      <c r="E213" s="673" t="s">
        <v>2478</v>
      </c>
      <c r="F213" s="676"/>
      <c r="G213" s="676"/>
      <c r="H213" s="676"/>
      <c r="I213" s="676"/>
      <c r="J213" s="676">
        <v>2</v>
      </c>
      <c r="K213" s="676">
        <v>27332.84</v>
      </c>
      <c r="L213" s="676">
        <v>1</v>
      </c>
      <c r="M213" s="676">
        <v>13666.42</v>
      </c>
      <c r="N213" s="676"/>
      <c r="O213" s="676"/>
      <c r="P213" s="697"/>
      <c r="Q213" s="677"/>
    </row>
    <row r="214" spans="1:17" ht="14.4" customHeight="1" x14ac:dyDescent="0.3">
      <c r="A214" s="672" t="s">
        <v>478</v>
      </c>
      <c r="B214" s="673" t="s">
        <v>2101</v>
      </c>
      <c r="C214" s="673" t="s">
        <v>2376</v>
      </c>
      <c r="D214" s="673" t="s">
        <v>2479</v>
      </c>
      <c r="E214" s="673" t="s">
        <v>2480</v>
      </c>
      <c r="F214" s="676"/>
      <c r="G214" s="676"/>
      <c r="H214" s="676"/>
      <c r="I214" s="676"/>
      <c r="J214" s="676">
        <v>1</v>
      </c>
      <c r="K214" s="676">
        <v>6755.23</v>
      </c>
      <c r="L214" s="676">
        <v>1</v>
      </c>
      <c r="M214" s="676">
        <v>6755.23</v>
      </c>
      <c r="N214" s="676"/>
      <c r="O214" s="676"/>
      <c r="P214" s="697"/>
      <c r="Q214" s="677"/>
    </row>
    <row r="215" spans="1:17" ht="14.4" customHeight="1" x14ac:dyDescent="0.3">
      <c r="A215" s="672" t="s">
        <v>478</v>
      </c>
      <c r="B215" s="673" t="s">
        <v>2101</v>
      </c>
      <c r="C215" s="673" t="s">
        <v>2376</v>
      </c>
      <c r="D215" s="673" t="s">
        <v>2481</v>
      </c>
      <c r="E215" s="673" t="s">
        <v>2482</v>
      </c>
      <c r="F215" s="676"/>
      <c r="G215" s="676"/>
      <c r="H215" s="676"/>
      <c r="I215" s="676"/>
      <c r="J215" s="676"/>
      <c r="K215" s="676"/>
      <c r="L215" s="676"/>
      <c r="M215" s="676"/>
      <c r="N215" s="676">
        <v>2</v>
      </c>
      <c r="O215" s="676">
        <v>437.34</v>
      </c>
      <c r="P215" s="697"/>
      <c r="Q215" s="677">
        <v>218.67</v>
      </c>
    </row>
    <row r="216" spans="1:17" ht="14.4" customHeight="1" x14ac:dyDescent="0.3">
      <c r="A216" s="672" t="s">
        <v>478</v>
      </c>
      <c r="B216" s="673" t="s">
        <v>2101</v>
      </c>
      <c r="C216" s="673" t="s">
        <v>2376</v>
      </c>
      <c r="D216" s="673" t="s">
        <v>2483</v>
      </c>
      <c r="E216" s="673" t="s">
        <v>2484</v>
      </c>
      <c r="F216" s="676"/>
      <c r="G216" s="676"/>
      <c r="H216" s="676"/>
      <c r="I216" s="676"/>
      <c r="J216" s="676">
        <v>2</v>
      </c>
      <c r="K216" s="676">
        <v>3566.96</v>
      </c>
      <c r="L216" s="676">
        <v>1</v>
      </c>
      <c r="M216" s="676">
        <v>1783.48</v>
      </c>
      <c r="N216" s="676"/>
      <c r="O216" s="676"/>
      <c r="P216" s="697"/>
      <c r="Q216" s="677"/>
    </row>
    <row r="217" spans="1:17" ht="14.4" customHeight="1" x14ac:dyDescent="0.3">
      <c r="A217" s="672" t="s">
        <v>478</v>
      </c>
      <c r="B217" s="673" t="s">
        <v>2101</v>
      </c>
      <c r="C217" s="673" t="s">
        <v>2376</v>
      </c>
      <c r="D217" s="673" t="s">
        <v>2485</v>
      </c>
      <c r="E217" s="673" t="s">
        <v>2486</v>
      </c>
      <c r="F217" s="676"/>
      <c r="G217" s="676"/>
      <c r="H217" s="676"/>
      <c r="I217" s="676"/>
      <c r="J217" s="676">
        <v>2</v>
      </c>
      <c r="K217" s="676">
        <v>478.8</v>
      </c>
      <c r="L217" s="676">
        <v>1</v>
      </c>
      <c r="M217" s="676">
        <v>239.4</v>
      </c>
      <c r="N217" s="676"/>
      <c r="O217" s="676"/>
      <c r="P217" s="697"/>
      <c r="Q217" s="677"/>
    </row>
    <row r="218" spans="1:17" ht="14.4" customHeight="1" x14ac:dyDescent="0.3">
      <c r="A218" s="672" t="s">
        <v>478</v>
      </c>
      <c r="B218" s="673" t="s">
        <v>2101</v>
      </c>
      <c r="C218" s="673" t="s">
        <v>2376</v>
      </c>
      <c r="D218" s="673" t="s">
        <v>2487</v>
      </c>
      <c r="E218" s="673" t="s">
        <v>2488</v>
      </c>
      <c r="F218" s="676"/>
      <c r="G218" s="676"/>
      <c r="H218" s="676"/>
      <c r="I218" s="676"/>
      <c r="J218" s="676">
        <v>2</v>
      </c>
      <c r="K218" s="676">
        <v>22676</v>
      </c>
      <c r="L218" s="676">
        <v>1</v>
      </c>
      <c r="M218" s="676">
        <v>11338</v>
      </c>
      <c r="N218" s="676"/>
      <c r="O218" s="676"/>
      <c r="P218" s="697"/>
      <c r="Q218" s="677"/>
    </row>
    <row r="219" spans="1:17" ht="14.4" customHeight="1" x14ac:dyDescent="0.3">
      <c r="A219" s="672" t="s">
        <v>478</v>
      </c>
      <c r="B219" s="673" t="s">
        <v>2101</v>
      </c>
      <c r="C219" s="673" t="s">
        <v>2376</v>
      </c>
      <c r="D219" s="673" t="s">
        <v>2489</v>
      </c>
      <c r="E219" s="673" t="s">
        <v>2490</v>
      </c>
      <c r="F219" s="676"/>
      <c r="G219" s="676"/>
      <c r="H219" s="676"/>
      <c r="I219" s="676"/>
      <c r="J219" s="676">
        <v>2</v>
      </c>
      <c r="K219" s="676">
        <v>9216</v>
      </c>
      <c r="L219" s="676">
        <v>1</v>
      </c>
      <c r="M219" s="676">
        <v>4608</v>
      </c>
      <c r="N219" s="676"/>
      <c r="O219" s="676"/>
      <c r="P219" s="697"/>
      <c r="Q219" s="677"/>
    </row>
    <row r="220" spans="1:17" ht="14.4" customHeight="1" x14ac:dyDescent="0.3">
      <c r="A220" s="672" t="s">
        <v>478</v>
      </c>
      <c r="B220" s="673" t="s">
        <v>2101</v>
      </c>
      <c r="C220" s="673" t="s">
        <v>2376</v>
      </c>
      <c r="D220" s="673" t="s">
        <v>2491</v>
      </c>
      <c r="E220" s="673" t="s">
        <v>2492</v>
      </c>
      <c r="F220" s="676"/>
      <c r="G220" s="676"/>
      <c r="H220" s="676"/>
      <c r="I220" s="676"/>
      <c r="J220" s="676">
        <v>2</v>
      </c>
      <c r="K220" s="676">
        <v>5414</v>
      </c>
      <c r="L220" s="676">
        <v>1</v>
      </c>
      <c r="M220" s="676">
        <v>2707</v>
      </c>
      <c r="N220" s="676"/>
      <c r="O220" s="676"/>
      <c r="P220" s="697"/>
      <c r="Q220" s="677"/>
    </row>
    <row r="221" spans="1:17" ht="14.4" customHeight="1" x14ac:dyDescent="0.3">
      <c r="A221" s="672" t="s">
        <v>478</v>
      </c>
      <c r="B221" s="673" t="s">
        <v>2101</v>
      </c>
      <c r="C221" s="673" t="s">
        <v>2376</v>
      </c>
      <c r="D221" s="673" t="s">
        <v>2493</v>
      </c>
      <c r="E221" s="673" t="s">
        <v>2494</v>
      </c>
      <c r="F221" s="676">
        <v>1</v>
      </c>
      <c r="G221" s="676">
        <v>1386.65</v>
      </c>
      <c r="H221" s="676">
        <v>1</v>
      </c>
      <c r="I221" s="676">
        <v>1386.65</v>
      </c>
      <c r="J221" s="676">
        <v>1</v>
      </c>
      <c r="K221" s="676">
        <v>1386.65</v>
      </c>
      <c r="L221" s="676">
        <v>1</v>
      </c>
      <c r="M221" s="676">
        <v>1386.65</v>
      </c>
      <c r="N221" s="676"/>
      <c r="O221" s="676"/>
      <c r="P221" s="697"/>
      <c r="Q221" s="677"/>
    </row>
    <row r="222" spans="1:17" ht="14.4" customHeight="1" x14ac:dyDescent="0.3">
      <c r="A222" s="672" t="s">
        <v>478</v>
      </c>
      <c r="B222" s="673" t="s">
        <v>2101</v>
      </c>
      <c r="C222" s="673" t="s">
        <v>2376</v>
      </c>
      <c r="D222" s="673" t="s">
        <v>2495</v>
      </c>
      <c r="E222" s="673" t="s">
        <v>2496</v>
      </c>
      <c r="F222" s="676">
        <v>1</v>
      </c>
      <c r="G222" s="676">
        <v>9139.69</v>
      </c>
      <c r="H222" s="676">
        <v>1</v>
      </c>
      <c r="I222" s="676">
        <v>9139.69</v>
      </c>
      <c r="J222" s="676">
        <v>1</v>
      </c>
      <c r="K222" s="676">
        <v>9139.69</v>
      </c>
      <c r="L222" s="676">
        <v>1</v>
      </c>
      <c r="M222" s="676">
        <v>9139.69</v>
      </c>
      <c r="N222" s="676"/>
      <c r="O222" s="676"/>
      <c r="P222" s="697"/>
      <c r="Q222" s="677"/>
    </row>
    <row r="223" spans="1:17" ht="14.4" customHeight="1" x14ac:dyDescent="0.3">
      <c r="A223" s="672" t="s">
        <v>478</v>
      </c>
      <c r="B223" s="673" t="s">
        <v>2101</v>
      </c>
      <c r="C223" s="673" t="s">
        <v>2376</v>
      </c>
      <c r="D223" s="673" t="s">
        <v>2497</v>
      </c>
      <c r="E223" s="673" t="s">
        <v>2498</v>
      </c>
      <c r="F223" s="676">
        <v>2</v>
      </c>
      <c r="G223" s="676">
        <v>4259.46</v>
      </c>
      <c r="H223" s="676"/>
      <c r="I223" s="676">
        <v>2129.73</v>
      </c>
      <c r="J223" s="676"/>
      <c r="K223" s="676"/>
      <c r="L223" s="676"/>
      <c r="M223" s="676"/>
      <c r="N223" s="676">
        <v>2</v>
      </c>
      <c r="O223" s="676">
        <v>4259.46</v>
      </c>
      <c r="P223" s="697"/>
      <c r="Q223" s="677">
        <v>2129.73</v>
      </c>
    </row>
    <row r="224" spans="1:17" ht="14.4" customHeight="1" x14ac:dyDescent="0.3">
      <c r="A224" s="672" t="s">
        <v>478</v>
      </c>
      <c r="B224" s="673" t="s">
        <v>2101</v>
      </c>
      <c r="C224" s="673" t="s">
        <v>2376</v>
      </c>
      <c r="D224" s="673" t="s">
        <v>2499</v>
      </c>
      <c r="E224" s="673" t="s">
        <v>2500</v>
      </c>
      <c r="F224" s="676"/>
      <c r="G224" s="676"/>
      <c r="H224" s="676"/>
      <c r="I224" s="676"/>
      <c r="J224" s="676"/>
      <c r="K224" s="676"/>
      <c r="L224" s="676"/>
      <c r="M224" s="676"/>
      <c r="N224" s="676">
        <v>12</v>
      </c>
      <c r="O224" s="676">
        <v>1877.88</v>
      </c>
      <c r="P224" s="697"/>
      <c r="Q224" s="677">
        <v>156.49</v>
      </c>
    </row>
    <row r="225" spans="1:17" ht="14.4" customHeight="1" x14ac:dyDescent="0.3">
      <c r="A225" s="672" t="s">
        <v>478</v>
      </c>
      <c r="B225" s="673" t="s">
        <v>2101</v>
      </c>
      <c r="C225" s="673" t="s">
        <v>2376</v>
      </c>
      <c r="D225" s="673" t="s">
        <v>2501</v>
      </c>
      <c r="E225" s="673" t="s">
        <v>2500</v>
      </c>
      <c r="F225" s="676"/>
      <c r="G225" s="676"/>
      <c r="H225" s="676"/>
      <c r="I225" s="676"/>
      <c r="J225" s="676"/>
      <c r="K225" s="676"/>
      <c r="L225" s="676"/>
      <c r="M225" s="676"/>
      <c r="N225" s="676">
        <v>14</v>
      </c>
      <c r="O225" s="676">
        <v>2408.56</v>
      </c>
      <c r="P225" s="697"/>
      <c r="Q225" s="677">
        <v>172.04</v>
      </c>
    </row>
    <row r="226" spans="1:17" ht="14.4" customHeight="1" x14ac:dyDescent="0.3">
      <c r="A226" s="672" t="s">
        <v>478</v>
      </c>
      <c r="B226" s="673" t="s">
        <v>2101</v>
      </c>
      <c r="C226" s="673" t="s">
        <v>2376</v>
      </c>
      <c r="D226" s="673" t="s">
        <v>2502</v>
      </c>
      <c r="E226" s="673" t="s">
        <v>2500</v>
      </c>
      <c r="F226" s="676"/>
      <c r="G226" s="676"/>
      <c r="H226" s="676"/>
      <c r="I226" s="676"/>
      <c r="J226" s="676"/>
      <c r="K226" s="676"/>
      <c r="L226" s="676"/>
      <c r="M226" s="676"/>
      <c r="N226" s="676">
        <v>34</v>
      </c>
      <c r="O226" s="676">
        <v>12755.44</v>
      </c>
      <c r="P226" s="697"/>
      <c r="Q226" s="677">
        <v>375.16</v>
      </c>
    </row>
    <row r="227" spans="1:17" ht="14.4" customHeight="1" x14ac:dyDescent="0.3">
      <c r="A227" s="672" t="s">
        <v>478</v>
      </c>
      <c r="B227" s="673" t="s">
        <v>2101</v>
      </c>
      <c r="C227" s="673" t="s">
        <v>2376</v>
      </c>
      <c r="D227" s="673" t="s">
        <v>2503</v>
      </c>
      <c r="E227" s="673" t="s">
        <v>2500</v>
      </c>
      <c r="F227" s="676"/>
      <c r="G227" s="676"/>
      <c r="H227" s="676"/>
      <c r="I227" s="676"/>
      <c r="J227" s="676"/>
      <c r="K227" s="676"/>
      <c r="L227" s="676"/>
      <c r="M227" s="676"/>
      <c r="N227" s="676">
        <v>14</v>
      </c>
      <c r="O227" s="676">
        <v>7515.76</v>
      </c>
      <c r="P227" s="697"/>
      <c r="Q227" s="677">
        <v>536.84</v>
      </c>
    </row>
    <row r="228" spans="1:17" ht="14.4" customHeight="1" x14ac:dyDescent="0.3">
      <c r="A228" s="672" t="s">
        <v>478</v>
      </c>
      <c r="B228" s="673" t="s">
        <v>2101</v>
      </c>
      <c r="C228" s="673" t="s">
        <v>2376</v>
      </c>
      <c r="D228" s="673" t="s">
        <v>2504</v>
      </c>
      <c r="E228" s="673" t="s">
        <v>2500</v>
      </c>
      <c r="F228" s="676"/>
      <c r="G228" s="676"/>
      <c r="H228" s="676"/>
      <c r="I228" s="676"/>
      <c r="J228" s="676"/>
      <c r="K228" s="676"/>
      <c r="L228" s="676"/>
      <c r="M228" s="676"/>
      <c r="N228" s="676">
        <v>14</v>
      </c>
      <c r="O228" s="676">
        <v>7269.08</v>
      </c>
      <c r="P228" s="697"/>
      <c r="Q228" s="677">
        <v>519.22</v>
      </c>
    </row>
    <row r="229" spans="1:17" ht="14.4" customHeight="1" x14ac:dyDescent="0.3">
      <c r="A229" s="672" t="s">
        <v>478</v>
      </c>
      <c r="B229" s="673" t="s">
        <v>2101</v>
      </c>
      <c r="C229" s="673" t="s">
        <v>2376</v>
      </c>
      <c r="D229" s="673" t="s">
        <v>2505</v>
      </c>
      <c r="E229" s="673" t="s">
        <v>2506</v>
      </c>
      <c r="F229" s="676"/>
      <c r="G229" s="676"/>
      <c r="H229" s="676"/>
      <c r="I229" s="676"/>
      <c r="J229" s="676"/>
      <c r="K229" s="676"/>
      <c r="L229" s="676"/>
      <c r="M229" s="676"/>
      <c r="N229" s="676">
        <v>1</v>
      </c>
      <c r="O229" s="676">
        <v>563</v>
      </c>
      <c r="P229" s="697"/>
      <c r="Q229" s="677">
        <v>563</v>
      </c>
    </row>
    <row r="230" spans="1:17" ht="14.4" customHeight="1" x14ac:dyDescent="0.3">
      <c r="A230" s="672" t="s">
        <v>478</v>
      </c>
      <c r="B230" s="673" t="s">
        <v>2101</v>
      </c>
      <c r="C230" s="673" t="s">
        <v>2376</v>
      </c>
      <c r="D230" s="673" t="s">
        <v>2507</v>
      </c>
      <c r="E230" s="673" t="s">
        <v>2508</v>
      </c>
      <c r="F230" s="676">
        <v>1</v>
      </c>
      <c r="G230" s="676">
        <v>15234.55</v>
      </c>
      <c r="H230" s="676"/>
      <c r="I230" s="676">
        <v>15234.55</v>
      </c>
      <c r="J230" s="676"/>
      <c r="K230" s="676"/>
      <c r="L230" s="676"/>
      <c r="M230" s="676"/>
      <c r="N230" s="676"/>
      <c r="O230" s="676"/>
      <c r="P230" s="697"/>
      <c r="Q230" s="677"/>
    </row>
    <row r="231" spans="1:17" ht="14.4" customHeight="1" x14ac:dyDescent="0.3">
      <c r="A231" s="672" t="s">
        <v>478</v>
      </c>
      <c r="B231" s="673" t="s">
        <v>2101</v>
      </c>
      <c r="C231" s="673" t="s">
        <v>2376</v>
      </c>
      <c r="D231" s="673" t="s">
        <v>2509</v>
      </c>
      <c r="E231" s="673" t="s">
        <v>2510</v>
      </c>
      <c r="F231" s="676">
        <v>1</v>
      </c>
      <c r="G231" s="676">
        <v>10188.49</v>
      </c>
      <c r="H231" s="676"/>
      <c r="I231" s="676">
        <v>10188.49</v>
      </c>
      <c r="J231" s="676"/>
      <c r="K231" s="676"/>
      <c r="L231" s="676"/>
      <c r="M231" s="676"/>
      <c r="N231" s="676"/>
      <c r="O231" s="676"/>
      <c r="P231" s="697"/>
      <c r="Q231" s="677"/>
    </row>
    <row r="232" spans="1:17" ht="14.4" customHeight="1" x14ac:dyDescent="0.3">
      <c r="A232" s="672" t="s">
        <v>478</v>
      </c>
      <c r="B232" s="673" t="s">
        <v>2101</v>
      </c>
      <c r="C232" s="673" t="s">
        <v>2376</v>
      </c>
      <c r="D232" s="673" t="s">
        <v>2511</v>
      </c>
      <c r="E232" s="673" t="s">
        <v>2442</v>
      </c>
      <c r="F232" s="676"/>
      <c r="G232" s="676"/>
      <c r="H232" s="676"/>
      <c r="I232" s="676"/>
      <c r="J232" s="676">
        <v>1</v>
      </c>
      <c r="K232" s="676">
        <v>1872.2</v>
      </c>
      <c r="L232" s="676">
        <v>1</v>
      </c>
      <c r="M232" s="676">
        <v>1872.2</v>
      </c>
      <c r="N232" s="676"/>
      <c r="O232" s="676"/>
      <c r="P232" s="697"/>
      <c r="Q232" s="677"/>
    </row>
    <row r="233" spans="1:17" ht="14.4" customHeight="1" x14ac:dyDescent="0.3">
      <c r="A233" s="672" t="s">
        <v>478</v>
      </c>
      <c r="B233" s="673" t="s">
        <v>2101</v>
      </c>
      <c r="C233" s="673" t="s">
        <v>2376</v>
      </c>
      <c r="D233" s="673" t="s">
        <v>2512</v>
      </c>
      <c r="E233" s="673" t="s">
        <v>2513</v>
      </c>
      <c r="F233" s="676"/>
      <c r="G233" s="676"/>
      <c r="H233" s="676"/>
      <c r="I233" s="676"/>
      <c r="J233" s="676"/>
      <c r="K233" s="676"/>
      <c r="L233" s="676"/>
      <c r="M233" s="676"/>
      <c r="N233" s="676">
        <v>11</v>
      </c>
      <c r="O233" s="676">
        <v>15731.980000000001</v>
      </c>
      <c r="P233" s="697"/>
      <c r="Q233" s="677">
        <v>1430.18</v>
      </c>
    </row>
    <row r="234" spans="1:17" ht="14.4" customHeight="1" x14ac:dyDescent="0.3">
      <c r="A234" s="672" t="s">
        <v>478</v>
      </c>
      <c r="B234" s="673" t="s">
        <v>2101</v>
      </c>
      <c r="C234" s="673" t="s">
        <v>2376</v>
      </c>
      <c r="D234" s="673" t="s">
        <v>2514</v>
      </c>
      <c r="E234" s="673" t="s">
        <v>2515</v>
      </c>
      <c r="F234" s="676"/>
      <c r="G234" s="676"/>
      <c r="H234" s="676"/>
      <c r="I234" s="676"/>
      <c r="J234" s="676">
        <v>1</v>
      </c>
      <c r="K234" s="676">
        <v>12468.8</v>
      </c>
      <c r="L234" s="676">
        <v>1</v>
      </c>
      <c r="M234" s="676">
        <v>12468.8</v>
      </c>
      <c r="N234" s="676"/>
      <c r="O234" s="676"/>
      <c r="P234" s="697"/>
      <c r="Q234" s="677"/>
    </row>
    <row r="235" spans="1:17" ht="14.4" customHeight="1" x14ac:dyDescent="0.3">
      <c r="A235" s="672" t="s">
        <v>478</v>
      </c>
      <c r="B235" s="673" t="s">
        <v>2101</v>
      </c>
      <c r="C235" s="673" t="s">
        <v>2376</v>
      </c>
      <c r="D235" s="673" t="s">
        <v>2516</v>
      </c>
      <c r="E235" s="673" t="s">
        <v>2517</v>
      </c>
      <c r="F235" s="676">
        <v>1</v>
      </c>
      <c r="G235" s="676">
        <v>1030</v>
      </c>
      <c r="H235" s="676"/>
      <c r="I235" s="676">
        <v>1030</v>
      </c>
      <c r="J235" s="676"/>
      <c r="K235" s="676"/>
      <c r="L235" s="676"/>
      <c r="M235" s="676"/>
      <c r="N235" s="676"/>
      <c r="O235" s="676"/>
      <c r="P235" s="697"/>
      <c r="Q235" s="677"/>
    </row>
    <row r="236" spans="1:17" ht="14.4" customHeight="1" x14ac:dyDescent="0.3">
      <c r="A236" s="672" t="s">
        <v>478</v>
      </c>
      <c r="B236" s="673" t="s">
        <v>2101</v>
      </c>
      <c r="C236" s="673" t="s">
        <v>2376</v>
      </c>
      <c r="D236" s="673" t="s">
        <v>2518</v>
      </c>
      <c r="E236" s="673" t="s">
        <v>2519</v>
      </c>
      <c r="F236" s="676">
        <v>1</v>
      </c>
      <c r="G236" s="676">
        <v>516</v>
      </c>
      <c r="H236" s="676"/>
      <c r="I236" s="676">
        <v>516</v>
      </c>
      <c r="J236" s="676"/>
      <c r="K236" s="676"/>
      <c r="L236" s="676"/>
      <c r="M236" s="676"/>
      <c r="N236" s="676"/>
      <c r="O236" s="676"/>
      <c r="P236" s="697"/>
      <c r="Q236" s="677"/>
    </row>
    <row r="237" spans="1:17" ht="14.4" customHeight="1" x14ac:dyDescent="0.3">
      <c r="A237" s="672" t="s">
        <v>478</v>
      </c>
      <c r="B237" s="673" t="s">
        <v>2101</v>
      </c>
      <c r="C237" s="673" t="s">
        <v>2376</v>
      </c>
      <c r="D237" s="673" t="s">
        <v>2520</v>
      </c>
      <c r="E237" s="673" t="s">
        <v>2521</v>
      </c>
      <c r="F237" s="676">
        <v>1</v>
      </c>
      <c r="G237" s="676">
        <v>412</v>
      </c>
      <c r="H237" s="676"/>
      <c r="I237" s="676">
        <v>412</v>
      </c>
      <c r="J237" s="676"/>
      <c r="K237" s="676"/>
      <c r="L237" s="676"/>
      <c r="M237" s="676"/>
      <c r="N237" s="676"/>
      <c r="O237" s="676"/>
      <c r="P237" s="697"/>
      <c r="Q237" s="677"/>
    </row>
    <row r="238" spans="1:17" ht="14.4" customHeight="1" x14ac:dyDescent="0.3">
      <c r="A238" s="672" t="s">
        <v>478</v>
      </c>
      <c r="B238" s="673" t="s">
        <v>2101</v>
      </c>
      <c r="C238" s="673" t="s">
        <v>2376</v>
      </c>
      <c r="D238" s="673" t="s">
        <v>2522</v>
      </c>
      <c r="E238" s="673" t="s">
        <v>2523</v>
      </c>
      <c r="F238" s="676">
        <v>1</v>
      </c>
      <c r="G238" s="676">
        <v>8454</v>
      </c>
      <c r="H238" s="676"/>
      <c r="I238" s="676">
        <v>8454</v>
      </c>
      <c r="J238" s="676"/>
      <c r="K238" s="676"/>
      <c r="L238" s="676"/>
      <c r="M238" s="676"/>
      <c r="N238" s="676"/>
      <c r="O238" s="676"/>
      <c r="P238" s="697"/>
      <c r="Q238" s="677"/>
    </row>
    <row r="239" spans="1:17" ht="14.4" customHeight="1" x14ac:dyDescent="0.3">
      <c r="A239" s="672" t="s">
        <v>478</v>
      </c>
      <c r="B239" s="673" t="s">
        <v>2101</v>
      </c>
      <c r="C239" s="673" t="s">
        <v>2376</v>
      </c>
      <c r="D239" s="673" t="s">
        <v>2524</v>
      </c>
      <c r="E239" s="673" t="s">
        <v>2525</v>
      </c>
      <c r="F239" s="676"/>
      <c r="G239" s="676"/>
      <c r="H239" s="676"/>
      <c r="I239" s="676"/>
      <c r="J239" s="676"/>
      <c r="K239" s="676"/>
      <c r="L239" s="676"/>
      <c r="M239" s="676"/>
      <c r="N239" s="676">
        <v>1</v>
      </c>
      <c r="O239" s="676">
        <v>1359.71</v>
      </c>
      <c r="P239" s="697"/>
      <c r="Q239" s="677">
        <v>1359.71</v>
      </c>
    </row>
    <row r="240" spans="1:17" ht="14.4" customHeight="1" x14ac:dyDescent="0.3">
      <c r="A240" s="672" t="s">
        <v>478</v>
      </c>
      <c r="B240" s="673" t="s">
        <v>2101</v>
      </c>
      <c r="C240" s="673" t="s">
        <v>2376</v>
      </c>
      <c r="D240" s="673" t="s">
        <v>2526</v>
      </c>
      <c r="E240" s="673" t="s">
        <v>2527</v>
      </c>
      <c r="F240" s="676"/>
      <c r="G240" s="676"/>
      <c r="H240" s="676"/>
      <c r="I240" s="676"/>
      <c r="J240" s="676"/>
      <c r="K240" s="676"/>
      <c r="L240" s="676"/>
      <c r="M240" s="676"/>
      <c r="N240" s="676">
        <v>2</v>
      </c>
      <c r="O240" s="676">
        <v>14180.56</v>
      </c>
      <c r="P240" s="697"/>
      <c r="Q240" s="677">
        <v>7090.28</v>
      </c>
    </row>
    <row r="241" spans="1:17" ht="14.4" customHeight="1" x14ac:dyDescent="0.3">
      <c r="A241" s="672" t="s">
        <v>478</v>
      </c>
      <c r="B241" s="673" t="s">
        <v>2101</v>
      </c>
      <c r="C241" s="673" t="s">
        <v>2376</v>
      </c>
      <c r="D241" s="673" t="s">
        <v>2528</v>
      </c>
      <c r="E241" s="673" t="s">
        <v>2529</v>
      </c>
      <c r="F241" s="676"/>
      <c r="G241" s="676"/>
      <c r="H241" s="676"/>
      <c r="I241" s="676"/>
      <c r="J241" s="676">
        <v>2</v>
      </c>
      <c r="K241" s="676">
        <v>2151.5</v>
      </c>
      <c r="L241" s="676">
        <v>1</v>
      </c>
      <c r="M241" s="676">
        <v>1075.75</v>
      </c>
      <c r="N241" s="676">
        <v>2</v>
      </c>
      <c r="O241" s="676">
        <v>2151.5</v>
      </c>
      <c r="P241" s="697">
        <v>1</v>
      </c>
      <c r="Q241" s="677">
        <v>1075.75</v>
      </c>
    </row>
    <row r="242" spans="1:17" ht="14.4" customHeight="1" x14ac:dyDescent="0.3">
      <c r="A242" s="672" t="s">
        <v>478</v>
      </c>
      <c r="B242" s="673" t="s">
        <v>2101</v>
      </c>
      <c r="C242" s="673" t="s">
        <v>2376</v>
      </c>
      <c r="D242" s="673" t="s">
        <v>2530</v>
      </c>
      <c r="E242" s="673" t="s">
        <v>2531</v>
      </c>
      <c r="F242" s="676"/>
      <c r="G242" s="676"/>
      <c r="H242" s="676"/>
      <c r="I242" s="676"/>
      <c r="J242" s="676">
        <v>2</v>
      </c>
      <c r="K242" s="676">
        <v>1528.8</v>
      </c>
      <c r="L242" s="676">
        <v>1</v>
      </c>
      <c r="M242" s="676">
        <v>764.4</v>
      </c>
      <c r="N242" s="676">
        <v>2</v>
      </c>
      <c r="O242" s="676">
        <v>1528.8</v>
      </c>
      <c r="P242" s="697">
        <v>1</v>
      </c>
      <c r="Q242" s="677">
        <v>764.4</v>
      </c>
    </row>
    <row r="243" spans="1:17" ht="14.4" customHeight="1" x14ac:dyDescent="0.3">
      <c r="A243" s="672" t="s">
        <v>478</v>
      </c>
      <c r="B243" s="673" t="s">
        <v>2101</v>
      </c>
      <c r="C243" s="673" t="s">
        <v>2376</v>
      </c>
      <c r="D243" s="673" t="s">
        <v>2532</v>
      </c>
      <c r="E243" s="673" t="s">
        <v>2533</v>
      </c>
      <c r="F243" s="676"/>
      <c r="G243" s="676"/>
      <c r="H243" s="676"/>
      <c r="I243" s="676"/>
      <c r="J243" s="676"/>
      <c r="K243" s="676"/>
      <c r="L243" s="676"/>
      <c r="M243" s="676"/>
      <c r="N243" s="676">
        <v>12</v>
      </c>
      <c r="O243" s="676">
        <v>19400.759999999998</v>
      </c>
      <c r="P243" s="697"/>
      <c r="Q243" s="677">
        <v>1616.7299999999998</v>
      </c>
    </row>
    <row r="244" spans="1:17" ht="14.4" customHeight="1" x14ac:dyDescent="0.3">
      <c r="A244" s="672" t="s">
        <v>478</v>
      </c>
      <c r="B244" s="673" t="s">
        <v>2101</v>
      </c>
      <c r="C244" s="673" t="s">
        <v>2376</v>
      </c>
      <c r="D244" s="673" t="s">
        <v>2534</v>
      </c>
      <c r="E244" s="673" t="s">
        <v>2535</v>
      </c>
      <c r="F244" s="676"/>
      <c r="G244" s="676"/>
      <c r="H244" s="676"/>
      <c r="I244" s="676"/>
      <c r="J244" s="676"/>
      <c r="K244" s="676"/>
      <c r="L244" s="676"/>
      <c r="M244" s="676"/>
      <c r="N244" s="676">
        <v>1</v>
      </c>
      <c r="O244" s="676">
        <v>248.73</v>
      </c>
      <c r="P244" s="697"/>
      <c r="Q244" s="677">
        <v>248.73</v>
      </c>
    </row>
    <row r="245" spans="1:17" ht="14.4" customHeight="1" x14ac:dyDescent="0.3">
      <c r="A245" s="672" t="s">
        <v>478</v>
      </c>
      <c r="B245" s="673" t="s">
        <v>2101</v>
      </c>
      <c r="C245" s="673" t="s">
        <v>2376</v>
      </c>
      <c r="D245" s="673" t="s">
        <v>2536</v>
      </c>
      <c r="E245" s="673" t="s">
        <v>2428</v>
      </c>
      <c r="F245" s="676"/>
      <c r="G245" s="676"/>
      <c r="H245" s="676"/>
      <c r="I245" s="676"/>
      <c r="J245" s="676"/>
      <c r="K245" s="676"/>
      <c r="L245" s="676"/>
      <c r="M245" s="676"/>
      <c r="N245" s="676">
        <v>1</v>
      </c>
      <c r="O245" s="676">
        <v>19400.72</v>
      </c>
      <c r="P245" s="697"/>
      <c r="Q245" s="677">
        <v>19400.72</v>
      </c>
    </row>
    <row r="246" spans="1:17" ht="14.4" customHeight="1" x14ac:dyDescent="0.3">
      <c r="A246" s="672" t="s">
        <v>478</v>
      </c>
      <c r="B246" s="673" t="s">
        <v>2101</v>
      </c>
      <c r="C246" s="673" t="s">
        <v>2376</v>
      </c>
      <c r="D246" s="673" t="s">
        <v>2537</v>
      </c>
      <c r="E246" s="673" t="s">
        <v>2538</v>
      </c>
      <c r="F246" s="676"/>
      <c r="G246" s="676"/>
      <c r="H246" s="676"/>
      <c r="I246" s="676"/>
      <c r="J246" s="676">
        <v>0.89999999999999991</v>
      </c>
      <c r="K246" s="676">
        <v>60.3</v>
      </c>
      <c r="L246" s="676">
        <v>1</v>
      </c>
      <c r="M246" s="676">
        <v>67</v>
      </c>
      <c r="N246" s="676"/>
      <c r="O246" s="676"/>
      <c r="P246" s="697"/>
      <c r="Q246" s="677"/>
    </row>
    <row r="247" spans="1:17" ht="14.4" customHeight="1" x14ac:dyDescent="0.3">
      <c r="A247" s="672" t="s">
        <v>478</v>
      </c>
      <c r="B247" s="673" t="s">
        <v>2101</v>
      </c>
      <c r="C247" s="673" t="s">
        <v>2102</v>
      </c>
      <c r="D247" s="673" t="s">
        <v>2539</v>
      </c>
      <c r="E247" s="673" t="s">
        <v>2540</v>
      </c>
      <c r="F247" s="676">
        <v>477</v>
      </c>
      <c r="G247" s="676">
        <v>5674869</v>
      </c>
      <c r="H247" s="676">
        <v>0.71087928464977646</v>
      </c>
      <c r="I247" s="676">
        <v>11897</v>
      </c>
      <c r="J247" s="676">
        <v>671</v>
      </c>
      <c r="K247" s="676">
        <v>7982887</v>
      </c>
      <c r="L247" s="676">
        <v>1</v>
      </c>
      <c r="M247" s="676">
        <v>11897</v>
      </c>
      <c r="N247" s="676">
        <v>865</v>
      </c>
      <c r="O247" s="676">
        <v>10290905</v>
      </c>
      <c r="P247" s="697">
        <v>1.2891207153502235</v>
      </c>
      <c r="Q247" s="677">
        <v>11897</v>
      </c>
    </row>
    <row r="248" spans="1:17" ht="14.4" customHeight="1" x14ac:dyDescent="0.3">
      <c r="A248" s="672" t="s">
        <v>478</v>
      </c>
      <c r="B248" s="673" t="s">
        <v>2101</v>
      </c>
      <c r="C248" s="673" t="s">
        <v>2102</v>
      </c>
      <c r="D248" s="673" t="s">
        <v>2541</v>
      </c>
      <c r="E248" s="673" t="s">
        <v>2542</v>
      </c>
      <c r="F248" s="676"/>
      <c r="G248" s="676"/>
      <c r="H248" s="676"/>
      <c r="I248" s="676"/>
      <c r="J248" s="676">
        <v>7</v>
      </c>
      <c r="K248" s="676">
        <v>3045</v>
      </c>
      <c r="L248" s="676">
        <v>1</v>
      </c>
      <c r="M248" s="676">
        <v>435</v>
      </c>
      <c r="N248" s="676"/>
      <c r="O248" s="676"/>
      <c r="P248" s="697"/>
      <c r="Q248" s="677"/>
    </row>
    <row r="249" spans="1:17" ht="14.4" customHeight="1" x14ac:dyDescent="0.3">
      <c r="A249" s="672" t="s">
        <v>478</v>
      </c>
      <c r="B249" s="673" t="s">
        <v>2101</v>
      </c>
      <c r="C249" s="673" t="s">
        <v>2102</v>
      </c>
      <c r="D249" s="673" t="s">
        <v>2543</v>
      </c>
      <c r="E249" s="673" t="s">
        <v>2544</v>
      </c>
      <c r="F249" s="676">
        <v>226</v>
      </c>
      <c r="G249" s="676">
        <v>86784</v>
      </c>
      <c r="H249" s="676">
        <v>0.5591032083494395</v>
      </c>
      <c r="I249" s="676">
        <v>384</v>
      </c>
      <c r="J249" s="676">
        <v>398</v>
      </c>
      <c r="K249" s="676">
        <v>155220</v>
      </c>
      <c r="L249" s="676">
        <v>1</v>
      </c>
      <c r="M249" s="676">
        <v>390</v>
      </c>
      <c r="N249" s="676">
        <v>614</v>
      </c>
      <c r="O249" s="676">
        <v>239460</v>
      </c>
      <c r="P249" s="697">
        <v>1.5427135678391959</v>
      </c>
      <c r="Q249" s="677">
        <v>390</v>
      </c>
    </row>
    <row r="250" spans="1:17" ht="14.4" customHeight="1" x14ac:dyDescent="0.3">
      <c r="A250" s="672" t="s">
        <v>478</v>
      </c>
      <c r="B250" s="673" t="s">
        <v>2101</v>
      </c>
      <c r="C250" s="673" t="s">
        <v>2102</v>
      </c>
      <c r="D250" s="673" t="s">
        <v>2545</v>
      </c>
      <c r="E250" s="673" t="s">
        <v>2546</v>
      </c>
      <c r="F250" s="676">
        <v>280</v>
      </c>
      <c r="G250" s="676">
        <v>65800</v>
      </c>
      <c r="H250" s="676">
        <v>0.84838638971621605</v>
      </c>
      <c r="I250" s="676">
        <v>235</v>
      </c>
      <c r="J250" s="676">
        <v>309</v>
      </c>
      <c r="K250" s="676">
        <v>77559</v>
      </c>
      <c r="L250" s="676">
        <v>1</v>
      </c>
      <c r="M250" s="676">
        <v>251</v>
      </c>
      <c r="N250" s="676">
        <v>263</v>
      </c>
      <c r="O250" s="676">
        <v>66013</v>
      </c>
      <c r="P250" s="697">
        <v>0.85113268608414239</v>
      </c>
      <c r="Q250" s="677">
        <v>251</v>
      </c>
    </row>
    <row r="251" spans="1:17" ht="14.4" customHeight="1" x14ac:dyDescent="0.3">
      <c r="A251" s="672" t="s">
        <v>478</v>
      </c>
      <c r="B251" s="673" t="s">
        <v>2101</v>
      </c>
      <c r="C251" s="673" t="s">
        <v>2102</v>
      </c>
      <c r="D251" s="673" t="s">
        <v>2547</v>
      </c>
      <c r="E251" s="673" t="s">
        <v>2548</v>
      </c>
      <c r="F251" s="676">
        <v>0</v>
      </c>
      <c r="G251" s="676">
        <v>0</v>
      </c>
      <c r="H251" s="676"/>
      <c r="I251" s="676"/>
      <c r="J251" s="676">
        <v>0</v>
      </c>
      <c r="K251" s="676">
        <v>0</v>
      </c>
      <c r="L251" s="676"/>
      <c r="M251" s="676"/>
      <c r="N251" s="676">
        <v>0</v>
      </c>
      <c r="O251" s="676">
        <v>0</v>
      </c>
      <c r="P251" s="697"/>
      <c r="Q251" s="677"/>
    </row>
    <row r="252" spans="1:17" ht="14.4" customHeight="1" x14ac:dyDescent="0.3">
      <c r="A252" s="672" t="s">
        <v>478</v>
      </c>
      <c r="B252" s="673" t="s">
        <v>2101</v>
      </c>
      <c r="C252" s="673" t="s">
        <v>2102</v>
      </c>
      <c r="D252" s="673" t="s">
        <v>2549</v>
      </c>
      <c r="E252" s="673" t="s">
        <v>2550</v>
      </c>
      <c r="F252" s="676">
        <v>170</v>
      </c>
      <c r="G252" s="676">
        <v>0</v>
      </c>
      <c r="H252" s="676"/>
      <c r="I252" s="676">
        <v>0</v>
      </c>
      <c r="J252" s="676">
        <v>288</v>
      </c>
      <c r="K252" s="676">
        <v>0</v>
      </c>
      <c r="L252" s="676"/>
      <c r="M252" s="676">
        <v>0</v>
      </c>
      <c r="N252" s="676">
        <v>417</v>
      </c>
      <c r="O252" s="676">
        <v>0</v>
      </c>
      <c r="P252" s="697"/>
      <c r="Q252" s="677">
        <v>0</v>
      </c>
    </row>
    <row r="253" spans="1:17" ht="14.4" customHeight="1" x14ac:dyDescent="0.3">
      <c r="A253" s="672" t="s">
        <v>478</v>
      </c>
      <c r="B253" s="673" t="s">
        <v>2101</v>
      </c>
      <c r="C253" s="673" t="s">
        <v>2102</v>
      </c>
      <c r="D253" s="673" t="s">
        <v>2551</v>
      </c>
      <c r="E253" s="673" t="s">
        <v>2552</v>
      </c>
      <c r="F253" s="676">
        <v>65</v>
      </c>
      <c r="G253" s="676">
        <v>0</v>
      </c>
      <c r="H253" s="676"/>
      <c r="I253" s="676">
        <v>0</v>
      </c>
      <c r="J253" s="676">
        <v>65</v>
      </c>
      <c r="K253" s="676">
        <v>0</v>
      </c>
      <c r="L253" s="676"/>
      <c r="M253" s="676">
        <v>0</v>
      </c>
      <c r="N253" s="676">
        <v>59</v>
      </c>
      <c r="O253" s="676">
        <v>0</v>
      </c>
      <c r="P253" s="697"/>
      <c r="Q253" s="677">
        <v>0</v>
      </c>
    </row>
    <row r="254" spans="1:17" ht="14.4" customHeight="1" x14ac:dyDescent="0.3">
      <c r="A254" s="672" t="s">
        <v>478</v>
      </c>
      <c r="B254" s="673" t="s">
        <v>2101</v>
      </c>
      <c r="C254" s="673" t="s">
        <v>2102</v>
      </c>
      <c r="D254" s="673" t="s">
        <v>2553</v>
      </c>
      <c r="E254" s="673" t="s">
        <v>2554</v>
      </c>
      <c r="F254" s="676">
        <v>14</v>
      </c>
      <c r="G254" s="676">
        <v>0</v>
      </c>
      <c r="H254" s="676"/>
      <c r="I254" s="676">
        <v>0</v>
      </c>
      <c r="J254" s="676">
        <v>25</v>
      </c>
      <c r="K254" s="676">
        <v>0</v>
      </c>
      <c r="L254" s="676"/>
      <c r="M254" s="676">
        <v>0</v>
      </c>
      <c r="N254" s="676">
        <v>22</v>
      </c>
      <c r="O254" s="676">
        <v>0</v>
      </c>
      <c r="P254" s="697"/>
      <c r="Q254" s="677">
        <v>0</v>
      </c>
    </row>
    <row r="255" spans="1:17" ht="14.4" customHeight="1" x14ac:dyDescent="0.3">
      <c r="A255" s="672" t="s">
        <v>478</v>
      </c>
      <c r="B255" s="673" t="s">
        <v>2101</v>
      </c>
      <c r="C255" s="673" t="s">
        <v>2102</v>
      </c>
      <c r="D255" s="673" t="s">
        <v>2555</v>
      </c>
      <c r="E255" s="673" t="s">
        <v>2556</v>
      </c>
      <c r="F255" s="676">
        <v>1</v>
      </c>
      <c r="G255" s="676">
        <v>0</v>
      </c>
      <c r="H255" s="676"/>
      <c r="I255" s="676">
        <v>0</v>
      </c>
      <c r="J255" s="676">
        <v>3</v>
      </c>
      <c r="K255" s="676">
        <v>0</v>
      </c>
      <c r="L255" s="676"/>
      <c r="M255" s="676">
        <v>0</v>
      </c>
      <c r="N255" s="676">
        <v>1</v>
      </c>
      <c r="O255" s="676">
        <v>0</v>
      </c>
      <c r="P255" s="697"/>
      <c r="Q255" s="677">
        <v>0</v>
      </c>
    </row>
    <row r="256" spans="1:17" ht="14.4" customHeight="1" x14ac:dyDescent="0.3">
      <c r="A256" s="672" t="s">
        <v>478</v>
      </c>
      <c r="B256" s="673" t="s">
        <v>2101</v>
      </c>
      <c r="C256" s="673" t="s">
        <v>2102</v>
      </c>
      <c r="D256" s="673" t="s">
        <v>2557</v>
      </c>
      <c r="E256" s="673" t="s">
        <v>2554</v>
      </c>
      <c r="F256" s="676">
        <v>7</v>
      </c>
      <c r="G256" s="676">
        <v>0</v>
      </c>
      <c r="H256" s="676"/>
      <c r="I256" s="676">
        <v>0</v>
      </c>
      <c r="J256" s="676">
        <v>12</v>
      </c>
      <c r="K256" s="676">
        <v>0</v>
      </c>
      <c r="L256" s="676"/>
      <c r="M256" s="676">
        <v>0</v>
      </c>
      <c r="N256" s="676">
        <v>18</v>
      </c>
      <c r="O256" s="676">
        <v>0</v>
      </c>
      <c r="P256" s="697"/>
      <c r="Q256" s="677">
        <v>0</v>
      </c>
    </row>
    <row r="257" spans="1:17" ht="14.4" customHeight="1" x14ac:dyDescent="0.3">
      <c r="A257" s="672" t="s">
        <v>478</v>
      </c>
      <c r="B257" s="673" t="s">
        <v>2101</v>
      </c>
      <c r="C257" s="673" t="s">
        <v>2102</v>
      </c>
      <c r="D257" s="673" t="s">
        <v>2558</v>
      </c>
      <c r="E257" s="673" t="s">
        <v>2559</v>
      </c>
      <c r="F257" s="676">
        <v>11</v>
      </c>
      <c r="G257" s="676">
        <v>60236</v>
      </c>
      <c r="H257" s="676">
        <v>1.375</v>
      </c>
      <c r="I257" s="676">
        <v>5476</v>
      </c>
      <c r="J257" s="676">
        <v>8</v>
      </c>
      <c r="K257" s="676">
        <v>43808</v>
      </c>
      <c r="L257" s="676">
        <v>1</v>
      </c>
      <c r="M257" s="676">
        <v>5476</v>
      </c>
      <c r="N257" s="676">
        <v>13</v>
      </c>
      <c r="O257" s="676">
        <v>71188</v>
      </c>
      <c r="P257" s="697">
        <v>1.625</v>
      </c>
      <c r="Q257" s="677">
        <v>5476</v>
      </c>
    </row>
    <row r="258" spans="1:17" ht="14.4" customHeight="1" x14ac:dyDescent="0.3">
      <c r="A258" s="672" t="s">
        <v>478</v>
      </c>
      <c r="B258" s="673" t="s">
        <v>2101</v>
      </c>
      <c r="C258" s="673" t="s">
        <v>2102</v>
      </c>
      <c r="D258" s="673" t="s">
        <v>2560</v>
      </c>
      <c r="E258" s="673" t="s">
        <v>2561</v>
      </c>
      <c r="F258" s="676">
        <v>23</v>
      </c>
      <c r="G258" s="676">
        <v>551218</v>
      </c>
      <c r="H258" s="676">
        <v>0.71875</v>
      </c>
      <c r="I258" s="676">
        <v>23966</v>
      </c>
      <c r="J258" s="676">
        <v>32</v>
      </c>
      <c r="K258" s="676">
        <v>766912</v>
      </c>
      <c r="L258" s="676">
        <v>1</v>
      </c>
      <c r="M258" s="676">
        <v>23966</v>
      </c>
      <c r="N258" s="676">
        <v>22</v>
      </c>
      <c r="O258" s="676">
        <v>527252</v>
      </c>
      <c r="P258" s="697">
        <v>0.6875</v>
      </c>
      <c r="Q258" s="677">
        <v>23966</v>
      </c>
    </row>
    <row r="259" spans="1:17" ht="14.4" customHeight="1" x14ac:dyDescent="0.3">
      <c r="A259" s="672" t="s">
        <v>478</v>
      </c>
      <c r="B259" s="673" t="s">
        <v>2101</v>
      </c>
      <c r="C259" s="673" t="s">
        <v>2102</v>
      </c>
      <c r="D259" s="673" t="s">
        <v>2562</v>
      </c>
      <c r="E259" s="673" t="s">
        <v>2563</v>
      </c>
      <c r="F259" s="676">
        <v>89</v>
      </c>
      <c r="G259" s="676">
        <v>594164</v>
      </c>
      <c r="H259" s="676">
        <v>1.072289156626506</v>
      </c>
      <c r="I259" s="676">
        <v>6676</v>
      </c>
      <c r="J259" s="676">
        <v>83</v>
      </c>
      <c r="K259" s="676">
        <v>554108</v>
      </c>
      <c r="L259" s="676">
        <v>1</v>
      </c>
      <c r="M259" s="676">
        <v>6676</v>
      </c>
      <c r="N259" s="676">
        <v>60</v>
      </c>
      <c r="O259" s="676">
        <v>400560</v>
      </c>
      <c r="P259" s="697">
        <v>0.72289156626506024</v>
      </c>
      <c r="Q259" s="677">
        <v>6676</v>
      </c>
    </row>
    <row r="260" spans="1:17" ht="14.4" customHeight="1" x14ac:dyDescent="0.3">
      <c r="A260" s="672" t="s">
        <v>478</v>
      </c>
      <c r="B260" s="673" t="s">
        <v>2101</v>
      </c>
      <c r="C260" s="673" t="s">
        <v>2102</v>
      </c>
      <c r="D260" s="673" t="s">
        <v>2564</v>
      </c>
      <c r="E260" s="673" t="s">
        <v>2554</v>
      </c>
      <c r="F260" s="676">
        <v>1</v>
      </c>
      <c r="G260" s="676">
        <v>0</v>
      </c>
      <c r="H260" s="676"/>
      <c r="I260" s="676">
        <v>0</v>
      </c>
      <c r="J260" s="676">
        <v>3</v>
      </c>
      <c r="K260" s="676">
        <v>0</v>
      </c>
      <c r="L260" s="676"/>
      <c r="M260" s="676">
        <v>0</v>
      </c>
      <c r="N260" s="676">
        <v>6</v>
      </c>
      <c r="O260" s="676">
        <v>0</v>
      </c>
      <c r="P260" s="697"/>
      <c r="Q260" s="677">
        <v>0</v>
      </c>
    </row>
    <row r="261" spans="1:17" ht="14.4" customHeight="1" x14ac:dyDescent="0.3">
      <c r="A261" s="672" t="s">
        <v>478</v>
      </c>
      <c r="B261" s="673" t="s">
        <v>2101</v>
      </c>
      <c r="C261" s="673" t="s">
        <v>2102</v>
      </c>
      <c r="D261" s="673" t="s">
        <v>2565</v>
      </c>
      <c r="E261" s="673" t="s">
        <v>2566</v>
      </c>
      <c r="F261" s="676">
        <v>21</v>
      </c>
      <c r="G261" s="676">
        <v>587286</v>
      </c>
      <c r="H261" s="676">
        <v>1.05</v>
      </c>
      <c r="I261" s="676">
        <v>27966</v>
      </c>
      <c r="J261" s="676">
        <v>20</v>
      </c>
      <c r="K261" s="676">
        <v>559320</v>
      </c>
      <c r="L261" s="676">
        <v>1</v>
      </c>
      <c r="M261" s="676">
        <v>27966</v>
      </c>
      <c r="N261" s="676">
        <v>13</v>
      </c>
      <c r="O261" s="676">
        <v>363558</v>
      </c>
      <c r="P261" s="697">
        <v>0.65</v>
      </c>
      <c r="Q261" s="677">
        <v>27966</v>
      </c>
    </row>
    <row r="262" spans="1:17" ht="14.4" customHeight="1" x14ac:dyDescent="0.3">
      <c r="A262" s="672" t="s">
        <v>478</v>
      </c>
      <c r="B262" s="673" t="s">
        <v>2101</v>
      </c>
      <c r="C262" s="673" t="s">
        <v>2102</v>
      </c>
      <c r="D262" s="673" t="s">
        <v>2103</v>
      </c>
      <c r="E262" s="673" t="s">
        <v>2104</v>
      </c>
      <c r="F262" s="676">
        <v>128</v>
      </c>
      <c r="G262" s="676">
        <v>44672</v>
      </c>
      <c r="H262" s="676">
        <v>0.72340976810467672</v>
      </c>
      <c r="I262" s="676">
        <v>349</v>
      </c>
      <c r="J262" s="676">
        <v>166</v>
      </c>
      <c r="K262" s="676">
        <v>61752</v>
      </c>
      <c r="L262" s="676">
        <v>1</v>
      </c>
      <c r="M262" s="676">
        <v>372</v>
      </c>
      <c r="N262" s="676">
        <v>145</v>
      </c>
      <c r="O262" s="676">
        <v>54083</v>
      </c>
      <c r="P262" s="697">
        <v>0.87580969037440082</v>
      </c>
      <c r="Q262" s="677">
        <v>372.98620689655172</v>
      </c>
    </row>
    <row r="263" spans="1:17" ht="14.4" customHeight="1" x14ac:dyDescent="0.3">
      <c r="A263" s="672" t="s">
        <v>478</v>
      </c>
      <c r="B263" s="673" t="s">
        <v>2101</v>
      </c>
      <c r="C263" s="673" t="s">
        <v>2102</v>
      </c>
      <c r="D263" s="673" t="s">
        <v>2567</v>
      </c>
      <c r="E263" s="673" t="s">
        <v>2568</v>
      </c>
      <c r="F263" s="676">
        <v>11</v>
      </c>
      <c r="G263" s="676">
        <v>12320</v>
      </c>
      <c r="H263" s="676">
        <v>2.1388888888888888</v>
      </c>
      <c r="I263" s="676">
        <v>1120</v>
      </c>
      <c r="J263" s="676">
        <v>5</v>
      </c>
      <c r="K263" s="676">
        <v>5760</v>
      </c>
      <c r="L263" s="676">
        <v>1</v>
      </c>
      <c r="M263" s="676">
        <v>1152</v>
      </c>
      <c r="N263" s="676"/>
      <c r="O263" s="676"/>
      <c r="P263" s="697"/>
      <c r="Q263" s="677"/>
    </row>
    <row r="264" spans="1:17" ht="14.4" customHeight="1" x14ac:dyDescent="0.3">
      <c r="A264" s="672" t="s">
        <v>478</v>
      </c>
      <c r="B264" s="673" t="s">
        <v>2101</v>
      </c>
      <c r="C264" s="673" t="s">
        <v>2102</v>
      </c>
      <c r="D264" s="673" t="s">
        <v>2569</v>
      </c>
      <c r="E264" s="673" t="s">
        <v>2570</v>
      </c>
      <c r="F264" s="676">
        <v>2</v>
      </c>
      <c r="G264" s="676">
        <v>0</v>
      </c>
      <c r="H264" s="676"/>
      <c r="I264" s="676">
        <v>0</v>
      </c>
      <c r="J264" s="676">
        <v>6</v>
      </c>
      <c r="K264" s="676">
        <v>0</v>
      </c>
      <c r="L264" s="676"/>
      <c r="M264" s="676">
        <v>0</v>
      </c>
      <c r="N264" s="676">
        <v>4</v>
      </c>
      <c r="O264" s="676">
        <v>0</v>
      </c>
      <c r="P264" s="697"/>
      <c r="Q264" s="677">
        <v>0</v>
      </c>
    </row>
    <row r="265" spans="1:17" ht="14.4" customHeight="1" x14ac:dyDescent="0.3">
      <c r="A265" s="672" t="s">
        <v>478</v>
      </c>
      <c r="B265" s="673" t="s">
        <v>2101</v>
      </c>
      <c r="C265" s="673" t="s">
        <v>2102</v>
      </c>
      <c r="D265" s="673" t="s">
        <v>2571</v>
      </c>
      <c r="E265" s="673" t="s">
        <v>2572</v>
      </c>
      <c r="F265" s="676">
        <v>1</v>
      </c>
      <c r="G265" s="676">
        <v>611</v>
      </c>
      <c r="H265" s="676">
        <v>0.9807383627608347</v>
      </c>
      <c r="I265" s="676">
        <v>611</v>
      </c>
      <c r="J265" s="676">
        <v>1</v>
      </c>
      <c r="K265" s="676">
        <v>623</v>
      </c>
      <c r="L265" s="676">
        <v>1</v>
      </c>
      <c r="M265" s="676">
        <v>623</v>
      </c>
      <c r="N265" s="676"/>
      <c r="O265" s="676"/>
      <c r="P265" s="697"/>
      <c r="Q265" s="677"/>
    </row>
    <row r="266" spans="1:17" ht="14.4" customHeight="1" x14ac:dyDescent="0.3">
      <c r="A266" s="672" t="s">
        <v>478</v>
      </c>
      <c r="B266" s="673" t="s">
        <v>2101</v>
      </c>
      <c r="C266" s="673" t="s">
        <v>2102</v>
      </c>
      <c r="D266" s="673" t="s">
        <v>2573</v>
      </c>
      <c r="E266" s="673" t="s">
        <v>2554</v>
      </c>
      <c r="F266" s="676"/>
      <c r="G266" s="676"/>
      <c r="H266" s="676"/>
      <c r="I266" s="676"/>
      <c r="J266" s="676">
        <v>1</v>
      </c>
      <c r="K266" s="676">
        <v>0</v>
      </c>
      <c r="L266" s="676"/>
      <c r="M266" s="676">
        <v>0</v>
      </c>
      <c r="N266" s="676">
        <v>2</v>
      </c>
      <c r="O266" s="676">
        <v>0</v>
      </c>
      <c r="P266" s="697"/>
      <c r="Q266" s="677">
        <v>0</v>
      </c>
    </row>
    <row r="267" spans="1:17" ht="14.4" customHeight="1" x14ac:dyDescent="0.3">
      <c r="A267" s="672" t="s">
        <v>478</v>
      </c>
      <c r="B267" s="673" t="s">
        <v>2574</v>
      </c>
      <c r="C267" s="673" t="s">
        <v>2102</v>
      </c>
      <c r="D267" s="673" t="s">
        <v>2575</v>
      </c>
      <c r="E267" s="673" t="s">
        <v>2576</v>
      </c>
      <c r="F267" s="676"/>
      <c r="G267" s="676"/>
      <c r="H267" s="676"/>
      <c r="I267" s="676"/>
      <c r="J267" s="676"/>
      <c r="K267" s="676"/>
      <c r="L267" s="676"/>
      <c r="M267" s="676"/>
      <c r="N267" s="676">
        <v>1</v>
      </c>
      <c r="O267" s="676">
        <v>541</v>
      </c>
      <c r="P267" s="697"/>
      <c r="Q267" s="677">
        <v>541</v>
      </c>
    </row>
    <row r="268" spans="1:17" ht="14.4" customHeight="1" x14ac:dyDescent="0.3">
      <c r="A268" s="672" t="s">
        <v>478</v>
      </c>
      <c r="B268" s="673" t="s">
        <v>2574</v>
      </c>
      <c r="C268" s="673" t="s">
        <v>2102</v>
      </c>
      <c r="D268" s="673" t="s">
        <v>2577</v>
      </c>
      <c r="E268" s="673" t="s">
        <v>2576</v>
      </c>
      <c r="F268" s="676"/>
      <c r="G268" s="676"/>
      <c r="H268" s="676"/>
      <c r="I268" s="676"/>
      <c r="J268" s="676"/>
      <c r="K268" s="676"/>
      <c r="L268" s="676"/>
      <c r="M268" s="676"/>
      <c r="N268" s="676">
        <v>1</v>
      </c>
      <c r="O268" s="676">
        <v>688</v>
      </c>
      <c r="P268" s="697"/>
      <c r="Q268" s="677">
        <v>688</v>
      </c>
    </row>
    <row r="269" spans="1:17" ht="14.4" customHeight="1" x14ac:dyDescent="0.3">
      <c r="A269" s="672" t="s">
        <v>478</v>
      </c>
      <c r="B269" s="673" t="s">
        <v>2574</v>
      </c>
      <c r="C269" s="673" t="s">
        <v>2102</v>
      </c>
      <c r="D269" s="673" t="s">
        <v>2578</v>
      </c>
      <c r="E269" s="673" t="s">
        <v>2579</v>
      </c>
      <c r="F269" s="676"/>
      <c r="G269" s="676"/>
      <c r="H269" s="676"/>
      <c r="I269" s="676"/>
      <c r="J269" s="676"/>
      <c r="K269" s="676"/>
      <c r="L269" s="676"/>
      <c r="M269" s="676"/>
      <c r="N269" s="676">
        <v>2</v>
      </c>
      <c r="O269" s="676">
        <v>5524</v>
      </c>
      <c r="P269" s="697"/>
      <c r="Q269" s="677">
        <v>2762</v>
      </c>
    </row>
    <row r="270" spans="1:17" ht="14.4" customHeight="1" x14ac:dyDescent="0.3">
      <c r="A270" s="672" t="s">
        <v>478</v>
      </c>
      <c r="B270" s="673" t="s">
        <v>2580</v>
      </c>
      <c r="C270" s="673" t="s">
        <v>2102</v>
      </c>
      <c r="D270" s="673" t="s">
        <v>2118</v>
      </c>
      <c r="E270" s="673" t="s">
        <v>2119</v>
      </c>
      <c r="F270" s="676">
        <v>1</v>
      </c>
      <c r="G270" s="676">
        <v>1630</v>
      </c>
      <c r="H270" s="676"/>
      <c r="I270" s="676">
        <v>1630</v>
      </c>
      <c r="J270" s="676"/>
      <c r="K270" s="676"/>
      <c r="L270" s="676"/>
      <c r="M270" s="676"/>
      <c r="N270" s="676"/>
      <c r="O270" s="676"/>
      <c r="P270" s="697"/>
      <c r="Q270" s="677"/>
    </row>
    <row r="271" spans="1:17" ht="14.4" customHeight="1" x14ac:dyDescent="0.3">
      <c r="A271" s="672" t="s">
        <v>478</v>
      </c>
      <c r="B271" s="673" t="s">
        <v>2581</v>
      </c>
      <c r="C271" s="673" t="s">
        <v>2102</v>
      </c>
      <c r="D271" s="673" t="s">
        <v>2582</v>
      </c>
      <c r="E271" s="673" t="s">
        <v>2583</v>
      </c>
      <c r="F271" s="676"/>
      <c r="G271" s="676"/>
      <c r="H271" s="676"/>
      <c r="I271" s="676"/>
      <c r="J271" s="676"/>
      <c r="K271" s="676"/>
      <c r="L271" s="676"/>
      <c r="M271" s="676"/>
      <c r="N271" s="676">
        <v>1</v>
      </c>
      <c r="O271" s="676">
        <v>751</v>
      </c>
      <c r="P271" s="697"/>
      <c r="Q271" s="677">
        <v>751</v>
      </c>
    </row>
    <row r="272" spans="1:17" ht="14.4" customHeight="1" x14ac:dyDescent="0.3">
      <c r="A272" s="672" t="s">
        <v>478</v>
      </c>
      <c r="B272" s="673" t="s">
        <v>2581</v>
      </c>
      <c r="C272" s="673" t="s">
        <v>2102</v>
      </c>
      <c r="D272" s="673" t="s">
        <v>2584</v>
      </c>
      <c r="E272" s="673" t="s">
        <v>2585</v>
      </c>
      <c r="F272" s="676"/>
      <c r="G272" s="676"/>
      <c r="H272" s="676"/>
      <c r="I272" s="676"/>
      <c r="J272" s="676"/>
      <c r="K272" s="676"/>
      <c r="L272" s="676"/>
      <c r="M272" s="676"/>
      <c r="N272" s="676">
        <v>1</v>
      </c>
      <c r="O272" s="676">
        <v>380</v>
      </c>
      <c r="P272" s="697"/>
      <c r="Q272" s="677">
        <v>380</v>
      </c>
    </row>
    <row r="273" spans="1:17" ht="14.4" customHeight="1" x14ac:dyDescent="0.3">
      <c r="A273" s="672" t="s">
        <v>478</v>
      </c>
      <c r="B273" s="673" t="s">
        <v>2581</v>
      </c>
      <c r="C273" s="673" t="s">
        <v>2102</v>
      </c>
      <c r="D273" s="673" t="s">
        <v>2586</v>
      </c>
      <c r="E273" s="673" t="s">
        <v>2587</v>
      </c>
      <c r="F273" s="676"/>
      <c r="G273" s="676"/>
      <c r="H273" s="676"/>
      <c r="I273" s="676"/>
      <c r="J273" s="676"/>
      <c r="K273" s="676"/>
      <c r="L273" s="676"/>
      <c r="M273" s="676"/>
      <c r="N273" s="676">
        <v>1</v>
      </c>
      <c r="O273" s="676">
        <v>7326</v>
      </c>
      <c r="P273" s="697"/>
      <c r="Q273" s="677">
        <v>7326</v>
      </c>
    </row>
    <row r="274" spans="1:17" ht="14.4" customHeight="1" x14ac:dyDescent="0.3">
      <c r="A274" s="672" t="s">
        <v>478</v>
      </c>
      <c r="B274" s="673" t="s">
        <v>2581</v>
      </c>
      <c r="C274" s="673" t="s">
        <v>2102</v>
      </c>
      <c r="D274" s="673" t="s">
        <v>2588</v>
      </c>
      <c r="E274" s="673" t="s">
        <v>2589</v>
      </c>
      <c r="F274" s="676"/>
      <c r="G274" s="676"/>
      <c r="H274" s="676"/>
      <c r="I274" s="676"/>
      <c r="J274" s="676"/>
      <c r="K274" s="676"/>
      <c r="L274" s="676"/>
      <c r="M274" s="676"/>
      <c r="N274" s="676">
        <v>1</v>
      </c>
      <c r="O274" s="676">
        <v>1143</v>
      </c>
      <c r="P274" s="697"/>
      <c r="Q274" s="677">
        <v>1143</v>
      </c>
    </row>
    <row r="275" spans="1:17" ht="14.4" customHeight="1" x14ac:dyDescent="0.3">
      <c r="A275" s="672" t="s">
        <v>478</v>
      </c>
      <c r="B275" s="673" t="s">
        <v>2581</v>
      </c>
      <c r="C275" s="673" t="s">
        <v>2102</v>
      </c>
      <c r="D275" s="673" t="s">
        <v>2590</v>
      </c>
      <c r="E275" s="673" t="s">
        <v>2591</v>
      </c>
      <c r="F275" s="676"/>
      <c r="G275" s="676"/>
      <c r="H275" s="676"/>
      <c r="I275" s="676"/>
      <c r="J275" s="676"/>
      <c r="K275" s="676"/>
      <c r="L275" s="676"/>
      <c r="M275" s="676"/>
      <c r="N275" s="676">
        <v>1</v>
      </c>
      <c r="O275" s="676">
        <v>712</v>
      </c>
      <c r="P275" s="697"/>
      <c r="Q275" s="677">
        <v>712</v>
      </c>
    </row>
    <row r="276" spans="1:17" ht="14.4" customHeight="1" x14ac:dyDescent="0.3">
      <c r="A276" s="672" t="s">
        <v>478</v>
      </c>
      <c r="B276" s="673" t="s">
        <v>2581</v>
      </c>
      <c r="C276" s="673" t="s">
        <v>2102</v>
      </c>
      <c r="D276" s="673" t="s">
        <v>2130</v>
      </c>
      <c r="E276" s="673" t="s">
        <v>2131</v>
      </c>
      <c r="F276" s="676"/>
      <c r="G276" s="676"/>
      <c r="H276" s="676"/>
      <c r="I276" s="676"/>
      <c r="J276" s="676"/>
      <c r="K276" s="676"/>
      <c r="L276" s="676"/>
      <c r="M276" s="676"/>
      <c r="N276" s="676">
        <v>1</v>
      </c>
      <c r="O276" s="676">
        <v>837</v>
      </c>
      <c r="P276" s="697"/>
      <c r="Q276" s="677">
        <v>837</v>
      </c>
    </row>
    <row r="277" spans="1:17" ht="14.4" customHeight="1" x14ac:dyDescent="0.3">
      <c r="A277" s="672" t="s">
        <v>478</v>
      </c>
      <c r="B277" s="673" t="s">
        <v>2581</v>
      </c>
      <c r="C277" s="673" t="s">
        <v>2102</v>
      </c>
      <c r="D277" s="673" t="s">
        <v>2592</v>
      </c>
      <c r="E277" s="673" t="s">
        <v>2593</v>
      </c>
      <c r="F277" s="676"/>
      <c r="G277" s="676"/>
      <c r="H277" s="676"/>
      <c r="I277" s="676"/>
      <c r="J277" s="676"/>
      <c r="K277" s="676"/>
      <c r="L277" s="676"/>
      <c r="M277" s="676"/>
      <c r="N277" s="676">
        <v>5</v>
      </c>
      <c r="O277" s="676">
        <v>12820</v>
      </c>
      <c r="P277" s="697"/>
      <c r="Q277" s="677">
        <v>2564</v>
      </c>
    </row>
    <row r="278" spans="1:17" ht="14.4" customHeight="1" x14ac:dyDescent="0.3">
      <c r="A278" s="672" t="s">
        <v>478</v>
      </c>
      <c r="B278" s="673" t="s">
        <v>2581</v>
      </c>
      <c r="C278" s="673" t="s">
        <v>2102</v>
      </c>
      <c r="D278" s="673" t="s">
        <v>2594</v>
      </c>
      <c r="E278" s="673" t="s">
        <v>2595</v>
      </c>
      <c r="F278" s="676"/>
      <c r="G278" s="676"/>
      <c r="H278" s="676"/>
      <c r="I278" s="676"/>
      <c r="J278" s="676"/>
      <c r="K278" s="676"/>
      <c r="L278" s="676"/>
      <c r="M278" s="676"/>
      <c r="N278" s="676">
        <v>1</v>
      </c>
      <c r="O278" s="676">
        <v>3121</v>
      </c>
      <c r="P278" s="697"/>
      <c r="Q278" s="677">
        <v>3121</v>
      </c>
    </row>
    <row r="279" spans="1:17" ht="14.4" customHeight="1" x14ac:dyDescent="0.3">
      <c r="A279" s="672" t="s">
        <v>478</v>
      </c>
      <c r="B279" s="673" t="s">
        <v>2596</v>
      </c>
      <c r="C279" s="673" t="s">
        <v>2102</v>
      </c>
      <c r="D279" s="673" t="s">
        <v>2597</v>
      </c>
      <c r="E279" s="673" t="s">
        <v>2598</v>
      </c>
      <c r="F279" s="676">
        <v>1</v>
      </c>
      <c r="G279" s="676">
        <v>917</v>
      </c>
      <c r="H279" s="676"/>
      <c r="I279" s="676">
        <v>917</v>
      </c>
      <c r="J279" s="676"/>
      <c r="K279" s="676"/>
      <c r="L279" s="676"/>
      <c r="M279" s="676"/>
      <c r="N279" s="676"/>
      <c r="O279" s="676"/>
      <c r="P279" s="697"/>
      <c r="Q279" s="677"/>
    </row>
    <row r="280" spans="1:17" ht="14.4" customHeight="1" x14ac:dyDescent="0.3">
      <c r="A280" s="672" t="s">
        <v>478</v>
      </c>
      <c r="B280" s="673" t="s">
        <v>2596</v>
      </c>
      <c r="C280" s="673" t="s">
        <v>2102</v>
      </c>
      <c r="D280" s="673" t="s">
        <v>2599</v>
      </c>
      <c r="E280" s="673" t="s">
        <v>2600</v>
      </c>
      <c r="F280" s="676">
        <v>1</v>
      </c>
      <c r="G280" s="676">
        <v>2176</v>
      </c>
      <c r="H280" s="676"/>
      <c r="I280" s="676">
        <v>2176</v>
      </c>
      <c r="J280" s="676"/>
      <c r="K280" s="676"/>
      <c r="L280" s="676"/>
      <c r="M280" s="676"/>
      <c r="N280" s="676"/>
      <c r="O280" s="676"/>
      <c r="P280" s="697"/>
      <c r="Q280" s="677"/>
    </row>
    <row r="281" spans="1:17" ht="14.4" customHeight="1" x14ac:dyDescent="0.3">
      <c r="A281" s="672" t="s">
        <v>478</v>
      </c>
      <c r="B281" s="673" t="s">
        <v>2596</v>
      </c>
      <c r="C281" s="673" t="s">
        <v>2102</v>
      </c>
      <c r="D281" s="673" t="s">
        <v>2601</v>
      </c>
      <c r="E281" s="673" t="s">
        <v>2602</v>
      </c>
      <c r="F281" s="676">
        <v>1</v>
      </c>
      <c r="G281" s="676">
        <v>1837</v>
      </c>
      <c r="H281" s="676"/>
      <c r="I281" s="676">
        <v>1837</v>
      </c>
      <c r="J281" s="676"/>
      <c r="K281" s="676"/>
      <c r="L281" s="676"/>
      <c r="M281" s="676"/>
      <c r="N281" s="676"/>
      <c r="O281" s="676"/>
      <c r="P281" s="697"/>
      <c r="Q281" s="677"/>
    </row>
    <row r="282" spans="1:17" ht="14.4" customHeight="1" x14ac:dyDescent="0.3">
      <c r="A282" s="672" t="s">
        <v>478</v>
      </c>
      <c r="B282" s="673" t="s">
        <v>2603</v>
      </c>
      <c r="C282" s="673" t="s">
        <v>2102</v>
      </c>
      <c r="D282" s="673" t="s">
        <v>2130</v>
      </c>
      <c r="E282" s="673" t="s">
        <v>2131</v>
      </c>
      <c r="F282" s="676"/>
      <c r="G282" s="676"/>
      <c r="H282" s="676"/>
      <c r="I282" s="676"/>
      <c r="J282" s="676">
        <v>3</v>
      </c>
      <c r="K282" s="676">
        <v>2508</v>
      </c>
      <c r="L282" s="676">
        <v>1</v>
      </c>
      <c r="M282" s="676">
        <v>836</v>
      </c>
      <c r="N282" s="676">
        <v>2</v>
      </c>
      <c r="O282" s="676">
        <v>1674</v>
      </c>
      <c r="P282" s="697">
        <v>0.66746411483253587</v>
      </c>
      <c r="Q282" s="677">
        <v>837</v>
      </c>
    </row>
    <row r="283" spans="1:17" ht="14.4" customHeight="1" x14ac:dyDescent="0.3">
      <c r="A283" s="672" t="s">
        <v>478</v>
      </c>
      <c r="B283" s="673" t="s">
        <v>2603</v>
      </c>
      <c r="C283" s="673" t="s">
        <v>2102</v>
      </c>
      <c r="D283" s="673" t="s">
        <v>2604</v>
      </c>
      <c r="E283" s="673" t="s">
        <v>2605</v>
      </c>
      <c r="F283" s="676"/>
      <c r="G283" s="676"/>
      <c r="H283" s="676"/>
      <c r="I283" s="676"/>
      <c r="J283" s="676">
        <v>1</v>
      </c>
      <c r="K283" s="676">
        <v>3544</v>
      </c>
      <c r="L283" s="676">
        <v>1</v>
      </c>
      <c r="M283" s="676">
        <v>3544</v>
      </c>
      <c r="N283" s="676"/>
      <c r="O283" s="676"/>
      <c r="P283" s="697"/>
      <c r="Q283" s="677"/>
    </row>
    <row r="284" spans="1:17" ht="14.4" customHeight="1" x14ac:dyDescent="0.3">
      <c r="A284" s="672" t="s">
        <v>478</v>
      </c>
      <c r="B284" s="673" t="s">
        <v>2603</v>
      </c>
      <c r="C284" s="673" t="s">
        <v>2102</v>
      </c>
      <c r="D284" s="673" t="s">
        <v>2606</v>
      </c>
      <c r="E284" s="673" t="s">
        <v>2607</v>
      </c>
      <c r="F284" s="676"/>
      <c r="G284" s="676"/>
      <c r="H284" s="676"/>
      <c r="I284" s="676"/>
      <c r="J284" s="676">
        <v>1</v>
      </c>
      <c r="K284" s="676">
        <v>1641</v>
      </c>
      <c r="L284" s="676">
        <v>1</v>
      </c>
      <c r="M284" s="676">
        <v>1641</v>
      </c>
      <c r="N284" s="676"/>
      <c r="O284" s="676"/>
      <c r="P284" s="697"/>
      <c r="Q284" s="677"/>
    </row>
    <row r="285" spans="1:17" ht="14.4" customHeight="1" x14ac:dyDescent="0.3">
      <c r="A285" s="672" t="s">
        <v>478</v>
      </c>
      <c r="B285" s="673" t="s">
        <v>2603</v>
      </c>
      <c r="C285" s="673" t="s">
        <v>2102</v>
      </c>
      <c r="D285" s="673" t="s">
        <v>2608</v>
      </c>
      <c r="E285" s="673" t="s">
        <v>2609</v>
      </c>
      <c r="F285" s="676"/>
      <c r="G285" s="676"/>
      <c r="H285" s="676"/>
      <c r="I285" s="676"/>
      <c r="J285" s="676"/>
      <c r="K285" s="676"/>
      <c r="L285" s="676"/>
      <c r="M285" s="676"/>
      <c r="N285" s="676">
        <v>1</v>
      </c>
      <c r="O285" s="676">
        <v>113</v>
      </c>
      <c r="P285" s="697"/>
      <c r="Q285" s="677">
        <v>113</v>
      </c>
    </row>
    <row r="286" spans="1:17" ht="14.4" customHeight="1" x14ac:dyDescent="0.3">
      <c r="A286" s="672" t="s">
        <v>478</v>
      </c>
      <c r="B286" s="673" t="s">
        <v>2603</v>
      </c>
      <c r="C286" s="673" t="s">
        <v>2102</v>
      </c>
      <c r="D286" s="673" t="s">
        <v>2610</v>
      </c>
      <c r="E286" s="673" t="s">
        <v>2611</v>
      </c>
      <c r="F286" s="676"/>
      <c r="G286" s="676"/>
      <c r="H286" s="676"/>
      <c r="I286" s="676"/>
      <c r="J286" s="676"/>
      <c r="K286" s="676"/>
      <c r="L286" s="676"/>
      <c r="M286" s="676"/>
      <c r="N286" s="676">
        <v>1</v>
      </c>
      <c r="O286" s="676">
        <v>43</v>
      </c>
      <c r="P286" s="697"/>
      <c r="Q286" s="677">
        <v>43</v>
      </c>
    </row>
    <row r="287" spans="1:17" ht="14.4" customHeight="1" x14ac:dyDescent="0.3">
      <c r="A287" s="672" t="s">
        <v>478</v>
      </c>
      <c r="B287" s="673" t="s">
        <v>2603</v>
      </c>
      <c r="C287" s="673" t="s">
        <v>2102</v>
      </c>
      <c r="D287" s="673" t="s">
        <v>2612</v>
      </c>
      <c r="E287" s="673" t="s">
        <v>2613</v>
      </c>
      <c r="F287" s="676"/>
      <c r="G287" s="676"/>
      <c r="H287" s="676"/>
      <c r="I287" s="676"/>
      <c r="J287" s="676"/>
      <c r="K287" s="676"/>
      <c r="L287" s="676"/>
      <c r="M287" s="676"/>
      <c r="N287" s="676">
        <v>1</v>
      </c>
      <c r="O287" s="676">
        <v>1498</v>
      </c>
      <c r="P287" s="697"/>
      <c r="Q287" s="677">
        <v>1498</v>
      </c>
    </row>
    <row r="288" spans="1:17" ht="14.4" customHeight="1" x14ac:dyDescent="0.3">
      <c r="A288" s="672" t="s">
        <v>478</v>
      </c>
      <c r="B288" s="673" t="s">
        <v>2603</v>
      </c>
      <c r="C288" s="673" t="s">
        <v>2102</v>
      </c>
      <c r="D288" s="673" t="s">
        <v>2614</v>
      </c>
      <c r="E288" s="673" t="s">
        <v>2615</v>
      </c>
      <c r="F288" s="676"/>
      <c r="G288" s="676"/>
      <c r="H288" s="676"/>
      <c r="I288" s="676"/>
      <c r="J288" s="676">
        <v>1</v>
      </c>
      <c r="K288" s="676">
        <v>394</v>
      </c>
      <c r="L288" s="676">
        <v>1</v>
      </c>
      <c r="M288" s="676">
        <v>394</v>
      </c>
      <c r="N288" s="676"/>
      <c r="O288" s="676"/>
      <c r="P288" s="697"/>
      <c r="Q288" s="677"/>
    </row>
    <row r="289" spans="1:17" ht="14.4" customHeight="1" x14ac:dyDescent="0.3">
      <c r="A289" s="672" t="s">
        <v>478</v>
      </c>
      <c r="B289" s="673" t="s">
        <v>2603</v>
      </c>
      <c r="C289" s="673" t="s">
        <v>2102</v>
      </c>
      <c r="D289" s="673" t="s">
        <v>2616</v>
      </c>
      <c r="E289" s="673" t="s">
        <v>2617</v>
      </c>
      <c r="F289" s="676"/>
      <c r="G289" s="676"/>
      <c r="H289" s="676"/>
      <c r="I289" s="676"/>
      <c r="J289" s="676"/>
      <c r="K289" s="676"/>
      <c r="L289" s="676"/>
      <c r="M289" s="676"/>
      <c r="N289" s="676">
        <v>1</v>
      </c>
      <c r="O289" s="676">
        <v>255</v>
      </c>
      <c r="P289" s="697"/>
      <c r="Q289" s="677">
        <v>255</v>
      </c>
    </row>
    <row r="290" spans="1:17" ht="14.4" customHeight="1" x14ac:dyDescent="0.3">
      <c r="A290" s="672" t="s">
        <v>478</v>
      </c>
      <c r="B290" s="673" t="s">
        <v>2618</v>
      </c>
      <c r="C290" s="673" t="s">
        <v>2102</v>
      </c>
      <c r="D290" s="673" t="s">
        <v>2116</v>
      </c>
      <c r="E290" s="673" t="s">
        <v>2117</v>
      </c>
      <c r="F290" s="676">
        <v>1</v>
      </c>
      <c r="G290" s="676">
        <v>2073</v>
      </c>
      <c r="H290" s="676"/>
      <c r="I290" s="676">
        <v>2073</v>
      </c>
      <c r="J290" s="676"/>
      <c r="K290" s="676"/>
      <c r="L290" s="676"/>
      <c r="M290" s="676"/>
      <c r="N290" s="676"/>
      <c r="O290" s="676"/>
      <c r="P290" s="697"/>
      <c r="Q290" s="677"/>
    </row>
    <row r="291" spans="1:17" ht="14.4" customHeight="1" x14ac:dyDescent="0.3">
      <c r="A291" s="672" t="s">
        <v>478</v>
      </c>
      <c r="B291" s="673" t="s">
        <v>2618</v>
      </c>
      <c r="C291" s="673" t="s">
        <v>2102</v>
      </c>
      <c r="D291" s="673" t="s">
        <v>2619</v>
      </c>
      <c r="E291" s="673" t="s">
        <v>2620</v>
      </c>
      <c r="F291" s="676"/>
      <c r="G291" s="676"/>
      <c r="H291" s="676"/>
      <c r="I291" s="676"/>
      <c r="J291" s="676">
        <v>2</v>
      </c>
      <c r="K291" s="676">
        <v>518</v>
      </c>
      <c r="L291" s="676">
        <v>1</v>
      </c>
      <c r="M291" s="676">
        <v>259</v>
      </c>
      <c r="N291" s="676"/>
      <c r="O291" s="676"/>
      <c r="P291" s="697"/>
      <c r="Q291" s="677"/>
    </row>
    <row r="292" spans="1:17" ht="14.4" customHeight="1" x14ac:dyDescent="0.3">
      <c r="A292" s="672" t="s">
        <v>478</v>
      </c>
      <c r="B292" s="673" t="s">
        <v>2618</v>
      </c>
      <c r="C292" s="673" t="s">
        <v>2102</v>
      </c>
      <c r="D292" s="673" t="s">
        <v>2621</v>
      </c>
      <c r="E292" s="673" t="s">
        <v>2622</v>
      </c>
      <c r="F292" s="676"/>
      <c r="G292" s="676"/>
      <c r="H292" s="676"/>
      <c r="I292" s="676"/>
      <c r="J292" s="676">
        <v>1</v>
      </c>
      <c r="K292" s="676">
        <v>591</v>
      </c>
      <c r="L292" s="676">
        <v>1</v>
      </c>
      <c r="M292" s="676">
        <v>591</v>
      </c>
      <c r="N292" s="676"/>
      <c r="O292" s="676"/>
      <c r="P292" s="697"/>
      <c r="Q292" s="677"/>
    </row>
    <row r="293" spans="1:17" ht="14.4" customHeight="1" x14ac:dyDescent="0.3">
      <c r="A293" s="672" t="s">
        <v>478</v>
      </c>
      <c r="B293" s="673" t="s">
        <v>2618</v>
      </c>
      <c r="C293" s="673" t="s">
        <v>2102</v>
      </c>
      <c r="D293" s="673" t="s">
        <v>2623</v>
      </c>
      <c r="E293" s="673" t="s">
        <v>2624</v>
      </c>
      <c r="F293" s="676">
        <v>2</v>
      </c>
      <c r="G293" s="676">
        <v>1518</v>
      </c>
      <c r="H293" s="676"/>
      <c r="I293" s="676">
        <v>759</v>
      </c>
      <c r="J293" s="676"/>
      <c r="K293" s="676"/>
      <c r="L293" s="676"/>
      <c r="M293" s="676"/>
      <c r="N293" s="676">
        <v>1</v>
      </c>
      <c r="O293" s="676">
        <v>767</v>
      </c>
      <c r="P293" s="697"/>
      <c r="Q293" s="677">
        <v>767</v>
      </c>
    </row>
    <row r="294" spans="1:17" ht="14.4" customHeight="1" x14ac:dyDescent="0.3">
      <c r="A294" s="672" t="s">
        <v>478</v>
      </c>
      <c r="B294" s="673" t="s">
        <v>2618</v>
      </c>
      <c r="C294" s="673" t="s">
        <v>2102</v>
      </c>
      <c r="D294" s="673" t="s">
        <v>2625</v>
      </c>
      <c r="E294" s="673" t="s">
        <v>2626</v>
      </c>
      <c r="F294" s="676"/>
      <c r="G294" s="676"/>
      <c r="H294" s="676"/>
      <c r="I294" s="676"/>
      <c r="J294" s="676">
        <v>3</v>
      </c>
      <c r="K294" s="676">
        <v>1086</v>
      </c>
      <c r="L294" s="676">
        <v>1</v>
      </c>
      <c r="M294" s="676">
        <v>362</v>
      </c>
      <c r="N294" s="676"/>
      <c r="O294" s="676"/>
      <c r="P294" s="697"/>
      <c r="Q294" s="677"/>
    </row>
    <row r="295" spans="1:17" ht="14.4" customHeight="1" x14ac:dyDescent="0.3">
      <c r="A295" s="672" t="s">
        <v>478</v>
      </c>
      <c r="B295" s="673" t="s">
        <v>2627</v>
      </c>
      <c r="C295" s="673" t="s">
        <v>2102</v>
      </c>
      <c r="D295" s="673" t="s">
        <v>2628</v>
      </c>
      <c r="E295" s="673" t="s">
        <v>2629</v>
      </c>
      <c r="F295" s="676">
        <v>1</v>
      </c>
      <c r="G295" s="676">
        <v>259</v>
      </c>
      <c r="H295" s="676"/>
      <c r="I295" s="676">
        <v>259</v>
      </c>
      <c r="J295" s="676"/>
      <c r="K295" s="676"/>
      <c r="L295" s="676"/>
      <c r="M295" s="676"/>
      <c r="N295" s="676"/>
      <c r="O295" s="676"/>
      <c r="P295" s="697"/>
      <c r="Q295" s="677"/>
    </row>
    <row r="296" spans="1:17" ht="14.4" customHeight="1" x14ac:dyDescent="0.3">
      <c r="A296" s="672" t="s">
        <v>478</v>
      </c>
      <c r="B296" s="673" t="s">
        <v>2627</v>
      </c>
      <c r="C296" s="673" t="s">
        <v>2102</v>
      </c>
      <c r="D296" s="673" t="s">
        <v>2630</v>
      </c>
      <c r="E296" s="673" t="s">
        <v>2631</v>
      </c>
      <c r="F296" s="676"/>
      <c r="G296" s="676"/>
      <c r="H296" s="676"/>
      <c r="I296" s="676"/>
      <c r="J296" s="676">
        <v>2</v>
      </c>
      <c r="K296" s="676">
        <v>698</v>
      </c>
      <c r="L296" s="676">
        <v>1</v>
      </c>
      <c r="M296" s="676">
        <v>349</v>
      </c>
      <c r="N296" s="676"/>
      <c r="O296" s="676"/>
      <c r="P296" s="697"/>
      <c r="Q296" s="677"/>
    </row>
    <row r="297" spans="1:17" ht="14.4" customHeight="1" x14ac:dyDescent="0.3">
      <c r="A297" s="672" t="s">
        <v>478</v>
      </c>
      <c r="B297" s="673" t="s">
        <v>2627</v>
      </c>
      <c r="C297" s="673" t="s">
        <v>2102</v>
      </c>
      <c r="D297" s="673" t="s">
        <v>2632</v>
      </c>
      <c r="E297" s="673" t="s">
        <v>2633</v>
      </c>
      <c r="F297" s="676"/>
      <c r="G297" s="676"/>
      <c r="H297" s="676"/>
      <c r="I297" s="676"/>
      <c r="J297" s="676">
        <v>2</v>
      </c>
      <c r="K297" s="676">
        <v>566</v>
      </c>
      <c r="L297" s="676">
        <v>1</v>
      </c>
      <c r="M297" s="676">
        <v>283</v>
      </c>
      <c r="N297" s="676"/>
      <c r="O297" s="676"/>
      <c r="P297" s="697"/>
      <c r="Q297" s="677"/>
    </row>
    <row r="298" spans="1:17" ht="14.4" customHeight="1" thickBot="1" x14ac:dyDescent="0.35">
      <c r="A298" s="678" t="s">
        <v>478</v>
      </c>
      <c r="B298" s="679" t="s">
        <v>2627</v>
      </c>
      <c r="C298" s="679" t="s">
        <v>2102</v>
      </c>
      <c r="D298" s="679" t="s">
        <v>2634</v>
      </c>
      <c r="E298" s="679" t="s">
        <v>2635</v>
      </c>
      <c r="F298" s="682"/>
      <c r="G298" s="682"/>
      <c r="H298" s="682"/>
      <c r="I298" s="682"/>
      <c r="J298" s="682">
        <v>2</v>
      </c>
      <c r="K298" s="682">
        <v>11194</v>
      </c>
      <c r="L298" s="682">
        <v>1</v>
      </c>
      <c r="M298" s="682">
        <v>5597</v>
      </c>
      <c r="N298" s="682"/>
      <c r="O298" s="682"/>
      <c r="P298" s="690"/>
      <c r="Q298" s="68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30" customWidth="1"/>
    <col min="2" max="2" width="7.88671875" style="330" hidden="1" customWidth="1" outlineLevel="1"/>
    <col min="3" max="3" width="7.88671875" style="330" customWidth="1" collapsed="1"/>
    <col min="4" max="4" width="7.88671875" style="330" customWidth="1"/>
    <col min="5" max="5" width="7.88671875" style="330" hidden="1" customWidth="1" outlineLevel="1"/>
    <col min="6" max="6" width="7.88671875" style="338" customWidth="1" collapsed="1"/>
    <col min="7" max="7" width="7.88671875" style="330" hidden="1" customWidth="1" outlineLevel="1"/>
    <col min="8" max="8" width="7.88671875" style="330" customWidth="1" collapsed="1"/>
    <col min="9" max="9" width="7.88671875" style="330" customWidth="1"/>
    <col min="10" max="10" width="7.88671875" style="330" hidden="1" customWidth="1" outlineLevel="1"/>
    <col min="11" max="11" width="7.88671875" style="339" customWidth="1" collapsed="1"/>
    <col min="12" max="13" width="7.88671875" style="330" hidden="1" customWidth="1"/>
    <col min="14" max="15" width="7.88671875" style="330" customWidth="1"/>
    <col min="16" max="16" width="0" style="330" hidden="1" customWidth="1" outlineLevel="1"/>
    <col min="17" max="17" width="9.5546875" style="330" hidden="1" customWidth="1" outlineLevel="1"/>
    <col min="18" max="18" width="9.33203125" style="330" collapsed="1"/>
    <col min="19" max="16384" width="9.33203125" style="330"/>
  </cols>
  <sheetData>
    <row r="1" spans="1:17" ht="18.600000000000001" customHeight="1" thickBot="1" x14ac:dyDescent="0.4">
      <c r="A1" s="581" t="s">
        <v>122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581"/>
      <c r="Q1" s="581"/>
    </row>
    <row r="2" spans="1:17" ht="14.4" customHeight="1" thickBot="1" x14ac:dyDescent="0.35">
      <c r="A2" s="351" t="s">
        <v>288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</row>
    <row r="3" spans="1:17" ht="14.4" customHeight="1" thickBot="1" x14ac:dyDescent="0.35">
      <c r="A3" s="571" t="s">
        <v>57</v>
      </c>
      <c r="B3" s="555" t="s">
        <v>58</v>
      </c>
      <c r="C3" s="556"/>
      <c r="D3" s="556"/>
      <c r="E3" s="557"/>
      <c r="F3" s="558"/>
      <c r="G3" s="555" t="s">
        <v>225</v>
      </c>
      <c r="H3" s="556"/>
      <c r="I3" s="556"/>
      <c r="J3" s="557"/>
      <c r="K3" s="558"/>
      <c r="L3" s="106"/>
      <c r="M3" s="107"/>
      <c r="N3" s="106"/>
      <c r="O3" s="108"/>
    </row>
    <row r="4" spans="1:17" ht="14.4" customHeight="1" thickBot="1" x14ac:dyDescent="0.35">
      <c r="A4" s="572"/>
      <c r="B4" s="109">
        <v>2015</v>
      </c>
      <c r="C4" s="110">
        <v>2016</v>
      </c>
      <c r="D4" s="110">
        <v>2017</v>
      </c>
      <c r="E4" s="434" t="s">
        <v>268</v>
      </c>
      <c r="F4" s="435" t="s">
        <v>2</v>
      </c>
      <c r="G4" s="109">
        <v>2015</v>
      </c>
      <c r="H4" s="110">
        <v>2016</v>
      </c>
      <c r="I4" s="110">
        <v>2017</v>
      </c>
      <c r="J4" s="110" t="s">
        <v>268</v>
      </c>
      <c r="K4" s="111" t="s">
        <v>2</v>
      </c>
      <c r="L4" s="106"/>
      <c r="M4" s="106"/>
      <c r="N4" s="112" t="s">
        <v>59</v>
      </c>
      <c r="O4" s="113" t="s">
        <v>60</v>
      </c>
      <c r="P4" s="112" t="s">
        <v>277</v>
      </c>
      <c r="Q4" s="113" t="s">
        <v>278</v>
      </c>
    </row>
    <row r="5" spans="1:17" ht="14.4" hidden="1" customHeight="1" outlineLevel="1" x14ac:dyDescent="0.3">
      <c r="A5" s="453" t="s">
        <v>150</v>
      </c>
      <c r="B5" s="104">
        <v>29.375</v>
      </c>
      <c r="C5" s="99">
        <v>75.215000000000003</v>
      </c>
      <c r="D5" s="99">
        <v>88.805999999999997</v>
      </c>
      <c r="E5" s="440">
        <f>IF(OR(D5=0,B5=0),"",D5/B5)</f>
        <v>3.0231829787234044</v>
      </c>
      <c r="F5" s="114">
        <f>IF(OR(D5=0,C5=0),"",D5/C5)</f>
        <v>1.1806953400252609</v>
      </c>
      <c r="G5" s="115">
        <v>6</v>
      </c>
      <c r="H5" s="99">
        <v>11</v>
      </c>
      <c r="I5" s="99">
        <v>13</v>
      </c>
      <c r="J5" s="440">
        <f>IF(OR(I5=0,G5=0),"",I5/G5)</f>
        <v>2.1666666666666665</v>
      </c>
      <c r="K5" s="116">
        <f>IF(OR(I5=0,H5=0),"",I5/H5)</f>
        <v>1.1818181818181819</v>
      </c>
      <c r="L5" s="106"/>
      <c r="M5" s="106"/>
      <c r="N5" s="7">
        <f>D5-C5</f>
        <v>13.590999999999994</v>
      </c>
      <c r="O5" s="8">
        <f>I5-H5</f>
        <v>2</v>
      </c>
      <c r="P5" s="7">
        <f>D5-B5</f>
        <v>59.430999999999997</v>
      </c>
      <c r="Q5" s="8">
        <f>I5-G5</f>
        <v>7</v>
      </c>
    </row>
    <row r="6" spans="1:17" ht="14.4" hidden="1" customHeight="1" outlineLevel="1" x14ac:dyDescent="0.3">
      <c r="A6" s="454" t="s">
        <v>151</v>
      </c>
      <c r="B6" s="105">
        <v>15.96</v>
      </c>
      <c r="C6" s="98">
        <v>23.106000000000002</v>
      </c>
      <c r="D6" s="98">
        <v>0</v>
      </c>
      <c r="E6" s="440" t="str">
        <f t="shared" ref="E6:E12" si="0">IF(OR(D6=0,B6=0),"",D6/B6)</f>
        <v/>
      </c>
      <c r="F6" s="114" t="str">
        <f t="shared" ref="F6:F12" si="1">IF(OR(D6=0,C6=0),"",D6/C6)</f>
        <v/>
      </c>
      <c r="G6" s="118">
        <v>3</v>
      </c>
      <c r="H6" s="98">
        <v>4</v>
      </c>
      <c r="I6" s="98">
        <v>0</v>
      </c>
      <c r="J6" s="441" t="str">
        <f t="shared" ref="J6:J12" si="2">IF(OR(I6=0,G6=0),"",I6/G6)</f>
        <v/>
      </c>
      <c r="K6" s="119" t="str">
        <f t="shared" ref="K6:K12" si="3">IF(OR(I6=0,H6=0),"",I6/H6)</f>
        <v/>
      </c>
      <c r="L6" s="106"/>
      <c r="M6" s="106"/>
      <c r="N6" s="5">
        <f t="shared" ref="N6:N13" si="4">D6-C6</f>
        <v>-23.106000000000002</v>
      </c>
      <c r="O6" s="6">
        <f t="shared" ref="O6:O13" si="5">I6-H6</f>
        <v>-4</v>
      </c>
      <c r="P6" s="5">
        <f t="shared" ref="P6:P13" si="6">D6-B6</f>
        <v>-15.96</v>
      </c>
      <c r="Q6" s="6">
        <f t="shared" ref="Q6:Q13" si="7">I6-G6</f>
        <v>-3</v>
      </c>
    </row>
    <row r="7" spans="1:17" ht="14.4" hidden="1" customHeight="1" outlineLevel="1" x14ac:dyDescent="0.3">
      <c r="A7" s="454" t="s">
        <v>152</v>
      </c>
      <c r="B7" s="105">
        <v>61.311</v>
      </c>
      <c r="C7" s="98">
        <v>47.393000000000001</v>
      </c>
      <c r="D7" s="98">
        <v>4.8819999999999997</v>
      </c>
      <c r="E7" s="440">
        <f t="shared" si="0"/>
        <v>7.9626820635774975E-2</v>
      </c>
      <c r="F7" s="114">
        <f t="shared" si="1"/>
        <v>0.10301099318464751</v>
      </c>
      <c r="G7" s="118">
        <v>4</v>
      </c>
      <c r="H7" s="98">
        <v>4</v>
      </c>
      <c r="I7" s="98">
        <v>2</v>
      </c>
      <c r="J7" s="441">
        <f t="shared" si="2"/>
        <v>0.5</v>
      </c>
      <c r="K7" s="119">
        <f t="shared" si="3"/>
        <v>0.5</v>
      </c>
      <c r="L7" s="106"/>
      <c r="M7" s="106"/>
      <c r="N7" s="5">
        <f t="shared" si="4"/>
        <v>-42.511000000000003</v>
      </c>
      <c r="O7" s="6">
        <f t="shared" si="5"/>
        <v>-2</v>
      </c>
      <c r="P7" s="5">
        <f t="shared" si="6"/>
        <v>-56.429000000000002</v>
      </c>
      <c r="Q7" s="6">
        <f t="shared" si="7"/>
        <v>-2</v>
      </c>
    </row>
    <row r="8" spans="1:17" ht="14.4" hidden="1" customHeight="1" outlineLevel="1" x14ac:dyDescent="0.3">
      <c r="A8" s="454" t="s">
        <v>153</v>
      </c>
      <c r="B8" s="105">
        <v>0</v>
      </c>
      <c r="C8" s="98">
        <v>18.574999999999999</v>
      </c>
      <c r="D8" s="98">
        <v>0.51400000000000001</v>
      </c>
      <c r="E8" s="440" t="str">
        <f t="shared" si="0"/>
        <v/>
      </c>
      <c r="F8" s="114">
        <f t="shared" si="1"/>
        <v>2.7671601615074027E-2</v>
      </c>
      <c r="G8" s="118">
        <v>0</v>
      </c>
      <c r="H8" s="98">
        <v>2</v>
      </c>
      <c r="I8" s="98">
        <v>1</v>
      </c>
      <c r="J8" s="441" t="str">
        <f t="shared" si="2"/>
        <v/>
      </c>
      <c r="K8" s="119">
        <f t="shared" si="3"/>
        <v>0.5</v>
      </c>
      <c r="L8" s="106"/>
      <c r="M8" s="106"/>
      <c r="N8" s="5">
        <f t="shared" si="4"/>
        <v>-18.061</v>
      </c>
      <c r="O8" s="6">
        <f t="shared" si="5"/>
        <v>-1</v>
      </c>
      <c r="P8" s="5">
        <f t="shared" si="6"/>
        <v>0.51400000000000001</v>
      </c>
      <c r="Q8" s="6">
        <f t="shared" si="7"/>
        <v>1</v>
      </c>
    </row>
    <row r="9" spans="1:17" ht="14.4" hidden="1" customHeight="1" outlineLevel="1" x14ac:dyDescent="0.3">
      <c r="A9" s="454" t="s">
        <v>154</v>
      </c>
      <c r="B9" s="105">
        <v>0</v>
      </c>
      <c r="C9" s="98">
        <v>0</v>
      </c>
      <c r="D9" s="98">
        <v>0</v>
      </c>
      <c r="E9" s="440" t="str">
        <f t="shared" si="0"/>
        <v/>
      </c>
      <c r="F9" s="114" t="str">
        <f t="shared" si="1"/>
        <v/>
      </c>
      <c r="G9" s="118">
        <v>0</v>
      </c>
      <c r="H9" s="98">
        <v>0</v>
      </c>
      <c r="I9" s="98">
        <v>0</v>
      </c>
      <c r="J9" s="441" t="str">
        <f t="shared" si="2"/>
        <v/>
      </c>
      <c r="K9" s="119" t="str">
        <f t="shared" si="3"/>
        <v/>
      </c>
      <c r="L9" s="106"/>
      <c r="M9" s="106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54" t="s">
        <v>155</v>
      </c>
      <c r="B10" s="105">
        <v>0.85299999999999998</v>
      </c>
      <c r="C10" s="98">
        <v>5.2880000000000003</v>
      </c>
      <c r="D10" s="98">
        <v>10.500999999999999</v>
      </c>
      <c r="E10" s="440">
        <f t="shared" si="0"/>
        <v>12.310668229777256</v>
      </c>
      <c r="F10" s="114">
        <f t="shared" si="1"/>
        <v>1.9858169440242055</v>
      </c>
      <c r="G10" s="118">
        <v>1</v>
      </c>
      <c r="H10" s="98">
        <v>3</v>
      </c>
      <c r="I10" s="98">
        <v>3</v>
      </c>
      <c r="J10" s="441">
        <f t="shared" si="2"/>
        <v>3</v>
      </c>
      <c r="K10" s="119">
        <f t="shared" si="3"/>
        <v>1</v>
      </c>
      <c r="L10" s="106"/>
      <c r="M10" s="106"/>
      <c r="N10" s="5">
        <f t="shared" si="4"/>
        <v>5.2129999999999992</v>
      </c>
      <c r="O10" s="6">
        <f t="shared" si="5"/>
        <v>0</v>
      </c>
      <c r="P10" s="5">
        <f t="shared" si="6"/>
        <v>9.6479999999999997</v>
      </c>
      <c r="Q10" s="6">
        <f t="shared" si="7"/>
        <v>2</v>
      </c>
    </row>
    <row r="11" spans="1:17" ht="14.4" hidden="1" customHeight="1" outlineLevel="1" x14ac:dyDescent="0.3">
      <c r="A11" s="454" t="s">
        <v>156</v>
      </c>
      <c r="B11" s="105">
        <v>0</v>
      </c>
      <c r="C11" s="98">
        <v>0</v>
      </c>
      <c r="D11" s="98">
        <v>12.648</v>
      </c>
      <c r="E11" s="440" t="str">
        <f t="shared" si="0"/>
        <v/>
      </c>
      <c r="F11" s="114" t="str">
        <f t="shared" si="1"/>
        <v/>
      </c>
      <c r="G11" s="118">
        <v>0</v>
      </c>
      <c r="H11" s="98">
        <v>0</v>
      </c>
      <c r="I11" s="98">
        <v>1</v>
      </c>
      <c r="J11" s="441" t="str">
        <f t="shared" si="2"/>
        <v/>
      </c>
      <c r="K11" s="119" t="str">
        <f t="shared" si="3"/>
        <v/>
      </c>
      <c r="L11" s="106"/>
      <c r="M11" s="106"/>
      <c r="N11" s="5">
        <f t="shared" si="4"/>
        <v>12.648</v>
      </c>
      <c r="O11" s="6">
        <f t="shared" si="5"/>
        <v>1</v>
      </c>
      <c r="P11" s="5">
        <f t="shared" si="6"/>
        <v>12.648</v>
      </c>
      <c r="Q11" s="6">
        <f t="shared" si="7"/>
        <v>1</v>
      </c>
    </row>
    <row r="12" spans="1:17" ht="14.4" hidden="1" customHeight="1" outlineLevel="1" thickBot="1" x14ac:dyDescent="0.35">
      <c r="A12" s="455" t="s">
        <v>184</v>
      </c>
      <c r="B12" s="222">
        <v>0</v>
      </c>
      <c r="C12" s="223">
        <v>0</v>
      </c>
      <c r="D12" s="223">
        <v>0</v>
      </c>
      <c r="E12" s="440" t="str">
        <f t="shared" si="0"/>
        <v/>
      </c>
      <c r="F12" s="114" t="str">
        <f t="shared" si="1"/>
        <v/>
      </c>
      <c r="G12" s="225">
        <v>0</v>
      </c>
      <c r="H12" s="223">
        <v>0</v>
      </c>
      <c r="I12" s="223">
        <v>0</v>
      </c>
      <c r="J12" s="442" t="str">
        <f t="shared" si="2"/>
        <v/>
      </c>
      <c r="K12" s="226" t="str">
        <f t="shared" si="3"/>
        <v/>
      </c>
      <c r="L12" s="106"/>
      <c r="M12" s="106"/>
      <c r="N12" s="227">
        <f t="shared" si="4"/>
        <v>0</v>
      </c>
      <c r="O12" s="228">
        <f t="shared" si="5"/>
        <v>0</v>
      </c>
      <c r="P12" s="227">
        <f t="shared" si="6"/>
        <v>0</v>
      </c>
      <c r="Q12" s="228">
        <f t="shared" si="7"/>
        <v>0</v>
      </c>
    </row>
    <row r="13" spans="1:17" ht="14.4" customHeight="1" collapsed="1" thickBot="1" x14ac:dyDescent="0.35">
      <c r="A13" s="102" t="s">
        <v>3</v>
      </c>
      <c r="B13" s="100">
        <f>SUM(B5:B12)</f>
        <v>107.499</v>
      </c>
      <c r="C13" s="101">
        <f>SUM(C5:C12)</f>
        <v>169.577</v>
      </c>
      <c r="D13" s="101">
        <f>SUM(D5:D12)</f>
        <v>117.351</v>
      </c>
      <c r="E13" s="436">
        <f>IF(OR(D13=0,B13=0),0,D13/B13)</f>
        <v>1.0916473641615272</v>
      </c>
      <c r="F13" s="120">
        <f>IF(OR(D13=0,C13=0),0,D13/C13)</f>
        <v>0.69202191334909802</v>
      </c>
      <c r="G13" s="121">
        <f>SUM(G5:G12)</f>
        <v>14</v>
      </c>
      <c r="H13" s="101">
        <f>SUM(H5:H12)</f>
        <v>24</v>
      </c>
      <c r="I13" s="101">
        <f>SUM(I5:I12)</f>
        <v>20</v>
      </c>
      <c r="J13" s="436">
        <f>IF(OR(I13=0,G13=0),0,I13/G13)</f>
        <v>1.4285714285714286</v>
      </c>
      <c r="K13" s="122">
        <f>IF(OR(I13=0,H13=0),0,I13/H13)</f>
        <v>0.83333333333333337</v>
      </c>
      <c r="L13" s="106"/>
      <c r="M13" s="106"/>
      <c r="N13" s="112">
        <f t="shared" si="4"/>
        <v>-52.225999999999999</v>
      </c>
      <c r="O13" s="123">
        <f t="shared" si="5"/>
        <v>-4</v>
      </c>
      <c r="P13" s="112">
        <f t="shared" si="6"/>
        <v>9.8520000000000039</v>
      </c>
      <c r="Q13" s="123">
        <f t="shared" si="7"/>
        <v>6</v>
      </c>
    </row>
    <row r="14" spans="1:17" ht="14.4" customHeight="1" x14ac:dyDescent="0.3">
      <c r="A14" s="124"/>
      <c r="B14" s="573"/>
      <c r="C14" s="573"/>
      <c r="D14" s="573"/>
      <c r="E14" s="574"/>
      <c r="F14" s="573"/>
      <c r="G14" s="573"/>
      <c r="H14" s="573"/>
      <c r="I14" s="573"/>
      <c r="J14" s="574"/>
      <c r="K14" s="573"/>
      <c r="L14" s="106"/>
      <c r="M14" s="106"/>
      <c r="N14" s="106"/>
      <c r="O14" s="108"/>
      <c r="P14" s="106"/>
      <c r="Q14" s="108"/>
    </row>
    <row r="15" spans="1:17" ht="14.4" customHeight="1" thickBot="1" x14ac:dyDescent="0.35">
      <c r="A15" s="124"/>
      <c r="B15" s="331"/>
      <c r="C15" s="332"/>
      <c r="D15" s="332"/>
      <c r="E15" s="332"/>
      <c r="F15" s="332"/>
      <c r="G15" s="331"/>
      <c r="H15" s="332"/>
      <c r="I15" s="332"/>
      <c r="J15" s="332"/>
      <c r="K15" s="332"/>
      <c r="L15" s="106"/>
      <c r="M15" s="106"/>
      <c r="N15" s="106"/>
      <c r="O15" s="108"/>
      <c r="P15" s="106"/>
      <c r="Q15" s="108"/>
    </row>
    <row r="16" spans="1:17" ht="14.4" customHeight="1" thickBot="1" x14ac:dyDescent="0.35">
      <c r="A16" s="575" t="s">
        <v>269</v>
      </c>
      <c r="B16" s="577" t="s">
        <v>58</v>
      </c>
      <c r="C16" s="578"/>
      <c r="D16" s="578"/>
      <c r="E16" s="579"/>
      <c r="F16" s="580"/>
      <c r="G16" s="577" t="s">
        <v>225</v>
      </c>
      <c r="H16" s="578"/>
      <c r="I16" s="578"/>
      <c r="J16" s="579"/>
      <c r="K16" s="580"/>
      <c r="L16" s="596" t="s">
        <v>160</v>
      </c>
      <c r="M16" s="597"/>
      <c r="N16" s="140"/>
      <c r="O16" s="140"/>
      <c r="P16" s="140"/>
      <c r="Q16" s="140"/>
    </row>
    <row r="17" spans="1:17" ht="14.4" customHeight="1" thickBot="1" x14ac:dyDescent="0.35">
      <c r="A17" s="576"/>
      <c r="B17" s="125">
        <v>2015</v>
      </c>
      <c r="C17" s="126">
        <v>2016</v>
      </c>
      <c r="D17" s="126">
        <v>2017</v>
      </c>
      <c r="E17" s="126" t="s">
        <v>268</v>
      </c>
      <c r="F17" s="127" t="s">
        <v>2</v>
      </c>
      <c r="G17" s="125">
        <v>2015</v>
      </c>
      <c r="H17" s="126">
        <v>2016</v>
      </c>
      <c r="I17" s="126">
        <v>2017</v>
      </c>
      <c r="J17" s="126" t="s">
        <v>268</v>
      </c>
      <c r="K17" s="127" t="s">
        <v>2</v>
      </c>
      <c r="L17" s="567" t="s">
        <v>161</v>
      </c>
      <c r="M17" s="568"/>
      <c r="N17" s="128" t="s">
        <v>59</v>
      </c>
      <c r="O17" s="129" t="s">
        <v>60</v>
      </c>
      <c r="P17" s="128" t="s">
        <v>277</v>
      </c>
      <c r="Q17" s="129" t="s">
        <v>278</v>
      </c>
    </row>
    <row r="18" spans="1:17" ht="14.4" hidden="1" customHeight="1" outlineLevel="1" x14ac:dyDescent="0.3">
      <c r="A18" s="453" t="s">
        <v>150</v>
      </c>
      <c r="B18" s="104">
        <v>29.375</v>
      </c>
      <c r="C18" s="99">
        <v>75.215000000000003</v>
      </c>
      <c r="D18" s="99">
        <v>84.084999999999994</v>
      </c>
      <c r="E18" s="440">
        <f>IF(OR(D18=0,B18=0),"",D18/B18)</f>
        <v>2.8624680851063826</v>
      </c>
      <c r="F18" s="114">
        <f>IF(OR(D18=0,C18=0),"",D18/C18)</f>
        <v>1.1179286046666221</v>
      </c>
      <c r="G18" s="104">
        <v>6</v>
      </c>
      <c r="H18" s="99">
        <v>11</v>
      </c>
      <c r="I18" s="99">
        <v>12</v>
      </c>
      <c r="J18" s="440">
        <f>IF(OR(I18=0,G18=0),"",I18/G18)</f>
        <v>2</v>
      </c>
      <c r="K18" s="116">
        <f>IF(OR(I18=0,H18=0),"",I18/H18)</f>
        <v>1.0909090909090908</v>
      </c>
      <c r="L18" s="569">
        <v>0.91871999999999998</v>
      </c>
      <c r="M18" s="570"/>
      <c r="N18" s="130">
        <f t="shared" ref="N18:N26" si="8">D18-C18</f>
        <v>8.8699999999999903</v>
      </c>
      <c r="O18" s="131">
        <f t="shared" ref="O18:O26" si="9">I18-H18</f>
        <v>1</v>
      </c>
      <c r="P18" s="130">
        <f t="shared" ref="P18:P26" si="10">D18-B18</f>
        <v>54.709999999999994</v>
      </c>
      <c r="Q18" s="131">
        <f t="shared" ref="Q18:Q26" si="11">I18-G18</f>
        <v>6</v>
      </c>
    </row>
    <row r="19" spans="1:17" ht="14.4" hidden="1" customHeight="1" outlineLevel="1" x14ac:dyDescent="0.3">
      <c r="A19" s="454" t="s">
        <v>151</v>
      </c>
      <c r="B19" s="105">
        <v>15.96</v>
      </c>
      <c r="C19" s="98">
        <v>23.106000000000002</v>
      </c>
      <c r="D19" s="98">
        <v>0</v>
      </c>
      <c r="E19" s="441" t="str">
        <f t="shared" ref="E19:E25" si="12">IF(OR(D19=0,B19=0),"",D19/B19)</f>
        <v/>
      </c>
      <c r="F19" s="117" t="str">
        <f t="shared" ref="F19:F25" si="13">IF(OR(D19=0,C19=0),"",D19/C19)</f>
        <v/>
      </c>
      <c r="G19" s="105">
        <v>3</v>
      </c>
      <c r="H19" s="98">
        <v>4</v>
      </c>
      <c r="I19" s="98">
        <v>0</v>
      </c>
      <c r="J19" s="441" t="str">
        <f t="shared" ref="J19:J25" si="14">IF(OR(I19=0,G19=0),"",I19/G19)</f>
        <v/>
      </c>
      <c r="K19" s="119" t="str">
        <f t="shared" ref="K19:K25" si="15">IF(OR(I19=0,H19=0),"",I19/H19)</f>
        <v/>
      </c>
      <c r="L19" s="569">
        <v>0.99456</v>
      </c>
      <c r="M19" s="570"/>
      <c r="N19" s="132">
        <f t="shared" si="8"/>
        <v>-23.106000000000002</v>
      </c>
      <c r="O19" s="133">
        <f t="shared" si="9"/>
        <v>-4</v>
      </c>
      <c r="P19" s="132">
        <f t="shared" si="10"/>
        <v>-15.96</v>
      </c>
      <c r="Q19" s="133">
        <f t="shared" si="11"/>
        <v>-3</v>
      </c>
    </row>
    <row r="20" spans="1:17" ht="14.4" hidden="1" customHeight="1" outlineLevel="1" x14ac:dyDescent="0.3">
      <c r="A20" s="454" t="s">
        <v>152</v>
      </c>
      <c r="B20" s="105">
        <v>61.311</v>
      </c>
      <c r="C20" s="98">
        <v>47.393000000000001</v>
      </c>
      <c r="D20" s="98">
        <v>4.8819999999999997</v>
      </c>
      <c r="E20" s="441">
        <f t="shared" si="12"/>
        <v>7.9626820635774975E-2</v>
      </c>
      <c r="F20" s="117">
        <f t="shared" si="13"/>
        <v>0.10301099318464751</v>
      </c>
      <c r="G20" s="105">
        <v>4</v>
      </c>
      <c r="H20" s="98">
        <v>4</v>
      </c>
      <c r="I20" s="98">
        <v>2</v>
      </c>
      <c r="J20" s="441">
        <f t="shared" si="14"/>
        <v>0.5</v>
      </c>
      <c r="K20" s="119">
        <f t="shared" si="15"/>
        <v>0.5</v>
      </c>
      <c r="L20" s="569">
        <v>0.96671999999999991</v>
      </c>
      <c r="M20" s="570"/>
      <c r="N20" s="132">
        <f t="shared" si="8"/>
        <v>-42.511000000000003</v>
      </c>
      <c r="O20" s="133">
        <f t="shared" si="9"/>
        <v>-2</v>
      </c>
      <c r="P20" s="132">
        <f t="shared" si="10"/>
        <v>-56.429000000000002</v>
      </c>
      <c r="Q20" s="133">
        <f t="shared" si="11"/>
        <v>-2</v>
      </c>
    </row>
    <row r="21" spans="1:17" ht="14.4" hidden="1" customHeight="1" outlineLevel="1" x14ac:dyDescent="0.3">
      <c r="A21" s="454" t="s">
        <v>153</v>
      </c>
      <c r="B21" s="105">
        <v>0</v>
      </c>
      <c r="C21" s="98">
        <v>18.574999999999999</v>
      </c>
      <c r="D21" s="98">
        <v>0.51400000000000001</v>
      </c>
      <c r="E21" s="441" t="str">
        <f t="shared" si="12"/>
        <v/>
      </c>
      <c r="F21" s="117">
        <f t="shared" si="13"/>
        <v>2.7671601615074027E-2</v>
      </c>
      <c r="G21" s="105">
        <v>0</v>
      </c>
      <c r="H21" s="98">
        <v>2</v>
      </c>
      <c r="I21" s="98">
        <v>1</v>
      </c>
      <c r="J21" s="441" t="str">
        <f t="shared" si="14"/>
        <v/>
      </c>
      <c r="K21" s="119">
        <f t="shared" si="15"/>
        <v>0.5</v>
      </c>
      <c r="L21" s="569">
        <v>1.11744</v>
      </c>
      <c r="M21" s="570"/>
      <c r="N21" s="132">
        <f t="shared" si="8"/>
        <v>-18.061</v>
      </c>
      <c r="O21" s="133">
        <f t="shared" si="9"/>
        <v>-1</v>
      </c>
      <c r="P21" s="132">
        <f t="shared" si="10"/>
        <v>0.51400000000000001</v>
      </c>
      <c r="Q21" s="133">
        <f t="shared" si="11"/>
        <v>1</v>
      </c>
    </row>
    <row r="22" spans="1:17" ht="14.4" hidden="1" customHeight="1" outlineLevel="1" x14ac:dyDescent="0.3">
      <c r="A22" s="454" t="s">
        <v>154</v>
      </c>
      <c r="B22" s="105">
        <v>0</v>
      </c>
      <c r="C22" s="98">
        <v>0</v>
      </c>
      <c r="D22" s="98">
        <v>0</v>
      </c>
      <c r="E22" s="441" t="str">
        <f t="shared" si="12"/>
        <v/>
      </c>
      <c r="F22" s="117" t="str">
        <f t="shared" si="13"/>
        <v/>
      </c>
      <c r="G22" s="105">
        <v>0</v>
      </c>
      <c r="H22" s="98">
        <v>0</v>
      </c>
      <c r="I22" s="98">
        <v>0</v>
      </c>
      <c r="J22" s="441" t="str">
        <f t="shared" si="14"/>
        <v/>
      </c>
      <c r="K22" s="119" t="str">
        <f t="shared" si="15"/>
        <v/>
      </c>
      <c r="L22" s="569">
        <v>0.96</v>
      </c>
      <c r="M22" s="570"/>
      <c r="N22" s="132">
        <f t="shared" si="8"/>
        <v>0</v>
      </c>
      <c r="O22" s="133">
        <f t="shared" si="9"/>
        <v>0</v>
      </c>
      <c r="P22" s="132">
        <f t="shared" si="10"/>
        <v>0</v>
      </c>
      <c r="Q22" s="133">
        <f t="shared" si="11"/>
        <v>0</v>
      </c>
    </row>
    <row r="23" spans="1:17" ht="14.4" hidden="1" customHeight="1" outlineLevel="1" x14ac:dyDescent="0.3">
      <c r="A23" s="454" t="s">
        <v>155</v>
      </c>
      <c r="B23" s="105">
        <v>0.85299999999999998</v>
      </c>
      <c r="C23" s="98">
        <v>5.2880000000000003</v>
      </c>
      <c r="D23" s="98">
        <v>10.500999999999999</v>
      </c>
      <c r="E23" s="441">
        <f t="shared" si="12"/>
        <v>12.310668229777256</v>
      </c>
      <c r="F23" s="117">
        <f t="shared" si="13"/>
        <v>1.9858169440242055</v>
      </c>
      <c r="G23" s="105">
        <v>1</v>
      </c>
      <c r="H23" s="98">
        <v>3</v>
      </c>
      <c r="I23" s="98">
        <v>3</v>
      </c>
      <c r="J23" s="441">
        <f t="shared" si="14"/>
        <v>3</v>
      </c>
      <c r="K23" s="119">
        <f t="shared" si="15"/>
        <v>1</v>
      </c>
      <c r="L23" s="569">
        <v>0.98495999999999995</v>
      </c>
      <c r="M23" s="570"/>
      <c r="N23" s="132">
        <f t="shared" si="8"/>
        <v>5.2129999999999992</v>
      </c>
      <c r="O23" s="133">
        <f t="shared" si="9"/>
        <v>0</v>
      </c>
      <c r="P23" s="132">
        <f t="shared" si="10"/>
        <v>9.6479999999999997</v>
      </c>
      <c r="Q23" s="133">
        <f t="shared" si="11"/>
        <v>2</v>
      </c>
    </row>
    <row r="24" spans="1:17" ht="14.4" hidden="1" customHeight="1" outlineLevel="1" x14ac:dyDescent="0.3">
      <c r="A24" s="454" t="s">
        <v>156</v>
      </c>
      <c r="B24" s="105">
        <v>0</v>
      </c>
      <c r="C24" s="98">
        <v>0</v>
      </c>
      <c r="D24" s="98">
        <v>12.648</v>
      </c>
      <c r="E24" s="441" t="str">
        <f t="shared" si="12"/>
        <v/>
      </c>
      <c r="F24" s="117" t="str">
        <f t="shared" si="13"/>
        <v/>
      </c>
      <c r="G24" s="105">
        <v>0</v>
      </c>
      <c r="H24" s="98">
        <v>0</v>
      </c>
      <c r="I24" s="98">
        <v>1</v>
      </c>
      <c r="J24" s="441" t="str">
        <f t="shared" si="14"/>
        <v/>
      </c>
      <c r="K24" s="119" t="str">
        <f t="shared" si="15"/>
        <v/>
      </c>
      <c r="L24" s="569">
        <v>1.0147199999999998</v>
      </c>
      <c r="M24" s="570"/>
      <c r="N24" s="132">
        <f t="shared" si="8"/>
        <v>12.648</v>
      </c>
      <c r="O24" s="133">
        <f t="shared" si="9"/>
        <v>1</v>
      </c>
      <c r="P24" s="132">
        <f t="shared" si="10"/>
        <v>12.648</v>
      </c>
      <c r="Q24" s="133">
        <f t="shared" si="11"/>
        <v>1</v>
      </c>
    </row>
    <row r="25" spans="1:17" ht="14.4" hidden="1" customHeight="1" outlineLevel="1" thickBot="1" x14ac:dyDescent="0.35">
      <c r="A25" s="455" t="s">
        <v>184</v>
      </c>
      <c r="B25" s="222">
        <v>0</v>
      </c>
      <c r="C25" s="223">
        <v>0</v>
      </c>
      <c r="D25" s="223">
        <v>0</v>
      </c>
      <c r="E25" s="442" t="str">
        <f t="shared" si="12"/>
        <v/>
      </c>
      <c r="F25" s="224" t="str">
        <f t="shared" si="13"/>
        <v/>
      </c>
      <c r="G25" s="222">
        <v>0</v>
      </c>
      <c r="H25" s="223">
        <v>0</v>
      </c>
      <c r="I25" s="223">
        <v>0</v>
      </c>
      <c r="J25" s="442" t="str">
        <f t="shared" si="14"/>
        <v/>
      </c>
      <c r="K25" s="226" t="str">
        <f t="shared" si="15"/>
        <v/>
      </c>
      <c r="L25" s="333"/>
      <c r="M25" s="334"/>
      <c r="N25" s="229">
        <f t="shared" si="8"/>
        <v>0</v>
      </c>
      <c r="O25" s="230">
        <f t="shared" si="9"/>
        <v>0</v>
      </c>
      <c r="P25" s="229">
        <f t="shared" si="10"/>
        <v>0</v>
      </c>
      <c r="Q25" s="230">
        <f t="shared" si="11"/>
        <v>0</v>
      </c>
    </row>
    <row r="26" spans="1:17" ht="14.4" customHeight="1" collapsed="1" thickBot="1" x14ac:dyDescent="0.35">
      <c r="A26" s="458" t="s">
        <v>3</v>
      </c>
      <c r="B26" s="134">
        <f>SUM(B18:B25)</f>
        <v>107.499</v>
      </c>
      <c r="C26" s="135">
        <f>SUM(C18:C25)</f>
        <v>169.577</v>
      </c>
      <c r="D26" s="135">
        <f>SUM(D18:D25)</f>
        <v>112.63</v>
      </c>
      <c r="E26" s="437">
        <f>IF(OR(D26=0,B26=0),0,D26/B26)</f>
        <v>1.0477306765644332</v>
      </c>
      <c r="F26" s="136">
        <f>IF(OR(D26=0,C26=0),0,D26/C26)</f>
        <v>0.66418205299067679</v>
      </c>
      <c r="G26" s="134">
        <f>SUM(G18:G25)</f>
        <v>14</v>
      </c>
      <c r="H26" s="135">
        <f>SUM(H18:H25)</f>
        <v>24</v>
      </c>
      <c r="I26" s="135">
        <f>SUM(I18:I25)</f>
        <v>19</v>
      </c>
      <c r="J26" s="437">
        <f>IF(OR(I26=0,G26=0),0,I26/G26)</f>
        <v>1.3571428571428572</v>
      </c>
      <c r="K26" s="137">
        <f>IF(OR(I26=0,H26=0),0,I26/H26)</f>
        <v>0.79166666666666663</v>
      </c>
      <c r="L26" s="106"/>
      <c r="M26" s="106"/>
      <c r="N26" s="128">
        <f t="shared" si="8"/>
        <v>-56.947000000000003</v>
      </c>
      <c r="O26" s="138">
        <f t="shared" si="9"/>
        <v>-5</v>
      </c>
      <c r="P26" s="128">
        <f t="shared" si="10"/>
        <v>5.1310000000000002</v>
      </c>
      <c r="Q26" s="138">
        <f t="shared" si="11"/>
        <v>5</v>
      </c>
    </row>
    <row r="27" spans="1:17" ht="14.4" customHeight="1" x14ac:dyDescent="0.3">
      <c r="A27" s="139"/>
      <c r="B27" s="573" t="s">
        <v>182</v>
      </c>
      <c r="C27" s="582"/>
      <c r="D27" s="582"/>
      <c r="E27" s="583"/>
      <c r="F27" s="582"/>
      <c r="G27" s="573" t="s">
        <v>183</v>
      </c>
      <c r="H27" s="582"/>
      <c r="I27" s="582"/>
      <c r="J27" s="583"/>
      <c r="K27" s="582"/>
      <c r="L27" s="140"/>
      <c r="M27" s="140"/>
      <c r="N27" s="140"/>
      <c r="O27" s="141"/>
      <c r="P27" s="140"/>
      <c r="Q27" s="141"/>
    </row>
    <row r="28" spans="1:17" ht="14.4" customHeight="1" thickBot="1" x14ac:dyDescent="0.35">
      <c r="A28" s="139"/>
      <c r="B28" s="331"/>
      <c r="C28" s="332"/>
      <c r="D28" s="332"/>
      <c r="E28" s="332"/>
      <c r="F28" s="332"/>
      <c r="G28" s="331"/>
      <c r="H28" s="332"/>
      <c r="I28" s="332"/>
      <c r="J28" s="332"/>
      <c r="K28" s="332"/>
      <c r="L28" s="140"/>
      <c r="M28" s="140"/>
      <c r="N28" s="140"/>
      <c r="O28" s="141"/>
      <c r="P28" s="140"/>
      <c r="Q28" s="141"/>
    </row>
    <row r="29" spans="1:17" ht="14.4" customHeight="1" thickBot="1" x14ac:dyDescent="0.35">
      <c r="A29" s="590" t="s">
        <v>270</v>
      </c>
      <c r="B29" s="592" t="s">
        <v>58</v>
      </c>
      <c r="C29" s="593"/>
      <c r="D29" s="593"/>
      <c r="E29" s="594"/>
      <c r="F29" s="595"/>
      <c r="G29" s="593" t="s">
        <v>225</v>
      </c>
      <c r="H29" s="593"/>
      <c r="I29" s="593"/>
      <c r="J29" s="594"/>
      <c r="K29" s="595"/>
      <c r="L29" s="140"/>
      <c r="M29" s="140"/>
      <c r="N29" s="140"/>
      <c r="O29" s="141"/>
      <c r="P29" s="140"/>
      <c r="Q29" s="141"/>
    </row>
    <row r="30" spans="1:17" ht="14.4" customHeight="1" thickBot="1" x14ac:dyDescent="0.35">
      <c r="A30" s="591"/>
      <c r="B30" s="142">
        <v>2015</v>
      </c>
      <c r="C30" s="143">
        <v>2016</v>
      </c>
      <c r="D30" s="143">
        <v>2017</v>
      </c>
      <c r="E30" s="143" t="s">
        <v>268</v>
      </c>
      <c r="F30" s="144" t="s">
        <v>2</v>
      </c>
      <c r="G30" s="143">
        <v>2015</v>
      </c>
      <c r="H30" s="143">
        <v>2016</v>
      </c>
      <c r="I30" s="143">
        <v>2017</v>
      </c>
      <c r="J30" s="143" t="s">
        <v>268</v>
      </c>
      <c r="K30" s="144" t="s">
        <v>2</v>
      </c>
      <c r="L30" s="140"/>
      <c r="M30" s="140"/>
      <c r="N30" s="145" t="s">
        <v>59</v>
      </c>
      <c r="O30" s="146" t="s">
        <v>60</v>
      </c>
      <c r="P30" s="145" t="s">
        <v>277</v>
      </c>
      <c r="Q30" s="146" t="s">
        <v>278</v>
      </c>
    </row>
    <row r="31" spans="1:17" ht="14.4" hidden="1" customHeight="1" outlineLevel="1" x14ac:dyDescent="0.3">
      <c r="A31" s="453" t="s">
        <v>150</v>
      </c>
      <c r="B31" s="104">
        <v>0</v>
      </c>
      <c r="C31" s="99">
        <v>0</v>
      </c>
      <c r="D31" s="99">
        <v>4.7210000000000001</v>
      </c>
      <c r="E31" s="440" t="str">
        <f>IF(OR(D31=0,B31=0),"",D31/B31)</f>
        <v/>
      </c>
      <c r="F31" s="114" t="str">
        <f>IF(OR(D31=0,C31=0),"",D31/C31)</f>
        <v/>
      </c>
      <c r="G31" s="115">
        <v>0</v>
      </c>
      <c r="H31" s="99">
        <v>0</v>
      </c>
      <c r="I31" s="99">
        <v>1</v>
      </c>
      <c r="J31" s="440" t="str">
        <f>IF(OR(I31=0,G31=0),"",I31/G31)</f>
        <v/>
      </c>
      <c r="K31" s="116" t="str">
        <f>IF(OR(I31=0,H31=0),"",I31/H31)</f>
        <v/>
      </c>
      <c r="L31" s="140"/>
      <c r="M31" s="140"/>
      <c r="N31" s="130">
        <f t="shared" ref="N31:N39" si="16">D31-C31</f>
        <v>4.7210000000000001</v>
      </c>
      <c r="O31" s="131">
        <f t="shared" ref="O31:O39" si="17">I31-H31</f>
        <v>1</v>
      </c>
      <c r="P31" s="130">
        <f t="shared" ref="P31:P39" si="18">D31-B31</f>
        <v>4.7210000000000001</v>
      </c>
      <c r="Q31" s="131">
        <f t="shared" ref="Q31:Q39" si="19">I31-G31</f>
        <v>1</v>
      </c>
    </row>
    <row r="32" spans="1:17" ht="14.4" hidden="1" customHeight="1" outlineLevel="1" x14ac:dyDescent="0.3">
      <c r="A32" s="454" t="s">
        <v>151</v>
      </c>
      <c r="B32" s="105">
        <v>0</v>
      </c>
      <c r="C32" s="98">
        <v>0</v>
      </c>
      <c r="D32" s="98">
        <v>0</v>
      </c>
      <c r="E32" s="441" t="str">
        <f t="shared" ref="E32:E38" si="20">IF(OR(D32=0,B32=0),"",D32/B32)</f>
        <v/>
      </c>
      <c r="F32" s="117" t="str">
        <f t="shared" ref="F32:F38" si="21">IF(OR(D32=0,C32=0),"",D32/C32)</f>
        <v/>
      </c>
      <c r="G32" s="118">
        <v>0</v>
      </c>
      <c r="H32" s="98">
        <v>0</v>
      </c>
      <c r="I32" s="98">
        <v>0</v>
      </c>
      <c r="J32" s="441" t="str">
        <f t="shared" ref="J32:J38" si="22">IF(OR(I32=0,G32=0),"",I32/G32)</f>
        <v/>
      </c>
      <c r="K32" s="119" t="str">
        <f t="shared" ref="K32:K38" si="23">IF(OR(I32=0,H32=0),"",I32/H32)</f>
        <v/>
      </c>
      <c r="L32" s="140"/>
      <c r="M32" s="140"/>
      <c r="N32" s="132">
        <f t="shared" si="16"/>
        <v>0</v>
      </c>
      <c r="O32" s="133">
        <f t="shared" si="17"/>
        <v>0</v>
      </c>
      <c r="P32" s="132">
        <f t="shared" si="18"/>
        <v>0</v>
      </c>
      <c r="Q32" s="133">
        <f t="shared" si="19"/>
        <v>0</v>
      </c>
    </row>
    <row r="33" spans="1:17" ht="14.4" hidden="1" customHeight="1" outlineLevel="1" x14ac:dyDescent="0.3">
      <c r="A33" s="454" t="s">
        <v>152</v>
      </c>
      <c r="B33" s="105">
        <v>0</v>
      </c>
      <c r="C33" s="98">
        <v>0</v>
      </c>
      <c r="D33" s="98">
        <v>0</v>
      </c>
      <c r="E33" s="441" t="str">
        <f t="shared" si="20"/>
        <v/>
      </c>
      <c r="F33" s="117" t="str">
        <f t="shared" si="21"/>
        <v/>
      </c>
      <c r="G33" s="118">
        <v>0</v>
      </c>
      <c r="H33" s="98">
        <v>0</v>
      </c>
      <c r="I33" s="98">
        <v>0</v>
      </c>
      <c r="J33" s="441" t="str">
        <f t="shared" si="22"/>
        <v/>
      </c>
      <c r="K33" s="119" t="str">
        <f t="shared" si="23"/>
        <v/>
      </c>
      <c r="L33" s="140"/>
      <c r="M33" s="140"/>
      <c r="N33" s="132">
        <f t="shared" si="16"/>
        <v>0</v>
      </c>
      <c r="O33" s="133">
        <f t="shared" si="17"/>
        <v>0</v>
      </c>
      <c r="P33" s="132">
        <f t="shared" si="18"/>
        <v>0</v>
      </c>
      <c r="Q33" s="133">
        <f t="shared" si="19"/>
        <v>0</v>
      </c>
    </row>
    <row r="34" spans="1:17" ht="14.4" hidden="1" customHeight="1" outlineLevel="1" x14ac:dyDescent="0.3">
      <c r="A34" s="454" t="s">
        <v>153</v>
      </c>
      <c r="B34" s="105">
        <v>0</v>
      </c>
      <c r="C34" s="98">
        <v>0</v>
      </c>
      <c r="D34" s="98">
        <v>0</v>
      </c>
      <c r="E34" s="441" t="str">
        <f t="shared" si="20"/>
        <v/>
      </c>
      <c r="F34" s="117" t="str">
        <f t="shared" si="21"/>
        <v/>
      </c>
      <c r="G34" s="118">
        <v>0</v>
      </c>
      <c r="H34" s="98">
        <v>0</v>
      </c>
      <c r="I34" s="98">
        <v>0</v>
      </c>
      <c r="J34" s="441" t="str">
        <f t="shared" si="22"/>
        <v/>
      </c>
      <c r="K34" s="119" t="str">
        <f t="shared" si="23"/>
        <v/>
      </c>
      <c r="L34" s="140"/>
      <c r="M34" s="140"/>
      <c r="N34" s="132">
        <f t="shared" si="16"/>
        <v>0</v>
      </c>
      <c r="O34" s="133">
        <f t="shared" si="17"/>
        <v>0</v>
      </c>
      <c r="P34" s="132">
        <f t="shared" si="18"/>
        <v>0</v>
      </c>
      <c r="Q34" s="133">
        <f t="shared" si="19"/>
        <v>0</v>
      </c>
    </row>
    <row r="35" spans="1:17" ht="14.4" hidden="1" customHeight="1" outlineLevel="1" x14ac:dyDescent="0.3">
      <c r="A35" s="454" t="s">
        <v>154</v>
      </c>
      <c r="B35" s="105">
        <v>0</v>
      </c>
      <c r="C35" s="98">
        <v>0</v>
      </c>
      <c r="D35" s="98">
        <v>0</v>
      </c>
      <c r="E35" s="441" t="str">
        <f t="shared" si="20"/>
        <v/>
      </c>
      <c r="F35" s="117" t="str">
        <f t="shared" si="21"/>
        <v/>
      </c>
      <c r="G35" s="118">
        <v>0</v>
      </c>
      <c r="H35" s="98">
        <v>0</v>
      </c>
      <c r="I35" s="98">
        <v>0</v>
      </c>
      <c r="J35" s="441" t="str">
        <f t="shared" si="22"/>
        <v/>
      </c>
      <c r="K35" s="119" t="str">
        <f t="shared" si="23"/>
        <v/>
      </c>
      <c r="L35" s="140"/>
      <c r="M35" s="140"/>
      <c r="N35" s="132">
        <f t="shared" si="16"/>
        <v>0</v>
      </c>
      <c r="O35" s="133">
        <f t="shared" si="17"/>
        <v>0</v>
      </c>
      <c r="P35" s="132">
        <f t="shared" si="18"/>
        <v>0</v>
      </c>
      <c r="Q35" s="133">
        <f t="shared" si="19"/>
        <v>0</v>
      </c>
    </row>
    <row r="36" spans="1:17" ht="14.4" hidden="1" customHeight="1" outlineLevel="1" x14ac:dyDescent="0.3">
      <c r="A36" s="454" t="s">
        <v>155</v>
      </c>
      <c r="B36" s="105">
        <v>0</v>
      </c>
      <c r="C36" s="98">
        <v>0</v>
      </c>
      <c r="D36" s="98">
        <v>0</v>
      </c>
      <c r="E36" s="441" t="str">
        <f t="shared" si="20"/>
        <v/>
      </c>
      <c r="F36" s="117" t="str">
        <f t="shared" si="21"/>
        <v/>
      </c>
      <c r="G36" s="118">
        <v>0</v>
      </c>
      <c r="H36" s="98">
        <v>0</v>
      </c>
      <c r="I36" s="98">
        <v>0</v>
      </c>
      <c r="J36" s="441" t="str">
        <f t="shared" si="22"/>
        <v/>
      </c>
      <c r="K36" s="119" t="str">
        <f t="shared" si="23"/>
        <v/>
      </c>
      <c r="L36" s="140"/>
      <c r="M36" s="140"/>
      <c r="N36" s="132">
        <f t="shared" si="16"/>
        <v>0</v>
      </c>
      <c r="O36" s="133">
        <f t="shared" si="17"/>
        <v>0</v>
      </c>
      <c r="P36" s="132">
        <f t="shared" si="18"/>
        <v>0</v>
      </c>
      <c r="Q36" s="133">
        <f t="shared" si="19"/>
        <v>0</v>
      </c>
    </row>
    <row r="37" spans="1:17" ht="14.4" hidden="1" customHeight="1" outlineLevel="1" x14ac:dyDescent="0.3">
      <c r="A37" s="454" t="s">
        <v>156</v>
      </c>
      <c r="B37" s="105">
        <v>0</v>
      </c>
      <c r="C37" s="98">
        <v>0</v>
      </c>
      <c r="D37" s="98">
        <v>0</v>
      </c>
      <c r="E37" s="441" t="str">
        <f t="shared" si="20"/>
        <v/>
      </c>
      <c r="F37" s="117" t="str">
        <f t="shared" si="21"/>
        <v/>
      </c>
      <c r="G37" s="118">
        <v>0</v>
      </c>
      <c r="H37" s="98">
        <v>0</v>
      </c>
      <c r="I37" s="98">
        <v>0</v>
      </c>
      <c r="J37" s="441" t="str">
        <f t="shared" si="22"/>
        <v/>
      </c>
      <c r="K37" s="119" t="str">
        <f t="shared" si="23"/>
        <v/>
      </c>
      <c r="L37" s="140"/>
      <c r="M37" s="140"/>
      <c r="N37" s="132">
        <f t="shared" si="16"/>
        <v>0</v>
      </c>
      <c r="O37" s="133">
        <f t="shared" si="17"/>
        <v>0</v>
      </c>
      <c r="P37" s="132">
        <f t="shared" si="18"/>
        <v>0</v>
      </c>
      <c r="Q37" s="133">
        <f t="shared" si="19"/>
        <v>0</v>
      </c>
    </row>
    <row r="38" spans="1:17" ht="14.4" hidden="1" customHeight="1" outlineLevel="1" thickBot="1" x14ac:dyDescent="0.35">
      <c r="A38" s="455" t="s">
        <v>184</v>
      </c>
      <c r="B38" s="222">
        <v>0</v>
      </c>
      <c r="C38" s="223">
        <v>0</v>
      </c>
      <c r="D38" s="223">
        <v>0</v>
      </c>
      <c r="E38" s="442" t="str">
        <f t="shared" si="20"/>
        <v/>
      </c>
      <c r="F38" s="224" t="str">
        <f t="shared" si="21"/>
        <v/>
      </c>
      <c r="G38" s="225">
        <v>0</v>
      </c>
      <c r="H38" s="223">
        <v>0</v>
      </c>
      <c r="I38" s="223">
        <v>0</v>
      </c>
      <c r="J38" s="442" t="str">
        <f t="shared" si="22"/>
        <v/>
      </c>
      <c r="K38" s="226" t="str">
        <f t="shared" si="23"/>
        <v/>
      </c>
      <c r="L38" s="140"/>
      <c r="M38" s="140"/>
      <c r="N38" s="229">
        <f t="shared" si="16"/>
        <v>0</v>
      </c>
      <c r="O38" s="230">
        <f t="shared" si="17"/>
        <v>0</v>
      </c>
      <c r="P38" s="229">
        <f t="shared" si="18"/>
        <v>0</v>
      </c>
      <c r="Q38" s="230">
        <f t="shared" si="19"/>
        <v>0</v>
      </c>
    </row>
    <row r="39" spans="1:17" ht="14.4" customHeight="1" collapsed="1" thickBot="1" x14ac:dyDescent="0.35">
      <c r="A39" s="457" t="s">
        <v>3</v>
      </c>
      <c r="B39" s="103">
        <f>SUM(B31:B38)</f>
        <v>0</v>
      </c>
      <c r="C39" s="147">
        <f>SUM(C31:C38)</f>
        <v>0</v>
      </c>
      <c r="D39" s="147">
        <f>SUM(D31:D38)</f>
        <v>4.7210000000000001</v>
      </c>
      <c r="E39" s="438">
        <f>IF(OR(D39=0,B39=0),0,D39/B39)</f>
        <v>0</v>
      </c>
      <c r="F39" s="148">
        <f>IF(OR(D39=0,C39=0),0,D39/C39)</f>
        <v>0</v>
      </c>
      <c r="G39" s="149">
        <f>SUM(G31:G38)</f>
        <v>0</v>
      </c>
      <c r="H39" s="147">
        <f>SUM(H31:H38)</f>
        <v>0</v>
      </c>
      <c r="I39" s="147">
        <f>SUM(I31:I38)</f>
        <v>1</v>
      </c>
      <c r="J39" s="438">
        <f>IF(OR(I39=0,G39=0),0,I39/G39)</f>
        <v>0</v>
      </c>
      <c r="K39" s="150">
        <f>IF(OR(I39=0,H39=0),0,I39/H39)</f>
        <v>0</v>
      </c>
      <c r="L39" s="140"/>
      <c r="M39" s="140"/>
      <c r="N39" s="145">
        <f t="shared" si="16"/>
        <v>4.7210000000000001</v>
      </c>
      <c r="O39" s="151">
        <f t="shared" si="17"/>
        <v>1</v>
      </c>
      <c r="P39" s="145">
        <f t="shared" si="18"/>
        <v>4.7210000000000001</v>
      </c>
      <c r="Q39" s="151">
        <f t="shared" si="19"/>
        <v>1</v>
      </c>
    </row>
    <row r="40" spans="1:17" ht="14.4" customHeight="1" x14ac:dyDescent="0.25">
      <c r="A40" s="335"/>
      <c r="B40" s="335"/>
      <c r="C40" s="335"/>
      <c r="D40" s="335"/>
      <c r="E40" s="335"/>
      <c r="F40" s="336"/>
      <c r="G40" s="335"/>
      <c r="H40" s="335"/>
      <c r="I40" s="335"/>
      <c r="J40" s="335"/>
      <c r="K40" s="337"/>
      <c r="L40" s="335"/>
      <c r="M40" s="335"/>
      <c r="N40" s="335"/>
      <c r="O40" s="335"/>
      <c r="P40" s="335"/>
      <c r="Q40" s="335"/>
    </row>
    <row r="41" spans="1:17" ht="14.4" customHeight="1" thickBot="1" x14ac:dyDescent="0.3">
      <c r="A41" s="335"/>
      <c r="B41" s="335"/>
      <c r="C41" s="335"/>
      <c r="D41" s="335"/>
      <c r="E41" s="335"/>
      <c r="F41" s="336"/>
      <c r="G41" s="335"/>
      <c r="H41" s="335"/>
      <c r="I41" s="335"/>
      <c r="J41" s="335"/>
      <c r="K41" s="337"/>
      <c r="L41" s="335"/>
      <c r="M41" s="335"/>
      <c r="N41" s="335"/>
      <c r="O41" s="335"/>
      <c r="P41" s="335"/>
      <c r="Q41" s="335"/>
    </row>
    <row r="42" spans="1:17" ht="14.4" customHeight="1" thickBot="1" x14ac:dyDescent="0.35">
      <c r="A42" s="584" t="s">
        <v>271</v>
      </c>
      <c r="B42" s="586" t="s">
        <v>58</v>
      </c>
      <c r="C42" s="587"/>
      <c r="D42" s="587"/>
      <c r="E42" s="588"/>
      <c r="F42" s="589"/>
      <c r="G42" s="587" t="s">
        <v>225</v>
      </c>
      <c r="H42" s="587"/>
      <c r="I42" s="587"/>
      <c r="J42" s="588"/>
      <c r="K42" s="589"/>
      <c r="L42" s="140"/>
      <c r="M42" s="140"/>
      <c r="N42" s="140"/>
      <c r="O42" s="141"/>
      <c r="P42" s="140"/>
      <c r="Q42" s="141"/>
    </row>
    <row r="43" spans="1:17" ht="14.4" customHeight="1" thickBot="1" x14ac:dyDescent="0.35">
      <c r="A43" s="585"/>
      <c r="B43" s="423">
        <v>2015</v>
      </c>
      <c r="C43" s="424">
        <v>2016</v>
      </c>
      <c r="D43" s="424">
        <v>2017</v>
      </c>
      <c r="E43" s="424" t="s">
        <v>268</v>
      </c>
      <c r="F43" s="425" t="s">
        <v>2</v>
      </c>
      <c r="G43" s="424">
        <v>2015</v>
      </c>
      <c r="H43" s="424">
        <v>2016</v>
      </c>
      <c r="I43" s="424">
        <v>2017</v>
      </c>
      <c r="J43" s="424" t="s">
        <v>268</v>
      </c>
      <c r="K43" s="425" t="s">
        <v>2</v>
      </c>
      <c r="L43" s="140"/>
      <c r="M43" s="140"/>
      <c r="N43" s="431" t="s">
        <v>59</v>
      </c>
      <c r="O43" s="433" t="s">
        <v>60</v>
      </c>
      <c r="P43" s="431" t="s">
        <v>277</v>
      </c>
      <c r="Q43" s="433" t="s">
        <v>278</v>
      </c>
    </row>
    <row r="44" spans="1:17" ht="14.4" hidden="1" customHeight="1" outlineLevel="1" x14ac:dyDescent="0.3">
      <c r="A44" s="453" t="s">
        <v>150</v>
      </c>
      <c r="B44" s="104">
        <v>0</v>
      </c>
      <c r="C44" s="99">
        <v>0</v>
      </c>
      <c r="D44" s="99">
        <v>0</v>
      </c>
      <c r="E44" s="440" t="str">
        <f>IF(OR(D44=0,B44=0),"",D44/B44)</f>
        <v/>
      </c>
      <c r="F44" s="114" t="str">
        <f>IF(OR(D44=0,C44=0),"",D44/C44)</f>
        <v/>
      </c>
      <c r="G44" s="115">
        <v>0</v>
      </c>
      <c r="H44" s="99">
        <v>0</v>
      </c>
      <c r="I44" s="99">
        <v>0</v>
      </c>
      <c r="J44" s="440" t="str">
        <f>IF(OR(I44=0,G44=0),"",I44/G44)</f>
        <v/>
      </c>
      <c r="K44" s="116" t="str">
        <f>IF(OR(I44=0,H44=0),"",I44/H44)</f>
        <v/>
      </c>
      <c r="L44" s="140"/>
      <c r="M44" s="140"/>
      <c r="N44" s="130">
        <f t="shared" ref="N44:N52" si="24">D44-C44</f>
        <v>0</v>
      </c>
      <c r="O44" s="131">
        <f t="shared" ref="O44:O52" si="25">I44-H44</f>
        <v>0</v>
      </c>
      <c r="P44" s="130">
        <f t="shared" ref="P44:P52" si="26">D44-B44</f>
        <v>0</v>
      </c>
      <c r="Q44" s="131">
        <f t="shared" ref="Q44:Q52" si="27">I44-G44</f>
        <v>0</v>
      </c>
    </row>
    <row r="45" spans="1:17" ht="14.4" hidden="1" customHeight="1" outlineLevel="1" x14ac:dyDescent="0.3">
      <c r="A45" s="454" t="s">
        <v>151</v>
      </c>
      <c r="B45" s="105">
        <v>0</v>
      </c>
      <c r="C45" s="98">
        <v>0</v>
      </c>
      <c r="D45" s="98">
        <v>0</v>
      </c>
      <c r="E45" s="441" t="str">
        <f t="shared" ref="E45:E51" si="28">IF(OR(D45=0,B45=0),"",D45/B45)</f>
        <v/>
      </c>
      <c r="F45" s="117" t="str">
        <f t="shared" ref="F45:F51" si="29">IF(OR(D45=0,C45=0),"",D45/C45)</f>
        <v/>
      </c>
      <c r="G45" s="118">
        <v>0</v>
      </c>
      <c r="H45" s="98">
        <v>0</v>
      </c>
      <c r="I45" s="98">
        <v>0</v>
      </c>
      <c r="J45" s="441" t="str">
        <f t="shared" ref="J45:J51" si="30">IF(OR(I45=0,G45=0),"",I45/G45)</f>
        <v/>
      </c>
      <c r="K45" s="119" t="str">
        <f t="shared" ref="K45:K51" si="31">IF(OR(I45=0,H45=0),"",I45/H45)</f>
        <v/>
      </c>
      <c r="L45" s="140"/>
      <c r="M45" s="140"/>
      <c r="N45" s="132">
        <f t="shared" si="24"/>
        <v>0</v>
      </c>
      <c r="O45" s="133">
        <f t="shared" si="25"/>
        <v>0</v>
      </c>
      <c r="P45" s="132">
        <f t="shared" si="26"/>
        <v>0</v>
      </c>
      <c r="Q45" s="133">
        <f t="shared" si="27"/>
        <v>0</v>
      </c>
    </row>
    <row r="46" spans="1:17" ht="14.4" hidden="1" customHeight="1" outlineLevel="1" x14ac:dyDescent="0.3">
      <c r="A46" s="454" t="s">
        <v>152</v>
      </c>
      <c r="B46" s="105">
        <v>0</v>
      </c>
      <c r="C46" s="98">
        <v>0</v>
      </c>
      <c r="D46" s="98">
        <v>0</v>
      </c>
      <c r="E46" s="441" t="str">
        <f t="shared" si="28"/>
        <v/>
      </c>
      <c r="F46" s="117" t="str">
        <f t="shared" si="29"/>
        <v/>
      </c>
      <c r="G46" s="118">
        <v>0</v>
      </c>
      <c r="H46" s="98">
        <v>0</v>
      </c>
      <c r="I46" s="98">
        <v>0</v>
      </c>
      <c r="J46" s="441" t="str">
        <f t="shared" si="30"/>
        <v/>
      </c>
      <c r="K46" s="119" t="str">
        <f t="shared" si="31"/>
        <v/>
      </c>
      <c r="L46" s="140"/>
      <c r="M46" s="140"/>
      <c r="N46" s="132">
        <f t="shared" si="24"/>
        <v>0</v>
      </c>
      <c r="O46" s="133">
        <f t="shared" si="25"/>
        <v>0</v>
      </c>
      <c r="P46" s="132">
        <f t="shared" si="26"/>
        <v>0</v>
      </c>
      <c r="Q46" s="133">
        <f t="shared" si="27"/>
        <v>0</v>
      </c>
    </row>
    <row r="47" spans="1:17" ht="14.4" hidden="1" customHeight="1" outlineLevel="1" x14ac:dyDescent="0.3">
      <c r="A47" s="454" t="s">
        <v>153</v>
      </c>
      <c r="B47" s="105">
        <v>0</v>
      </c>
      <c r="C47" s="98">
        <v>0</v>
      </c>
      <c r="D47" s="98">
        <v>0</v>
      </c>
      <c r="E47" s="441" t="str">
        <f t="shared" si="28"/>
        <v/>
      </c>
      <c r="F47" s="117" t="str">
        <f t="shared" si="29"/>
        <v/>
      </c>
      <c r="G47" s="118">
        <v>0</v>
      </c>
      <c r="H47" s="98">
        <v>0</v>
      </c>
      <c r="I47" s="98">
        <v>0</v>
      </c>
      <c r="J47" s="441" t="str">
        <f t="shared" si="30"/>
        <v/>
      </c>
      <c r="K47" s="119" t="str">
        <f t="shared" si="31"/>
        <v/>
      </c>
      <c r="L47" s="140"/>
      <c r="M47" s="140"/>
      <c r="N47" s="132">
        <f t="shared" si="24"/>
        <v>0</v>
      </c>
      <c r="O47" s="133">
        <f t="shared" si="25"/>
        <v>0</v>
      </c>
      <c r="P47" s="132">
        <f t="shared" si="26"/>
        <v>0</v>
      </c>
      <c r="Q47" s="133">
        <f t="shared" si="27"/>
        <v>0</v>
      </c>
    </row>
    <row r="48" spans="1:17" ht="14.4" hidden="1" customHeight="1" outlineLevel="1" x14ac:dyDescent="0.3">
      <c r="A48" s="454" t="s">
        <v>154</v>
      </c>
      <c r="B48" s="105">
        <v>0</v>
      </c>
      <c r="C48" s="98">
        <v>0</v>
      </c>
      <c r="D48" s="98">
        <v>0</v>
      </c>
      <c r="E48" s="441" t="str">
        <f t="shared" si="28"/>
        <v/>
      </c>
      <c r="F48" s="117" t="str">
        <f t="shared" si="29"/>
        <v/>
      </c>
      <c r="G48" s="118">
        <v>0</v>
      </c>
      <c r="H48" s="98">
        <v>0</v>
      </c>
      <c r="I48" s="98">
        <v>0</v>
      </c>
      <c r="J48" s="441" t="str">
        <f t="shared" si="30"/>
        <v/>
      </c>
      <c r="K48" s="119" t="str">
        <f t="shared" si="31"/>
        <v/>
      </c>
      <c r="L48" s="140"/>
      <c r="M48" s="140"/>
      <c r="N48" s="132">
        <f t="shared" si="24"/>
        <v>0</v>
      </c>
      <c r="O48" s="133">
        <f t="shared" si="25"/>
        <v>0</v>
      </c>
      <c r="P48" s="132">
        <f t="shared" si="26"/>
        <v>0</v>
      </c>
      <c r="Q48" s="133">
        <f t="shared" si="27"/>
        <v>0</v>
      </c>
    </row>
    <row r="49" spans="1:17" ht="14.4" hidden="1" customHeight="1" outlineLevel="1" x14ac:dyDescent="0.3">
      <c r="A49" s="454" t="s">
        <v>155</v>
      </c>
      <c r="B49" s="105">
        <v>0</v>
      </c>
      <c r="C49" s="98">
        <v>0</v>
      </c>
      <c r="D49" s="98">
        <v>0</v>
      </c>
      <c r="E49" s="441" t="str">
        <f t="shared" si="28"/>
        <v/>
      </c>
      <c r="F49" s="117" t="str">
        <f t="shared" si="29"/>
        <v/>
      </c>
      <c r="G49" s="118">
        <v>0</v>
      </c>
      <c r="H49" s="98">
        <v>0</v>
      </c>
      <c r="I49" s="98">
        <v>0</v>
      </c>
      <c r="J49" s="441" t="str">
        <f t="shared" si="30"/>
        <v/>
      </c>
      <c r="K49" s="119" t="str">
        <f t="shared" si="31"/>
        <v/>
      </c>
      <c r="L49" s="140"/>
      <c r="M49" s="140"/>
      <c r="N49" s="132">
        <f t="shared" si="24"/>
        <v>0</v>
      </c>
      <c r="O49" s="133">
        <f t="shared" si="25"/>
        <v>0</v>
      </c>
      <c r="P49" s="132">
        <f t="shared" si="26"/>
        <v>0</v>
      </c>
      <c r="Q49" s="133">
        <f t="shared" si="27"/>
        <v>0</v>
      </c>
    </row>
    <row r="50" spans="1:17" ht="14.4" hidden="1" customHeight="1" outlineLevel="1" x14ac:dyDescent="0.3">
      <c r="A50" s="454" t="s">
        <v>156</v>
      </c>
      <c r="B50" s="105">
        <v>0</v>
      </c>
      <c r="C50" s="98">
        <v>0</v>
      </c>
      <c r="D50" s="98">
        <v>0</v>
      </c>
      <c r="E50" s="441" t="str">
        <f t="shared" si="28"/>
        <v/>
      </c>
      <c r="F50" s="117" t="str">
        <f t="shared" si="29"/>
        <v/>
      </c>
      <c r="G50" s="118">
        <v>0</v>
      </c>
      <c r="H50" s="98">
        <v>0</v>
      </c>
      <c r="I50" s="98">
        <v>0</v>
      </c>
      <c r="J50" s="441" t="str">
        <f t="shared" si="30"/>
        <v/>
      </c>
      <c r="K50" s="119" t="str">
        <f t="shared" si="31"/>
        <v/>
      </c>
      <c r="L50" s="140"/>
      <c r="M50" s="140"/>
      <c r="N50" s="132">
        <f t="shared" si="24"/>
        <v>0</v>
      </c>
      <c r="O50" s="133">
        <f t="shared" si="25"/>
        <v>0</v>
      </c>
      <c r="P50" s="132">
        <f t="shared" si="26"/>
        <v>0</v>
      </c>
      <c r="Q50" s="133">
        <f t="shared" si="27"/>
        <v>0</v>
      </c>
    </row>
    <row r="51" spans="1:17" ht="14.4" hidden="1" customHeight="1" outlineLevel="1" thickBot="1" x14ac:dyDescent="0.35">
      <c r="A51" s="455" t="s">
        <v>184</v>
      </c>
      <c r="B51" s="222">
        <v>0</v>
      </c>
      <c r="C51" s="223">
        <v>0</v>
      </c>
      <c r="D51" s="223">
        <v>0</v>
      </c>
      <c r="E51" s="442" t="str">
        <f t="shared" si="28"/>
        <v/>
      </c>
      <c r="F51" s="224" t="str">
        <f t="shared" si="29"/>
        <v/>
      </c>
      <c r="G51" s="225">
        <v>0</v>
      </c>
      <c r="H51" s="223">
        <v>0</v>
      </c>
      <c r="I51" s="223">
        <v>0</v>
      </c>
      <c r="J51" s="442" t="str">
        <f t="shared" si="30"/>
        <v/>
      </c>
      <c r="K51" s="226" t="str">
        <f t="shared" si="31"/>
        <v/>
      </c>
      <c r="L51" s="140"/>
      <c r="M51" s="140"/>
      <c r="N51" s="229">
        <f t="shared" si="24"/>
        <v>0</v>
      </c>
      <c r="O51" s="230">
        <f t="shared" si="25"/>
        <v>0</v>
      </c>
      <c r="P51" s="229">
        <f t="shared" si="26"/>
        <v>0</v>
      </c>
      <c r="Q51" s="230">
        <f t="shared" si="27"/>
        <v>0</v>
      </c>
    </row>
    <row r="52" spans="1:17" ht="14.4" customHeight="1" collapsed="1" thickBot="1" x14ac:dyDescent="0.35">
      <c r="A52" s="456" t="s">
        <v>3</v>
      </c>
      <c r="B52" s="426">
        <f>SUM(B44:B51)</f>
        <v>0</v>
      </c>
      <c r="C52" s="427">
        <f>SUM(C44:C51)</f>
        <v>0</v>
      </c>
      <c r="D52" s="427">
        <f>SUM(D44:D51)</f>
        <v>0</v>
      </c>
      <c r="E52" s="439">
        <f>IF(OR(D52=0,B52=0),0,D52/B52)</f>
        <v>0</v>
      </c>
      <c r="F52" s="428">
        <f>IF(OR(D52=0,C52=0),0,D52/C52)</f>
        <v>0</v>
      </c>
      <c r="G52" s="429">
        <f>SUM(G44:G51)</f>
        <v>0</v>
      </c>
      <c r="H52" s="427">
        <f>SUM(H44:H51)</f>
        <v>0</v>
      </c>
      <c r="I52" s="427">
        <f>SUM(I44:I51)</f>
        <v>0</v>
      </c>
      <c r="J52" s="439">
        <f>IF(OR(I52=0,G52=0),0,I52/G52)</f>
        <v>0</v>
      </c>
      <c r="K52" s="430">
        <f>IF(OR(I52=0,H52=0),0,I52/H52)</f>
        <v>0</v>
      </c>
      <c r="L52" s="140"/>
      <c r="M52" s="140"/>
      <c r="N52" s="431">
        <f t="shared" si="24"/>
        <v>0</v>
      </c>
      <c r="O52" s="432">
        <f t="shared" si="25"/>
        <v>0</v>
      </c>
      <c r="P52" s="431">
        <f t="shared" si="26"/>
        <v>0</v>
      </c>
      <c r="Q52" s="432">
        <f t="shared" si="27"/>
        <v>0</v>
      </c>
    </row>
    <row r="53" spans="1:17" ht="14.4" customHeight="1" x14ac:dyDescent="0.25">
      <c r="A53" s="335"/>
      <c r="B53" s="335"/>
      <c r="C53" s="335"/>
      <c r="D53" s="335"/>
      <c r="E53" s="335"/>
      <c r="F53" s="336"/>
      <c r="G53" s="335"/>
      <c r="H53" s="335"/>
      <c r="I53" s="335"/>
      <c r="J53" s="335"/>
      <c r="K53" s="337"/>
      <c r="L53" s="335"/>
      <c r="M53" s="335"/>
      <c r="N53" s="335"/>
      <c r="O53" s="335"/>
    </row>
    <row r="54" spans="1:17" ht="14.4" customHeight="1" x14ac:dyDescent="0.3">
      <c r="A54" s="239" t="s">
        <v>267</v>
      </c>
      <c r="B54" s="335"/>
      <c r="C54" s="335"/>
      <c r="D54" s="335"/>
      <c r="E54" s="335"/>
      <c r="F54" s="336"/>
      <c r="G54" s="335"/>
      <c r="H54" s="335"/>
      <c r="I54" s="335"/>
      <c r="J54" s="335"/>
      <c r="K54" s="337"/>
      <c r="L54" s="335"/>
      <c r="M54" s="335"/>
      <c r="N54" s="335"/>
      <c r="O54" s="335"/>
    </row>
    <row r="55" spans="1:17" ht="14.4" customHeight="1" x14ac:dyDescent="0.25">
      <c r="A55" s="403" t="s">
        <v>263</v>
      </c>
    </row>
    <row r="56" spans="1:17" ht="14.4" customHeight="1" x14ac:dyDescent="0.25">
      <c r="A56" s="404" t="s">
        <v>264</v>
      </c>
    </row>
    <row r="57" spans="1:17" ht="14.4" customHeight="1" x14ac:dyDescent="0.25">
      <c r="A57" s="403" t="s">
        <v>265</v>
      </c>
    </row>
    <row r="58" spans="1:17" ht="14.4" customHeight="1" x14ac:dyDescent="0.25">
      <c r="A58" s="404" t="s">
        <v>272</v>
      </c>
    </row>
    <row r="59" spans="1:17" ht="14.4" customHeight="1" x14ac:dyDescent="0.25">
      <c r="A59" s="404" t="s">
        <v>273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19" priority="22" stopIfTrue="1" operator="lessThan">
      <formula>1</formula>
    </cfRule>
  </conditionalFormatting>
  <conditionalFormatting sqref="J18:K26">
    <cfRule type="cellIs" dxfId="18" priority="21" stopIfTrue="1" operator="lessThan">
      <formula>0.95</formula>
    </cfRule>
  </conditionalFormatting>
  <conditionalFormatting sqref="N5:O13 N18:O26 N31:O39 N44:O52">
    <cfRule type="cellIs" dxfId="17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6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87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525" t="s">
        <v>102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 ht="14.4" customHeight="1" x14ac:dyDescent="0.3">
      <c r="A2" s="351" t="s">
        <v>288</v>
      </c>
      <c r="B2" s="183"/>
      <c r="C2" s="18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40"/>
      <c r="C3" s="340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40"/>
      <c r="C4" s="340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40"/>
      <c r="C5" s="340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40"/>
      <c r="C6" s="340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40"/>
      <c r="C7" s="340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40"/>
      <c r="C8" s="340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40"/>
      <c r="C9" s="340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40"/>
      <c r="C10" s="340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40"/>
      <c r="C11" s="340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40"/>
      <c r="C12" s="340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40"/>
      <c r="C13" s="340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40"/>
      <c r="C14" s="340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40"/>
      <c r="C15" s="340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40"/>
      <c r="C16" s="340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40"/>
      <c r="C17" s="340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40"/>
      <c r="C18" s="340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40"/>
      <c r="C19" s="340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40"/>
      <c r="C20" s="340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40"/>
      <c r="C21" s="340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40"/>
      <c r="C22" s="340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40"/>
      <c r="C23" s="340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40"/>
      <c r="C24" s="340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40"/>
      <c r="C25" s="340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40"/>
      <c r="C26" s="340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40"/>
      <c r="C27" s="340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40"/>
      <c r="C28" s="340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40"/>
      <c r="C29" s="340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40"/>
      <c r="C30" s="340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0"/>
      <c r="B31" s="598" t="s">
        <v>70</v>
      </c>
      <c r="C31" s="599"/>
      <c r="D31" s="599"/>
      <c r="E31" s="600"/>
      <c r="F31" s="152" t="s">
        <v>70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1" t="s">
        <v>54</v>
      </c>
      <c r="B32" s="153" t="s">
        <v>73</v>
      </c>
      <c r="C32" s="154" t="s">
        <v>74</v>
      </c>
      <c r="D32" s="154" t="s">
        <v>75</v>
      </c>
      <c r="E32" s="155" t="s">
        <v>2</v>
      </c>
      <c r="F32" s="156" t="s">
        <v>76</v>
      </c>
      <c r="G32" s="341"/>
      <c r="H32" s="341" t="s">
        <v>103</v>
      </c>
      <c r="I32" s="71"/>
      <c r="J32" s="71"/>
      <c r="K32" s="71"/>
      <c r="L32" s="71"/>
      <c r="M32" s="71"/>
    </row>
    <row r="33" spans="1:13" ht="14.4" customHeight="1" x14ac:dyDescent="0.3">
      <c r="A33" s="157" t="s">
        <v>90</v>
      </c>
      <c r="B33" s="184">
        <v>73</v>
      </c>
      <c r="C33" s="184">
        <v>53</v>
      </c>
      <c r="D33" s="75">
        <f>IF(C33="","",C33-B33)</f>
        <v>-20</v>
      </c>
      <c r="E33" s="76">
        <f>IF(C33="","",C33/B33)</f>
        <v>0.72602739726027399</v>
      </c>
      <c r="F33" s="77">
        <v>3</v>
      </c>
      <c r="G33" s="341">
        <v>0</v>
      </c>
      <c r="H33" s="342">
        <v>1</v>
      </c>
      <c r="I33" s="71"/>
      <c r="J33" s="71"/>
      <c r="K33" s="71"/>
      <c r="L33" s="71"/>
      <c r="M33" s="71"/>
    </row>
    <row r="34" spans="1:13" ht="14.4" customHeight="1" x14ac:dyDescent="0.3">
      <c r="A34" s="158" t="s">
        <v>91</v>
      </c>
      <c r="B34" s="185">
        <v>132</v>
      </c>
      <c r="C34" s="185">
        <v>96</v>
      </c>
      <c r="D34" s="78">
        <f t="shared" ref="D34:D45" si="0">IF(C34="","",C34-B34)</f>
        <v>-36</v>
      </c>
      <c r="E34" s="79">
        <f t="shared" ref="E34:E45" si="1">IF(C34="","",C34/B34)</f>
        <v>0.72727272727272729</v>
      </c>
      <c r="F34" s="80">
        <v>3</v>
      </c>
      <c r="G34" s="341">
        <v>1</v>
      </c>
      <c r="H34" s="342">
        <v>1</v>
      </c>
      <c r="I34" s="71"/>
      <c r="J34" s="71"/>
      <c r="K34" s="71"/>
      <c r="L34" s="71"/>
      <c r="M34" s="71"/>
    </row>
    <row r="35" spans="1:13" ht="14.4" customHeight="1" x14ac:dyDescent="0.3">
      <c r="A35" s="158" t="s">
        <v>92</v>
      </c>
      <c r="B35" s="185">
        <v>282</v>
      </c>
      <c r="C35" s="185">
        <v>159</v>
      </c>
      <c r="D35" s="78">
        <f t="shared" si="0"/>
        <v>-123</v>
      </c>
      <c r="E35" s="79">
        <f t="shared" si="1"/>
        <v>0.56382978723404253</v>
      </c>
      <c r="F35" s="80">
        <v>3</v>
      </c>
      <c r="G35" s="343"/>
      <c r="H35" s="343"/>
      <c r="I35" s="71"/>
      <c r="J35" s="71"/>
      <c r="K35" s="71"/>
      <c r="L35" s="71"/>
      <c r="M35" s="71"/>
    </row>
    <row r="36" spans="1:13" ht="14.4" customHeight="1" x14ac:dyDescent="0.3">
      <c r="A36" s="158" t="s">
        <v>93</v>
      </c>
      <c r="B36" s="185"/>
      <c r="C36" s="185"/>
      <c r="D36" s="78" t="str">
        <f t="shared" si="0"/>
        <v/>
      </c>
      <c r="E36" s="79" t="str">
        <f t="shared" si="1"/>
        <v/>
      </c>
      <c r="F36" s="80"/>
      <c r="G36" s="343"/>
      <c r="H36" s="343"/>
      <c r="I36" s="71"/>
      <c r="J36" s="71"/>
      <c r="K36" s="71"/>
      <c r="L36" s="71"/>
      <c r="M36" s="71"/>
    </row>
    <row r="37" spans="1:13" ht="14.4" customHeight="1" x14ac:dyDescent="0.3">
      <c r="A37" s="158" t="s">
        <v>94</v>
      </c>
      <c r="B37" s="185"/>
      <c r="C37" s="185"/>
      <c r="D37" s="78" t="str">
        <f t="shared" si="0"/>
        <v/>
      </c>
      <c r="E37" s="79" t="str">
        <f t="shared" si="1"/>
        <v/>
      </c>
      <c r="F37" s="80"/>
      <c r="G37" s="343"/>
      <c r="H37" s="343"/>
      <c r="I37" s="71"/>
      <c r="J37" s="71"/>
      <c r="K37" s="71"/>
      <c r="L37" s="71"/>
      <c r="M37" s="71"/>
    </row>
    <row r="38" spans="1:13" ht="14.4" customHeight="1" x14ac:dyDescent="0.3">
      <c r="A38" s="158" t="s">
        <v>95</v>
      </c>
      <c r="B38" s="185"/>
      <c r="C38" s="185"/>
      <c r="D38" s="78" t="str">
        <f t="shared" si="0"/>
        <v/>
      </c>
      <c r="E38" s="79" t="str">
        <f t="shared" si="1"/>
        <v/>
      </c>
      <c r="F38" s="80"/>
      <c r="G38" s="343"/>
      <c r="H38" s="343"/>
      <c r="I38" s="71"/>
      <c r="J38" s="71"/>
      <c r="K38" s="71"/>
      <c r="L38" s="71"/>
      <c r="M38" s="71"/>
    </row>
    <row r="39" spans="1:13" ht="14.4" customHeight="1" x14ac:dyDescent="0.3">
      <c r="A39" s="158" t="s">
        <v>96</v>
      </c>
      <c r="B39" s="185"/>
      <c r="C39" s="185"/>
      <c r="D39" s="78" t="str">
        <f t="shared" si="0"/>
        <v/>
      </c>
      <c r="E39" s="79" t="str">
        <f t="shared" si="1"/>
        <v/>
      </c>
      <c r="F39" s="80"/>
      <c r="G39" s="343"/>
      <c r="H39" s="343"/>
      <c r="I39" s="71"/>
      <c r="J39" s="71"/>
      <c r="K39" s="71"/>
      <c r="L39" s="71"/>
      <c r="M39" s="71"/>
    </row>
    <row r="40" spans="1:13" ht="14.4" customHeight="1" x14ac:dyDescent="0.3">
      <c r="A40" s="158" t="s">
        <v>97</v>
      </c>
      <c r="B40" s="185"/>
      <c r="C40" s="185"/>
      <c r="D40" s="78" t="str">
        <f t="shared" si="0"/>
        <v/>
      </c>
      <c r="E40" s="79" t="str">
        <f t="shared" si="1"/>
        <v/>
      </c>
      <c r="F40" s="80"/>
      <c r="G40" s="343"/>
      <c r="H40" s="343"/>
      <c r="I40" s="71"/>
      <c r="J40" s="71"/>
      <c r="K40" s="71"/>
      <c r="L40" s="71"/>
      <c r="M40" s="71"/>
    </row>
    <row r="41" spans="1:13" ht="14.4" customHeight="1" x14ac:dyDescent="0.3">
      <c r="A41" s="158" t="s">
        <v>98</v>
      </c>
      <c r="B41" s="185"/>
      <c r="C41" s="185"/>
      <c r="D41" s="78" t="str">
        <f t="shared" si="0"/>
        <v/>
      </c>
      <c r="E41" s="79" t="str">
        <f t="shared" si="1"/>
        <v/>
      </c>
      <c r="F41" s="80"/>
      <c r="G41" s="343"/>
      <c r="H41" s="343"/>
      <c r="I41" s="71"/>
      <c r="J41" s="71"/>
      <c r="K41" s="71"/>
      <c r="L41" s="71"/>
      <c r="M41" s="71"/>
    </row>
    <row r="42" spans="1:13" ht="14.4" customHeight="1" x14ac:dyDescent="0.3">
      <c r="A42" s="158" t="s">
        <v>99</v>
      </c>
      <c r="B42" s="185"/>
      <c r="C42" s="185"/>
      <c r="D42" s="78" t="str">
        <f t="shared" si="0"/>
        <v/>
      </c>
      <c r="E42" s="79" t="str">
        <f t="shared" si="1"/>
        <v/>
      </c>
      <c r="F42" s="80"/>
      <c r="G42" s="343"/>
      <c r="H42" s="343"/>
      <c r="I42" s="71"/>
      <c r="J42" s="71"/>
      <c r="K42" s="71"/>
      <c r="L42" s="71"/>
      <c r="M42" s="71"/>
    </row>
    <row r="43" spans="1:13" ht="14.4" customHeight="1" x14ac:dyDescent="0.3">
      <c r="A43" s="158" t="s">
        <v>100</v>
      </c>
      <c r="B43" s="185"/>
      <c r="C43" s="185"/>
      <c r="D43" s="78" t="str">
        <f t="shared" si="0"/>
        <v/>
      </c>
      <c r="E43" s="79" t="str">
        <f t="shared" si="1"/>
        <v/>
      </c>
      <c r="F43" s="80"/>
      <c r="G43" s="343"/>
      <c r="H43" s="343"/>
      <c r="I43" s="71"/>
      <c r="J43" s="71"/>
      <c r="K43" s="71"/>
      <c r="L43" s="71"/>
      <c r="M43" s="71"/>
    </row>
    <row r="44" spans="1:13" ht="14.4" customHeight="1" x14ac:dyDescent="0.3">
      <c r="A44" s="158" t="s">
        <v>101</v>
      </c>
      <c r="B44" s="185"/>
      <c r="C44" s="185"/>
      <c r="D44" s="78" t="str">
        <f t="shared" si="0"/>
        <v/>
      </c>
      <c r="E44" s="79" t="str">
        <f t="shared" si="1"/>
        <v/>
      </c>
      <c r="F44" s="80"/>
      <c r="G44" s="343"/>
      <c r="H44" s="343"/>
      <c r="I44" s="71"/>
      <c r="J44" s="71"/>
      <c r="K44" s="71"/>
      <c r="L44" s="71"/>
      <c r="M44" s="71"/>
    </row>
    <row r="45" spans="1:13" ht="14.4" customHeight="1" thickBot="1" x14ac:dyDescent="0.35">
      <c r="A45" s="159" t="s">
        <v>104</v>
      </c>
      <c r="B45" s="186"/>
      <c r="C45" s="186"/>
      <c r="D45" s="81" t="str">
        <f t="shared" si="0"/>
        <v/>
      </c>
      <c r="E45" s="82" t="str">
        <f t="shared" si="1"/>
        <v/>
      </c>
      <c r="F45" s="83"/>
      <c r="G45" s="343"/>
      <c r="H45" s="343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5" priority="2" operator="greaterThan">
      <formula>1</formula>
    </cfRule>
  </conditionalFormatting>
  <conditionalFormatting sqref="F33:F45">
    <cfRule type="cellIs" dxfId="14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2" bestFit="1" customWidth="1"/>
    <col min="2" max="2" width="11.6640625" style="252" hidden="1" customWidth="1"/>
    <col min="3" max="4" width="11" style="254" customWidth="1"/>
    <col min="5" max="5" width="11" style="255" customWidth="1"/>
    <col min="6" max="16384" width="8.88671875" style="252"/>
  </cols>
  <sheetData>
    <row r="1" spans="1:5" ht="18.600000000000001" thickBot="1" x14ac:dyDescent="0.4">
      <c r="A1" s="494" t="s">
        <v>136</v>
      </c>
      <c r="B1" s="494"/>
      <c r="C1" s="495"/>
      <c r="D1" s="495"/>
      <c r="E1" s="495"/>
    </row>
    <row r="2" spans="1:5" ht="14.4" customHeight="1" thickBot="1" x14ac:dyDescent="0.35">
      <c r="A2" s="351" t="s">
        <v>288</v>
      </c>
      <c r="B2" s="253"/>
    </row>
    <row r="3" spans="1:5" ht="14.4" customHeight="1" thickBot="1" x14ac:dyDescent="0.35">
      <c r="A3" s="256"/>
      <c r="C3" s="257" t="s">
        <v>118</v>
      </c>
      <c r="D3" s="258" t="s">
        <v>81</v>
      </c>
      <c r="E3" s="259" t="s">
        <v>83</v>
      </c>
    </row>
    <row r="4" spans="1:5" ht="14.4" customHeight="1" thickBot="1" x14ac:dyDescent="0.35">
      <c r="A4" s="260" t="str">
        <f>HYPERLINK("#HI!A1","NÁKLADY CELKEM (v tisících Kč)")</f>
        <v>NÁKLADY CELKEM (v tisících Kč)</v>
      </c>
      <c r="B4" s="261"/>
      <c r="C4" s="262">
        <f ca="1">IF(ISERROR(VLOOKUP("Náklady celkem",INDIRECT("HI!$A:$G"),6,0)),0,VLOOKUP("Náklady celkem",INDIRECT("HI!$A:$G"),6,0))</f>
        <v>17778.653327020351</v>
      </c>
      <c r="D4" s="262">
        <f ca="1">IF(ISERROR(VLOOKUP("Náklady celkem",INDIRECT("HI!$A:$G"),5,0)),0,VLOOKUP("Náklady celkem",INDIRECT("HI!$A:$G"),5,0))</f>
        <v>17301.38973000001</v>
      </c>
      <c r="E4" s="263">
        <f ca="1">IF(C4=0,0,D4/C4)</f>
        <v>0.97315524476226856</v>
      </c>
    </row>
    <row r="5" spans="1:5" ht="14.4" customHeight="1" x14ac:dyDescent="0.3">
      <c r="A5" s="264" t="s">
        <v>169</v>
      </c>
      <c r="B5" s="265"/>
      <c r="C5" s="266"/>
      <c r="D5" s="266"/>
      <c r="E5" s="267"/>
    </row>
    <row r="6" spans="1:5" ht="14.4" customHeight="1" x14ac:dyDescent="0.3">
      <c r="A6" s="268" t="s">
        <v>174</v>
      </c>
      <c r="B6" s="269"/>
      <c r="C6" s="270"/>
      <c r="D6" s="270"/>
      <c r="E6" s="267"/>
    </row>
    <row r="7" spans="1:5" ht="14.4" customHeight="1" x14ac:dyDescent="0.3">
      <c r="A7" s="41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69" t="s">
        <v>123</v>
      </c>
      <c r="C7" s="270">
        <f>IF(ISERROR(HI!F5),"",HI!F5)</f>
        <v>2863.01818880575</v>
      </c>
      <c r="D7" s="270">
        <f>IF(ISERROR(HI!E5),"",HI!E5)</f>
        <v>3276.5405400000009</v>
      </c>
      <c r="E7" s="267">
        <f t="shared" ref="E7:E13" si="0">IF(C7=0,0,D7/C7)</f>
        <v>1.1444358100172403</v>
      </c>
    </row>
    <row r="8" spans="1:5" ht="14.4" customHeight="1" x14ac:dyDescent="0.3">
      <c r="A8" s="419" t="str">
        <f>HYPERLINK("#'LŽ PL'!A1","Plnění pozitivního listu (min. 90%)")</f>
        <v>Plnění pozitivního listu (min. 90%)</v>
      </c>
      <c r="B8" s="269" t="s">
        <v>167</v>
      </c>
      <c r="C8" s="271">
        <v>0.9</v>
      </c>
      <c r="D8" s="271">
        <f>IF(ISERROR(VLOOKUP("celkem",'LŽ PL'!$A:$F,5,0)),0,VLOOKUP("celkem",'LŽ PL'!$A:$F,5,0))</f>
        <v>0.99099924333920786</v>
      </c>
      <c r="E8" s="267">
        <f t="shared" si="0"/>
        <v>1.1011102703768976</v>
      </c>
    </row>
    <row r="9" spans="1:5" ht="14.4" customHeight="1" x14ac:dyDescent="0.3">
      <c r="A9" s="419" t="str">
        <f>HYPERLINK("#'LŽ Statim'!A1","Podíl statimových žádanek (max. 30%)")</f>
        <v>Podíl statimových žádanek (max. 30%)</v>
      </c>
      <c r="B9" s="417" t="s">
        <v>236</v>
      </c>
      <c r="C9" s="418">
        <v>0.3</v>
      </c>
      <c r="D9" s="418">
        <f>IF('LŽ Statim'!G3="",0,'LŽ Statim'!G3)</f>
        <v>0.17942857142857144</v>
      </c>
      <c r="E9" s="267">
        <f>IF(C9=0,0,D9/C9)</f>
        <v>0.59809523809523812</v>
      </c>
    </row>
    <row r="10" spans="1:5" ht="14.4" customHeight="1" x14ac:dyDescent="0.3">
      <c r="A10" s="272" t="s">
        <v>170</v>
      </c>
      <c r="B10" s="269"/>
      <c r="C10" s="270"/>
      <c r="D10" s="270"/>
      <c r="E10" s="267"/>
    </row>
    <row r="11" spans="1:5" ht="14.4" customHeight="1" x14ac:dyDescent="0.3">
      <c r="A11" s="272" t="s">
        <v>171</v>
      </c>
      <c r="B11" s="269"/>
      <c r="C11" s="270"/>
      <c r="D11" s="270"/>
      <c r="E11" s="267"/>
    </row>
    <row r="12" spans="1:5" ht="14.4" customHeight="1" x14ac:dyDescent="0.3">
      <c r="A12" s="273" t="s">
        <v>175</v>
      </c>
      <c r="B12" s="269"/>
      <c r="C12" s="266"/>
      <c r="D12" s="266"/>
      <c r="E12" s="267"/>
    </row>
    <row r="13" spans="1:5" ht="14.4" customHeight="1" x14ac:dyDescent="0.3">
      <c r="A13" s="2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69" t="s">
        <v>123</v>
      </c>
      <c r="C13" s="270">
        <f>IF(ISERROR(HI!F6),"",HI!F6)</f>
        <v>1174.4324777023025</v>
      </c>
      <c r="D13" s="270">
        <f>IF(ISERROR(HI!E6),"",HI!E6)</f>
        <v>1213.0982400000009</v>
      </c>
      <c r="E13" s="267">
        <f t="shared" si="0"/>
        <v>1.0329229334438581</v>
      </c>
    </row>
    <row r="14" spans="1:5" ht="14.4" customHeight="1" thickBot="1" x14ac:dyDescent="0.35">
      <c r="A14" s="275" t="str">
        <f>HYPERLINK("#HI!A1","Osobní náklady")</f>
        <v>Osobní náklady</v>
      </c>
      <c r="B14" s="269"/>
      <c r="C14" s="266">
        <f ca="1">IF(ISERROR(VLOOKUP("Osobní náklady (Kč) *",INDIRECT("HI!$A:$G"),6,0)),0,VLOOKUP("Osobní náklady (Kč) *",INDIRECT("HI!$A:$G"),6,0))</f>
        <v>10982.75</v>
      </c>
      <c r="D14" s="266">
        <f ca="1">IF(ISERROR(VLOOKUP("Osobní náklady (Kč) *",INDIRECT("HI!$A:$G"),5,0)),0,VLOOKUP("Osobní náklady (Kč) *",INDIRECT("HI!$A:$G"),5,0))</f>
        <v>10654.66198000001</v>
      </c>
      <c r="E14" s="267">
        <f ca="1">IF(C14=0,0,D14/C14)</f>
        <v>0.97012697002117043</v>
      </c>
    </row>
    <row r="15" spans="1:5" ht="14.4" customHeight="1" thickBot="1" x14ac:dyDescent="0.35">
      <c r="A15" s="279"/>
      <c r="B15" s="280"/>
      <c r="C15" s="281"/>
      <c r="D15" s="281"/>
      <c r="E15" s="282"/>
    </row>
    <row r="16" spans="1:5" ht="14.4" customHeight="1" thickBot="1" x14ac:dyDescent="0.35">
      <c r="A16" s="283" t="str">
        <f>HYPERLINK("#HI!A1","VÝNOSY CELKEM (v tisících)")</f>
        <v>VÝNOSY CELKEM (v tisících)</v>
      </c>
      <c r="B16" s="284"/>
      <c r="C16" s="285">
        <f ca="1">IF(ISERROR(VLOOKUP("Výnosy celkem",INDIRECT("HI!$A:$G"),6,0)),0,VLOOKUP("Výnosy celkem",INDIRECT("HI!$A:$G"),6,0))</f>
        <v>5087.3099999999995</v>
      </c>
      <c r="D16" s="285">
        <f ca="1">IF(ISERROR(VLOOKUP("Výnosy celkem",INDIRECT("HI!$A:$G"),5,0)),0,VLOOKUP("Výnosy celkem",INDIRECT("HI!$A:$G"),5,0))</f>
        <v>3520.5299999999997</v>
      </c>
      <c r="E16" s="286">
        <f t="shared" ref="E16:E26" ca="1" si="1">IF(C16=0,0,D16/C16)</f>
        <v>0.69202191334909802</v>
      </c>
    </row>
    <row r="17" spans="1:5" ht="14.4" customHeight="1" x14ac:dyDescent="0.3">
      <c r="A17" s="287" t="str">
        <f>HYPERLINK("#HI!A1","Ambulance (body za výkony + Kč za ZUM a ZULP)")</f>
        <v>Ambulance (body za výkony + Kč za ZUM a ZULP)</v>
      </c>
      <c r="B17" s="265"/>
      <c r="C17" s="266">
        <f ca="1">IF(ISERROR(VLOOKUP("Ambulance *",INDIRECT("HI!$A:$G"),6,0)),0,VLOOKUP("Ambulance *",INDIRECT("HI!$A:$G"),6,0))</f>
        <v>0</v>
      </c>
      <c r="D17" s="266">
        <f ca="1">IF(ISERROR(VLOOKUP("Ambulance *",INDIRECT("HI!$A:$G"),5,0)),0,VLOOKUP("Ambulance *",INDIRECT("HI!$A:$G"),5,0))</f>
        <v>0</v>
      </c>
      <c r="E17" s="267">
        <f t="shared" ca="1" si="1"/>
        <v>0</v>
      </c>
    </row>
    <row r="18" spans="1:5" ht="14.4" customHeight="1" x14ac:dyDescent="0.3">
      <c r="A18" s="288" t="str">
        <f>HYPERLINK("#'ZV Vykáz.-H'!A1","Zdravotní výkony vykázané u hospitalizovaných pacientů (max. 85 %)")</f>
        <v>Zdravotní výkony vykázané u hospitalizovaných pacientů (max. 85 %)</v>
      </c>
      <c r="B18" s="446" t="s">
        <v>138</v>
      </c>
      <c r="C18" s="271">
        <v>0.85</v>
      </c>
      <c r="D18" s="271">
        <f>IF(ISERROR(VLOOKUP("Celkem:",'ZV Vykáz.-H'!$A:$S,7,0)),"",VLOOKUP("Celkem:",'ZV Vykáz.-H'!$A:$S,7,0))</f>
        <v>1.1899714099609238</v>
      </c>
      <c r="E18" s="267">
        <f t="shared" si="1"/>
        <v>1.3999663646599103</v>
      </c>
    </row>
    <row r="19" spans="1:5" ht="14.4" customHeight="1" x14ac:dyDescent="0.3">
      <c r="A19" s="289" t="str">
        <f>HYPERLINK("#HI!A1","Hospitalizace (casemix * 30000)")</f>
        <v>Hospitalizace (casemix * 30000)</v>
      </c>
      <c r="B19" s="269"/>
      <c r="C19" s="266">
        <f ca="1">IF(ISERROR(VLOOKUP("Hospitalizace *",INDIRECT("HI!$A:$G"),6,0)),0,VLOOKUP("Hospitalizace *",INDIRECT("HI!$A:$G"),6,0))</f>
        <v>5087.3099999999995</v>
      </c>
      <c r="D19" s="266">
        <f ca="1">IF(ISERROR(VLOOKUP("Hospitalizace *",INDIRECT("HI!$A:$G"),5,0)),0,VLOOKUP("Hospitalizace *",INDIRECT("HI!$A:$G"),5,0))</f>
        <v>3520.5299999999997</v>
      </c>
      <c r="E19" s="267">
        <f ca="1">IF(C19=0,0,D19/C19)</f>
        <v>0.69202191334909802</v>
      </c>
    </row>
    <row r="20" spans="1:5" ht="14.4" customHeight="1" x14ac:dyDescent="0.3">
      <c r="A20" s="445" t="str">
        <f>HYPERLINK("#'CaseMix'!A1","Casemix (min. 100 % 2016)")</f>
        <v>Casemix (min. 100 % 2016)</v>
      </c>
      <c r="B20" s="269" t="s">
        <v>58</v>
      </c>
      <c r="C20" s="271">
        <v>1</v>
      </c>
      <c r="D20" s="271">
        <f>IF(ISERROR(VLOOKUP("Celkem",CaseMix!A:O,6,0)),0,VLOOKUP("Celkem",CaseMix!A:O,6,0))</f>
        <v>0.69202191334909802</v>
      </c>
      <c r="E20" s="267">
        <f t="shared" si="1"/>
        <v>0.69202191334909802</v>
      </c>
    </row>
    <row r="21" spans="1:5" ht="14.4" customHeight="1" x14ac:dyDescent="0.3">
      <c r="A21" s="444" t="str">
        <f>HYPERLINK("#'CaseMix'!A1","DRG - Úhrada formou případového paušálu")</f>
        <v>DRG - Úhrada formou případového paušálu</v>
      </c>
      <c r="B21" s="269" t="s">
        <v>58</v>
      </c>
      <c r="C21" s="271">
        <v>1</v>
      </c>
      <c r="D21" s="271">
        <f>IF(ISERROR(CaseMix!F26),"",CaseMix!F26)</f>
        <v>0.66418205299067679</v>
      </c>
      <c r="E21" s="267">
        <f t="shared" si="1"/>
        <v>0.66418205299067679</v>
      </c>
    </row>
    <row r="22" spans="1:5" ht="14.4" customHeight="1" x14ac:dyDescent="0.3">
      <c r="A22" s="444" t="str">
        <f>HYPERLINK("#'CaseMix'!A1","DRG - Individuálně smluvně sjednaná složka úhrady")</f>
        <v>DRG - Individuálně smluvně sjednaná složka úhrady</v>
      </c>
      <c r="B22" s="269" t="s">
        <v>58</v>
      </c>
      <c r="C22" s="271">
        <v>1</v>
      </c>
      <c r="D22" s="271">
        <f>IF(ISERROR(CaseMix!F39),"",CaseMix!F39)</f>
        <v>0</v>
      </c>
      <c r="E22" s="267">
        <f t="shared" si="1"/>
        <v>0</v>
      </c>
    </row>
    <row r="23" spans="1:5" ht="14.4" customHeight="1" x14ac:dyDescent="0.3">
      <c r="A23" s="443" t="str">
        <f>HYPERLINK("#'CaseMix'!A1","DRG - Úhrada vyčleněná z úhrady formou případového paušálu")</f>
        <v>DRG - Úhrada vyčleněná z úhrady formou případového paušálu</v>
      </c>
      <c r="B23" s="269" t="s">
        <v>58</v>
      </c>
      <c r="C23" s="271">
        <v>1</v>
      </c>
      <c r="D23" s="271">
        <f>IF(ISERROR(CaseMix!F52),"",CaseMix!F52)</f>
        <v>0</v>
      </c>
      <c r="E23" s="267">
        <f t="shared" ref="E23" si="2">IF(C23=0,0,D23/C23)</f>
        <v>0</v>
      </c>
    </row>
    <row r="24" spans="1:5" ht="14.4" customHeight="1" x14ac:dyDescent="0.3">
      <c r="A24" s="288" t="str">
        <f>HYPERLINK("#'CaseMix'!A1","Počet hospitalizací ukončených na pracovišti (min. 95 %)")</f>
        <v>Počet hospitalizací ukončených na pracovišti (min. 95 %)</v>
      </c>
      <c r="B24" s="269" t="s">
        <v>58</v>
      </c>
      <c r="C24" s="271">
        <v>0.95</v>
      </c>
      <c r="D24" s="271">
        <f>IF(ISERROR(CaseMix!K13),"",CaseMix!K13)</f>
        <v>0.83333333333333337</v>
      </c>
      <c r="E24" s="267">
        <f t="shared" si="1"/>
        <v>0.87719298245614041</v>
      </c>
    </row>
    <row r="25" spans="1:5" ht="14.4" customHeight="1" x14ac:dyDescent="0.3">
      <c r="A25" s="288" t="str">
        <f>HYPERLINK("#'ALOS'!A1","Průměrná délka hospitalizace (max. 100 % republikového průměru)")</f>
        <v>Průměrná délka hospitalizace (max. 100 % republikového průměru)</v>
      </c>
      <c r="B25" s="269" t="s">
        <v>73</v>
      </c>
      <c r="C25" s="271">
        <v>1</v>
      </c>
      <c r="D25" s="290">
        <f>IF(ISERROR(INDEX(ALOS!$E:$E,COUNT(ALOS!$E:$E)+32)),0,INDEX(ALOS!$E:$E,COUNT(ALOS!$E:$E)+32))</f>
        <v>0.56382978723404253</v>
      </c>
      <c r="E25" s="267">
        <f t="shared" si="1"/>
        <v>0.56382978723404253</v>
      </c>
    </row>
    <row r="26" spans="1:5" ht="27.6" x14ac:dyDescent="0.3">
      <c r="A26" s="29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6" s="269" t="s">
        <v>135</v>
      </c>
      <c r="C26" s="271">
        <f>IF(E20&gt;1,95%,95%-2*ABS(C20-D20))</f>
        <v>0.33404382669819599</v>
      </c>
      <c r="D26" s="271">
        <f>IF(ISERROR(VLOOKUP("Celkem:",'ZV Vyžád.'!$A:$M,7,0)),"",VLOOKUP("Celkem:",'ZV Vyžád.'!$A:$M,7,0))</f>
        <v>1.0816853445580747</v>
      </c>
      <c r="E26" s="267">
        <f t="shared" si="1"/>
        <v>3.2381539729376967</v>
      </c>
    </row>
    <row r="27" spans="1:5" ht="14.4" customHeight="1" thickBot="1" x14ac:dyDescent="0.35">
      <c r="A27" s="292" t="s">
        <v>172</v>
      </c>
      <c r="B27" s="276"/>
      <c r="C27" s="277"/>
      <c r="D27" s="277"/>
      <c r="E27" s="278"/>
    </row>
    <row r="28" spans="1:5" ht="14.4" customHeight="1" thickBot="1" x14ac:dyDescent="0.35">
      <c r="A28" s="293"/>
      <c r="B28" s="294"/>
      <c r="C28" s="295"/>
      <c r="D28" s="295"/>
      <c r="E28" s="296"/>
    </row>
    <row r="29" spans="1:5" ht="14.4" customHeight="1" thickBot="1" x14ac:dyDescent="0.35">
      <c r="A29" s="297" t="s">
        <v>173</v>
      </c>
      <c r="B29" s="298"/>
      <c r="C29" s="299"/>
      <c r="D29" s="299"/>
      <c r="E29" s="300"/>
    </row>
  </sheetData>
  <mergeCells count="1">
    <mergeCell ref="A1:E1"/>
  </mergeCells>
  <conditionalFormatting sqref="E5">
    <cfRule type="cellIs" dxfId="8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9">
    <cfRule type="cellIs" dxfId="7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0:E22 E16 E8 E24">
    <cfRule type="cellIs" dxfId="74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7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3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3">
    <cfRule type="cellIs" dxfId="72" priority="5" operator="lessThan">
      <formula>1</formula>
    </cfRule>
  </conditionalFormatting>
  <conditionalFormatting sqref="E25:E26 E4 E7 E13 E18">
    <cfRule type="cellIs" dxfId="71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46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87" customWidth="1"/>
    <col min="2" max="2" width="6.5546875" style="197" hidden="1" customWidth="1" outlineLevel="1"/>
    <col min="3" max="3" width="5.88671875" style="197" hidden="1" customWidth="1" outlineLevel="1"/>
    <col min="4" max="4" width="7.6640625" style="197" hidden="1" customWidth="1" outlineLevel="1"/>
    <col min="5" max="5" width="6.5546875" style="90" customWidth="1" collapsed="1"/>
    <col min="6" max="6" width="5.88671875" style="90" customWidth="1"/>
    <col min="7" max="7" width="7.6640625" style="90" customWidth="1"/>
    <col min="8" max="8" width="6.5546875" style="90" customWidth="1"/>
    <col min="9" max="9" width="5.88671875" style="90" customWidth="1"/>
    <col min="10" max="10" width="7.6640625" style="90" customWidth="1"/>
    <col min="11" max="11" width="9.109375" style="90" customWidth="1"/>
    <col min="12" max="12" width="3.88671875" style="90" customWidth="1"/>
    <col min="13" max="13" width="4.33203125" style="90" customWidth="1"/>
    <col min="14" max="14" width="5.44140625" style="90" customWidth="1"/>
    <col min="15" max="15" width="4" style="90" customWidth="1"/>
    <col min="16" max="16" width="55.5546875" style="84" customWidth="1"/>
    <col min="17" max="17" width="7.77734375" style="88" hidden="1" customWidth="1" outlineLevel="1"/>
    <col min="18" max="18" width="5.88671875" style="88" hidden="1" customWidth="1" outlineLevel="1"/>
    <col min="19" max="19" width="7.77734375" style="88" customWidth="1" collapsed="1"/>
    <col min="20" max="20" width="6" style="88" customWidth="1"/>
    <col min="21" max="22" width="9.6640625" style="197" customWidth="1"/>
    <col min="23" max="23" width="7.6640625" style="197" customWidth="1"/>
    <col min="24" max="24" width="6.109375" style="91" customWidth="1"/>
    <col min="25" max="25" width="17.109375" style="89" bestFit="1" customWidth="1"/>
    <col min="26" max="16384" width="8.88671875" style="84"/>
  </cols>
  <sheetData>
    <row r="1" spans="1:25" s="294" customFormat="1" ht="18.600000000000001" customHeight="1" thickBot="1" x14ac:dyDescent="0.4">
      <c r="A1" s="552" t="s">
        <v>2718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</row>
    <row r="2" spans="1:25" ht="14.4" customHeight="1" thickBot="1" x14ac:dyDescent="0.35">
      <c r="A2" s="351" t="s">
        <v>288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4"/>
      <c r="Q2" s="344"/>
      <c r="R2" s="344"/>
      <c r="S2" s="344"/>
      <c r="T2" s="344"/>
      <c r="U2" s="345"/>
      <c r="V2" s="345"/>
      <c r="W2" s="345"/>
      <c r="X2" s="344"/>
      <c r="Y2" s="346"/>
    </row>
    <row r="3" spans="1:25" s="85" customFormat="1" ht="14.4" customHeight="1" x14ac:dyDescent="0.3">
      <c r="A3" s="609" t="s">
        <v>62</v>
      </c>
      <c r="B3" s="611">
        <v>2015</v>
      </c>
      <c r="C3" s="612"/>
      <c r="D3" s="613"/>
      <c r="E3" s="611">
        <v>2016</v>
      </c>
      <c r="F3" s="612"/>
      <c r="G3" s="613"/>
      <c r="H3" s="611">
        <v>2017</v>
      </c>
      <c r="I3" s="612"/>
      <c r="J3" s="613"/>
      <c r="K3" s="614" t="s">
        <v>63</v>
      </c>
      <c r="L3" s="603" t="s">
        <v>64</v>
      </c>
      <c r="M3" s="603" t="s">
        <v>65</v>
      </c>
      <c r="N3" s="603" t="s">
        <v>66</v>
      </c>
      <c r="O3" s="245" t="s">
        <v>67</v>
      </c>
      <c r="P3" s="605" t="s">
        <v>68</v>
      </c>
      <c r="Q3" s="607" t="s">
        <v>286</v>
      </c>
      <c r="R3" s="608"/>
      <c r="S3" s="607" t="s">
        <v>69</v>
      </c>
      <c r="T3" s="608"/>
      <c r="U3" s="601" t="s">
        <v>70</v>
      </c>
      <c r="V3" s="602"/>
      <c r="W3" s="602"/>
      <c r="X3" s="602"/>
      <c r="Y3" s="198" t="s">
        <v>70</v>
      </c>
    </row>
    <row r="4" spans="1:25" s="86" customFormat="1" ht="14.4" customHeight="1" thickBot="1" x14ac:dyDescent="0.35">
      <c r="A4" s="610"/>
      <c r="B4" s="461" t="s">
        <v>71</v>
      </c>
      <c r="C4" s="459" t="s">
        <v>59</v>
      </c>
      <c r="D4" s="462" t="s">
        <v>72</v>
      </c>
      <c r="E4" s="461" t="s">
        <v>71</v>
      </c>
      <c r="F4" s="459" t="s">
        <v>59</v>
      </c>
      <c r="G4" s="462" t="s">
        <v>72</v>
      </c>
      <c r="H4" s="461" t="s">
        <v>71</v>
      </c>
      <c r="I4" s="459" t="s">
        <v>59</v>
      </c>
      <c r="J4" s="462" t="s">
        <v>72</v>
      </c>
      <c r="K4" s="615"/>
      <c r="L4" s="604"/>
      <c r="M4" s="604"/>
      <c r="N4" s="604"/>
      <c r="O4" s="463"/>
      <c r="P4" s="606"/>
      <c r="Q4" s="464" t="s">
        <v>60</v>
      </c>
      <c r="R4" s="465" t="s">
        <v>59</v>
      </c>
      <c r="S4" s="464" t="s">
        <v>60</v>
      </c>
      <c r="T4" s="465" t="s">
        <v>59</v>
      </c>
      <c r="U4" s="466" t="s">
        <v>73</v>
      </c>
      <c r="V4" s="460" t="s">
        <v>74</v>
      </c>
      <c r="W4" s="460" t="s">
        <v>75</v>
      </c>
      <c r="X4" s="467" t="s">
        <v>2</v>
      </c>
      <c r="Y4" s="468" t="s">
        <v>76</v>
      </c>
    </row>
    <row r="5" spans="1:25" s="469" customFormat="1" ht="14.4" customHeight="1" x14ac:dyDescent="0.3">
      <c r="A5" s="774" t="s">
        <v>2637</v>
      </c>
      <c r="B5" s="367">
        <v>1</v>
      </c>
      <c r="C5" s="775">
        <v>7.77</v>
      </c>
      <c r="D5" s="776">
        <v>21</v>
      </c>
      <c r="E5" s="777">
        <v>1</v>
      </c>
      <c r="F5" s="778">
        <v>7.77</v>
      </c>
      <c r="G5" s="779">
        <v>6</v>
      </c>
      <c r="H5" s="780"/>
      <c r="I5" s="781"/>
      <c r="J5" s="782"/>
      <c r="K5" s="783">
        <v>7.77</v>
      </c>
      <c r="L5" s="780">
        <v>5</v>
      </c>
      <c r="M5" s="780">
        <v>45</v>
      </c>
      <c r="N5" s="784">
        <v>15</v>
      </c>
      <c r="O5" s="780" t="s">
        <v>2638</v>
      </c>
      <c r="P5" s="785" t="s">
        <v>2639</v>
      </c>
      <c r="Q5" s="786">
        <f>H5-B5</f>
        <v>-1</v>
      </c>
      <c r="R5" s="802">
        <f>I5-C5</f>
        <v>-7.77</v>
      </c>
      <c r="S5" s="786">
        <f>H5-E5</f>
        <v>-1</v>
      </c>
      <c r="T5" s="802">
        <f>I5-F5</f>
        <v>-7.77</v>
      </c>
      <c r="U5" s="812" t="s">
        <v>480</v>
      </c>
      <c r="V5" s="367" t="s">
        <v>480</v>
      </c>
      <c r="W5" s="367" t="s">
        <v>480</v>
      </c>
      <c r="X5" s="813" t="s">
        <v>480</v>
      </c>
      <c r="Y5" s="814"/>
    </row>
    <row r="6" spans="1:25" ht="14.4" customHeight="1" x14ac:dyDescent="0.3">
      <c r="A6" s="772" t="s">
        <v>2640</v>
      </c>
      <c r="B6" s="754">
        <v>1</v>
      </c>
      <c r="C6" s="755">
        <v>37.18</v>
      </c>
      <c r="D6" s="756">
        <v>64</v>
      </c>
      <c r="E6" s="739">
        <v>2</v>
      </c>
      <c r="F6" s="740">
        <v>70.12</v>
      </c>
      <c r="G6" s="741">
        <v>50</v>
      </c>
      <c r="H6" s="742"/>
      <c r="I6" s="743"/>
      <c r="J6" s="744"/>
      <c r="K6" s="745">
        <v>33.15</v>
      </c>
      <c r="L6" s="742">
        <v>22</v>
      </c>
      <c r="M6" s="742">
        <v>135</v>
      </c>
      <c r="N6" s="746">
        <v>45</v>
      </c>
      <c r="O6" s="742" t="s">
        <v>2638</v>
      </c>
      <c r="P6" s="757" t="s">
        <v>2641</v>
      </c>
      <c r="Q6" s="747">
        <f t="shared" ref="Q6:R46" si="0">H6-B6</f>
        <v>-1</v>
      </c>
      <c r="R6" s="803">
        <f t="shared" si="0"/>
        <v>-37.18</v>
      </c>
      <c r="S6" s="747">
        <f t="shared" ref="S6:S46" si="1">H6-E6</f>
        <v>-2</v>
      </c>
      <c r="T6" s="803">
        <f t="shared" ref="T6:T46" si="2">I6-F6</f>
        <v>-70.12</v>
      </c>
      <c r="U6" s="810" t="s">
        <v>480</v>
      </c>
      <c r="V6" s="754" t="s">
        <v>480</v>
      </c>
      <c r="W6" s="754" t="s">
        <v>480</v>
      </c>
      <c r="X6" s="808" t="s">
        <v>480</v>
      </c>
      <c r="Y6" s="806"/>
    </row>
    <row r="7" spans="1:25" ht="14.4" customHeight="1" x14ac:dyDescent="0.3">
      <c r="A7" s="772" t="s">
        <v>2642</v>
      </c>
      <c r="B7" s="754"/>
      <c r="C7" s="755"/>
      <c r="D7" s="756"/>
      <c r="E7" s="758"/>
      <c r="F7" s="743"/>
      <c r="G7" s="744"/>
      <c r="H7" s="739">
        <v>1</v>
      </c>
      <c r="I7" s="740">
        <v>20.05</v>
      </c>
      <c r="J7" s="741">
        <v>24</v>
      </c>
      <c r="K7" s="745">
        <v>20.05</v>
      </c>
      <c r="L7" s="742">
        <v>11</v>
      </c>
      <c r="M7" s="742">
        <v>90</v>
      </c>
      <c r="N7" s="746">
        <v>30</v>
      </c>
      <c r="O7" s="742" t="s">
        <v>2638</v>
      </c>
      <c r="P7" s="757" t="s">
        <v>2643</v>
      </c>
      <c r="Q7" s="747">
        <f t="shared" si="0"/>
        <v>1</v>
      </c>
      <c r="R7" s="803">
        <f t="shared" si="0"/>
        <v>20.05</v>
      </c>
      <c r="S7" s="747">
        <f t="shared" si="1"/>
        <v>1</v>
      </c>
      <c r="T7" s="803">
        <f t="shared" si="2"/>
        <v>20.05</v>
      </c>
      <c r="U7" s="810">
        <v>30</v>
      </c>
      <c r="V7" s="754">
        <v>24</v>
      </c>
      <c r="W7" s="754">
        <v>-6</v>
      </c>
      <c r="X7" s="808">
        <v>0.8</v>
      </c>
      <c r="Y7" s="806"/>
    </row>
    <row r="8" spans="1:25" ht="14.4" customHeight="1" x14ac:dyDescent="0.3">
      <c r="A8" s="773" t="s">
        <v>2644</v>
      </c>
      <c r="B8" s="472">
        <v>2</v>
      </c>
      <c r="C8" s="760">
        <v>40.68</v>
      </c>
      <c r="D8" s="759">
        <v>25.5</v>
      </c>
      <c r="E8" s="761"/>
      <c r="F8" s="762"/>
      <c r="G8" s="748"/>
      <c r="H8" s="763">
        <v>1</v>
      </c>
      <c r="I8" s="764">
        <v>20.34</v>
      </c>
      <c r="J8" s="749">
        <v>17</v>
      </c>
      <c r="K8" s="765">
        <v>20.34</v>
      </c>
      <c r="L8" s="766">
        <v>11</v>
      </c>
      <c r="M8" s="766">
        <v>87</v>
      </c>
      <c r="N8" s="767">
        <v>29</v>
      </c>
      <c r="O8" s="766" t="s">
        <v>2638</v>
      </c>
      <c r="P8" s="768" t="s">
        <v>2643</v>
      </c>
      <c r="Q8" s="769">
        <f t="shared" si="0"/>
        <v>-1</v>
      </c>
      <c r="R8" s="804">
        <f t="shared" si="0"/>
        <v>-20.34</v>
      </c>
      <c r="S8" s="769">
        <f t="shared" si="1"/>
        <v>1</v>
      </c>
      <c r="T8" s="804">
        <f t="shared" si="2"/>
        <v>20.34</v>
      </c>
      <c r="U8" s="811">
        <v>29</v>
      </c>
      <c r="V8" s="472">
        <v>17</v>
      </c>
      <c r="W8" s="472">
        <v>-12</v>
      </c>
      <c r="X8" s="809">
        <v>0.58620689655172409</v>
      </c>
      <c r="Y8" s="807"/>
    </row>
    <row r="9" spans="1:25" ht="14.4" customHeight="1" x14ac:dyDescent="0.3">
      <c r="A9" s="772" t="s">
        <v>2645</v>
      </c>
      <c r="B9" s="754"/>
      <c r="C9" s="755"/>
      <c r="D9" s="756"/>
      <c r="E9" s="758"/>
      <c r="F9" s="743"/>
      <c r="G9" s="744"/>
      <c r="H9" s="739">
        <v>1</v>
      </c>
      <c r="I9" s="740">
        <v>12.38</v>
      </c>
      <c r="J9" s="741">
        <v>12</v>
      </c>
      <c r="K9" s="745">
        <v>12.38</v>
      </c>
      <c r="L9" s="742">
        <v>5</v>
      </c>
      <c r="M9" s="742">
        <v>60</v>
      </c>
      <c r="N9" s="746">
        <v>20</v>
      </c>
      <c r="O9" s="742" t="s">
        <v>2638</v>
      </c>
      <c r="P9" s="757" t="s">
        <v>2646</v>
      </c>
      <c r="Q9" s="747">
        <f t="shared" si="0"/>
        <v>1</v>
      </c>
      <c r="R9" s="803">
        <f t="shared" si="0"/>
        <v>12.38</v>
      </c>
      <c r="S9" s="747">
        <f t="shared" si="1"/>
        <v>1</v>
      </c>
      <c r="T9" s="803">
        <f t="shared" si="2"/>
        <v>12.38</v>
      </c>
      <c r="U9" s="810">
        <v>20</v>
      </c>
      <c r="V9" s="754">
        <v>12</v>
      </c>
      <c r="W9" s="754">
        <v>-8</v>
      </c>
      <c r="X9" s="808">
        <v>0.6</v>
      </c>
      <c r="Y9" s="806"/>
    </row>
    <row r="10" spans="1:25" ht="14.4" customHeight="1" x14ac:dyDescent="0.3">
      <c r="A10" s="773" t="s">
        <v>2647</v>
      </c>
      <c r="B10" s="472"/>
      <c r="C10" s="760"/>
      <c r="D10" s="759"/>
      <c r="E10" s="761">
        <v>3</v>
      </c>
      <c r="F10" s="762">
        <v>44.22</v>
      </c>
      <c r="G10" s="748">
        <v>26</v>
      </c>
      <c r="H10" s="763">
        <v>2</v>
      </c>
      <c r="I10" s="764">
        <v>25.3</v>
      </c>
      <c r="J10" s="749">
        <v>9</v>
      </c>
      <c r="K10" s="765">
        <v>12.65</v>
      </c>
      <c r="L10" s="766">
        <v>5</v>
      </c>
      <c r="M10" s="766">
        <v>60</v>
      </c>
      <c r="N10" s="767">
        <v>20</v>
      </c>
      <c r="O10" s="766" t="s">
        <v>2638</v>
      </c>
      <c r="P10" s="768" t="s">
        <v>2646</v>
      </c>
      <c r="Q10" s="769">
        <f t="shared" si="0"/>
        <v>2</v>
      </c>
      <c r="R10" s="804">
        <f t="shared" si="0"/>
        <v>25.3</v>
      </c>
      <c r="S10" s="769">
        <f t="shared" si="1"/>
        <v>-1</v>
      </c>
      <c r="T10" s="804">
        <f t="shared" si="2"/>
        <v>-18.919999999999998</v>
      </c>
      <c r="U10" s="811">
        <v>40</v>
      </c>
      <c r="V10" s="472">
        <v>18</v>
      </c>
      <c r="W10" s="472">
        <v>-22</v>
      </c>
      <c r="X10" s="809">
        <v>0.45</v>
      </c>
      <c r="Y10" s="807"/>
    </row>
    <row r="11" spans="1:25" ht="14.4" customHeight="1" x14ac:dyDescent="0.3">
      <c r="A11" s="772" t="s">
        <v>2648</v>
      </c>
      <c r="B11" s="754"/>
      <c r="C11" s="755"/>
      <c r="D11" s="756"/>
      <c r="E11" s="758"/>
      <c r="F11" s="743"/>
      <c r="G11" s="744"/>
      <c r="H11" s="739">
        <v>1</v>
      </c>
      <c r="I11" s="740">
        <v>5.05</v>
      </c>
      <c r="J11" s="741">
        <v>3</v>
      </c>
      <c r="K11" s="745">
        <v>6.5</v>
      </c>
      <c r="L11" s="742">
        <v>4</v>
      </c>
      <c r="M11" s="742">
        <v>39</v>
      </c>
      <c r="N11" s="746">
        <v>13</v>
      </c>
      <c r="O11" s="742" t="s">
        <v>2638</v>
      </c>
      <c r="P11" s="757" t="s">
        <v>2649</v>
      </c>
      <c r="Q11" s="747">
        <f t="shared" si="0"/>
        <v>1</v>
      </c>
      <c r="R11" s="803">
        <f t="shared" si="0"/>
        <v>5.05</v>
      </c>
      <c r="S11" s="747">
        <f t="shared" si="1"/>
        <v>1</v>
      </c>
      <c r="T11" s="803">
        <f t="shared" si="2"/>
        <v>5.05</v>
      </c>
      <c r="U11" s="810">
        <v>13</v>
      </c>
      <c r="V11" s="754">
        <v>3</v>
      </c>
      <c r="W11" s="754">
        <v>-10</v>
      </c>
      <c r="X11" s="808">
        <v>0.23076923076923078</v>
      </c>
      <c r="Y11" s="806"/>
    </row>
    <row r="12" spans="1:25" ht="14.4" customHeight="1" x14ac:dyDescent="0.3">
      <c r="A12" s="772" t="s">
        <v>2650</v>
      </c>
      <c r="B12" s="750">
        <v>1</v>
      </c>
      <c r="C12" s="751">
        <v>2.0099999999999998</v>
      </c>
      <c r="D12" s="752">
        <v>2</v>
      </c>
      <c r="E12" s="758"/>
      <c r="F12" s="743"/>
      <c r="G12" s="744"/>
      <c r="H12" s="742"/>
      <c r="I12" s="743"/>
      <c r="J12" s="744"/>
      <c r="K12" s="745">
        <v>2.2200000000000002</v>
      </c>
      <c r="L12" s="742">
        <v>3</v>
      </c>
      <c r="M12" s="742">
        <v>30</v>
      </c>
      <c r="N12" s="746">
        <v>10</v>
      </c>
      <c r="O12" s="742" t="s">
        <v>2638</v>
      </c>
      <c r="P12" s="757" t="s">
        <v>2651</v>
      </c>
      <c r="Q12" s="747">
        <f t="shared" si="0"/>
        <v>-1</v>
      </c>
      <c r="R12" s="803">
        <f t="shared" si="0"/>
        <v>-2.0099999999999998</v>
      </c>
      <c r="S12" s="747">
        <f t="shared" si="1"/>
        <v>0</v>
      </c>
      <c r="T12" s="803">
        <f t="shared" si="2"/>
        <v>0</v>
      </c>
      <c r="U12" s="810" t="s">
        <v>480</v>
      </c>
      <c r="V12" s="754" t="s">
        <v>480</v>
      </c>
      <c r="W12" s="754" t="s">
        <v>480</v>
      </c>
      <c r="X12" s="808" t="s">
        <v>480</v>
      </c>
      <c r="Y12" s="806"/>
    </row>
    <row r="13" spans="1:25" ht="14.4" customHeight="1" x14ac:dyDescent="0.3">
      <c r="A13" s="772" t="s">
        <v>2652</v>
      </c>
      <c r="B13" s="754"/>
      <c r="C13" s="755"/>
      <c r="D13" s="756"/>
      <c r="E13" s="739">
        <v>1</v>
      </c>
      <c r="F13" s="740">
        <v>2.2999999999999998</v>
      </c>
      <c r="G13" s="741">
        <v>36</v>
      </c>
      <c r="H13" s="742"/>
      <c r="I13" s="743"/>
      <c r="J13" s="744"/>
      <c r="K13" s="745">
        <v>1.0900000000000001</v>
      </c>
      <c r="L13" s="742">
        <v>3</v>
      </c>
      <c r="M13" s="742">
        <v>27</v>
      </c>
      <c r="N13" s="746">
        <v>9</v>
      </c>
      <c r="O13" s="742" t="s">
        <v>2638</v>
      </c>
      <c r="P13" s="757" t="s">
        <v>2653</v>
      </c>
      <c r="Q13" s="747">
        <f t="shared" si="0"/>
        <v>0</v>
      </c>
      <c r="R13" s="803">
        <f t="shared" si="0"/>
        <v>0</v>
      </c>
      <c r="S13" s="747">
        <f t="shared" si="1"/>
        <v>-1</v>
      </c>
      <c r="T13" s="803">
        <f t="shared" si="2"/>
        <v>-2.2999999999999998</v>
      </c>
      <c r="U13" s="810" t="s">
        <v>480</v>
      </c>
      <c r="V13" s="754" t="s">
        <v>480</v>
      </c>
      <c r="W13" s="754" t="s">
        <v>480</v>
      </c>
      <c r="X13" s="808" t="s">
        <v>480</v>
      </c>
      <c r="Y13" s="806"/>
    </row>
    <row r="14" spans="1:25" ht="14.4" customHeight="1" x14ac:dyDescent="0.3">
      <c r="A14" s="772" t="s">
        <v>2654</v>
      </c>
      <c r="B14" s="754"/>
      <c r="C14" s="755"/>
      <c r="D14" s="756"/>
      <c r="E14" s="758"/>
      <c r="F14" s="743"/>
      <c r="G14" s="744"/>
      <c r="H14" s="739">
        <v>1</v>
      </c>
      <c r="I14" s="740">
        <v>0.51</v>
      </c>
      <c r="J14" s="741">
        <v>2</v>
      </c>
      <c r="K14" s="745">
        <v>0.51</v>
      </c>
      <c r="L14" s="742">
        <v>2</v>
      </c>
      <c r="M14" s="742">
        <v>18</v>
      </c>
      <c r="N14" s="746">
        <v>6</v>
      </c>
      <c r="O14" s="742" t="s">
        <v>2638</v>
      </c>
      <c r="P14" s="757" t="s">
        <v>2655</v>
      </c>
      <c r="Q14" s="747">
        <f t="shared" si="0"/>
        <v>1</v>
      </c>
      <c r="R14" s="803">
        <f t="shared" si="0"/>
        <v>0.51</v>
      </c>
      <c r="S14" s="747">
        <f t="shared" si="1"/>
        <v>1</v>
      </c>
      <c r="T14" s="803">
        <f t="shared" si="2"/>
        <v>0.51</v>
      </c>
      <c r="U14" s="810">
        <v>6</v>
      </c>
      <c r="V14" s="754">
        <v>2</v>
      </c>
      <c r="W14" s="754">
        <v>-4</v>
      </c>
      <c r="X14" s="808">
        <v>0.33333333333333331</v>
      </c>
      <c r="Y14" s="806"/>
    </row>
    <row r="15" spans="1:25" ht="14.4" customHeight="1" x14ac:dyDescent="0.3">
      <c r="A15" s="772" t="s">
        <v>2656</v>
      </c>
      <c r="B15" s="754"/>
      <c r="C15" s="755"/>
      <c r="D15" s="756"/>
      <c r="E15" s="739">
        <v>1</v>
      </c>
      <c r="F15" s="740">
        <v>1.84</v>
      </c>
      <c r="G15" s="741">
        <v>13</v>
      </c>
      <c r="H15" s="742"/>
      <c r="I15" s="743"/>
      <c r="J15" s="744"/>
      <c r="K15" s="745">
        <v>1.67</v>
      </c>
      <c r="L15" s="742">
        <v>3</v>
      </c>
      <c r="M15" s="742">
        <v>27</v>
      </c>
      <c r="N15" s="746">
        <v>9</v>
      </c>
      <c r="O15" s="742" t="s">
        <v>2638</v>
      </c>
      <c r="P15" s="757" t="s">
        <v>2657</v>
      </c>
      <c r="Q15" s="747">
        <f t="shared" si="0"/>
        <v>0</v>
      </c>
      <c r="R15" s="803">
        <f t="shared" si="0"/>
        <v>0</v>
      </c>
      <c r="S15" s="747">
        <f t="shared" si="1"/>
        <v>-1</v>
      </c>
      <c r="T15" s="803">
        <f t="shared" si="2"/>
        <v>-1.84</v>
      </c>
      <c r="U15" s="810" t="s">
        <v>480</v>
      </c>
      <c r="V15" s="754" t="s">
        <v>480</v>
      </c>
      <c r="W15" s="754" t="s">
        <v>480</v>
      </c>
      <c r="X15" s="808" t="s">
        <v>480</v>
      </c>
      <c r="Y15" s="806"/>
    </row>
    <row r="16" spans="1:25" ht="14.4" customHeight="1" x14ac:dyDescent="0.3">
      <c r="A16" s="772" t="s">
        <v>2658</v>
      </c>
      <c r="B16" s="754"/>
      <c r="C16" s="755"/>
      <c r="D16" s="756"/>
      <c r="E16" s="739">
        <v>2</v>
      </c>
      <c r="F16" s="740">
        <v>14.05</v>
      </c>
      <c r="G16" s="741">
        <v>3.5</v>
      </c>
      <c r="H16" s="742"/>
      <c r="I16" s="743"/>
      <c r="J16" s="744"/>
      <c r="K16" s="745">
        <v>9.31</v>
      </c>
      <c r="L16" s="742">
        <v>5</v>
      </c>
      <c r="M16" s="742">
        <v>48</v>
      </c>
      <c r="N16" s="746">
        <v>16</v>
      </c>
      <c r="O16" s="742" t="s">
        <v>2638</v>
      </c>
      <c r="P16" s="757" t="s">
        <v>2659</v>
      </c>
      <c r="Q16" s="747">
        <f t="shared" si="0"/>
        <v>0</v>
      </c>
      <c r="R16" s="803">
        <f t="shared" si="0"/>
        <v>0</v>
      </c>
      <c r="S16" s="747">
        <f t="shared" si="1"/>
        <v>-2</v>
      </c>
      <c r="T16" s="803">
        <f t="shared" si="2"/>
        <v>-14.05</v>
      </c>
      <c r="U16" s="810" t="s">
        <v>480</v>
      </c>
      <c r="V16" s="754" t="s">
        <v>480</v>
      </c>
      <c r="W16" s="754" t="s">
        <v>480</v>
      </c>
      <c r="X16" s="808" t="s">
        <v>480</v>
      </c>
      <c r="Y16" s="806"/>
    </row>
    <row r="17" spans="1:25" ht="14.4" customHeight="1" x14ac:dyDescent="0.3">
      <c r="A17" s="772" t="s">
        <v>2660</v>
      </c>
      <c r="B17" s="750">
        <v>1</v>
      </c>
      <c r="C17" s="751">
        <v>1.58</v>
      </c>
      <c r="D17" s="752">
        <v>2</v>
      </c>
      <c r="E17" s="758"/>
      <c r="F17" s="743"/>
      <c r="G17" s="744"/>
      <c r="H17" s="742"/>
      <c r="I17" s="743"/>
      <c r="J17" s="744"/>
      <c r="K17" s="745">
        <v>2.86</v>
      </c>
      <c r="L17" s="742">
        <v>4</v>
      </c>
      <c r="M17" s="742">
        <v>36</v>
      </c>
      <c r="N17" s="746">
        <v>12</v>
      </c>
      <c r="O17" s="742" t="s">
        <v>2638</v>
      </c>
      <c r="P17" s="757" t="s">
        <v>2661</v>
      </c>
      <c r="Q17" s="747">
        <f t="shared" si="0"/>
        <v>-1</v>
      </c>
      <c r="R17" s="803">
        <f t="shared" si="0"/>
        <v>-1.58</v>
      </c>
      <c r="S17" s="747">
        <f t="shared" si="1"/>
        <v>0</v>
      </c>
      <c r="T17" s="803">
        <f t="shared" si="2"/>
        <v>0</v>
      </c>
      <c r="U17" s="810" t="s">
        <v>480</v>
      </c>
      <c r="V17" s="754" t="s">
        <v>480</v>
      </c>
      <c r="W17" s="754" t="s">
        <v>480</v>
      </c>
      <c r="X17" s="808" t="s">
        <v>480</v>
      </c>
      <c r="Y17" s="806"/>
    </row>
    <row r="18" spans="1:25" ht="14.4" customHeight="1" x14ac:dyDescent="0.3">
      <c r="A18" s="772" t="s">
        <v>2662</v>
      </c>
      <c r="B18" s="754"/>
      <c r="C18" s="755"/>
      <c r="D18" s="756"/>
      <c r="E18" s="758"/>
      <c r="F18" s="743"/>
      <c r="G18" s="744"/>
      <c r="H18" s="739">
        <v>1</v>
      </c>
      <c r="I18" s="740">
        <v>4.72</v>
      </c>
      <c r="J18" s="741">
        <v>4</v>
      </c>
      <c r="K18" s="745">
        <v>4.72</v>
      </c>
      <c r="L18" s="742">
        <v>2</v>
      </c>
      <c r="M18" s="742">
        <v>21</v>
      </c>
      <c r="N18" s="746">
        <v>7</v>
      </c>
      <c r="O18" s="742" t="s">
        <v>2102</v>
      </c>
      <c r="P18" s="757" t="s">
        <v>2663</v>
      </c>
      <c r="Q18" s="747">
        <f t="shared" si="0"/>
        <v>1</v>
      </c>
      <c r="R18" s="803">
        <f t="shared" si="0"/>
        <v>4.72</v>
      </c>
      <c r="S18" s="747">
        <f t="shared" si="1"/>
        <v>1</v>
      </c>
      <c r="T18" s="803">
        <f t="shared" si="2"/>
        <v>4.72</v>
      </c>
      <c r="U18" s="810">
        <v>7</v>
      </c>
      <c r="V18" s="754">
        <v>4</v>
      </c>
      <c r="W18" s="754">
        <v>-3</v>
      </c>
      <c r="X18" s="808">
        <v>0.5714285714285714</v>
      </c>
      <c r="Y18" s="806"/>
    </row>
    <row r="19" spans="1:25" ht="14.4" customHeight="1" x14ac:dyDescent="0.3">
      <c r="A19" s="772" t="s">
        <v>2664</v>
      </c>
      <c r="B19" s="754"/>
      <c r="C19" s="755"/>
      <c r="D19" s="756"/>
      <c r="E19" s="739">
        <v>1</v>
      </c>
      <c r="F19" s="740">
        <v>1.23</v>
      </c>
      <c r="G19" s="741">
        <v>6</v>
      </c>
      <c r="H19" s="742"/>
      <c r="I19" s="743"/>
      <c r="J19" s="744"/>
      <c r="K19" s="745">
        <v>1.23</v>
      </c>
      <c r="L19" s="742">
        <v>2</v>
      </c>
      <c r="M19" s="742">
        <v>21</v>
      </c>
      <c r="N19" s="746">
        <v>7</v>
      </c>
      <c r="O19" s="742" t="s">
        <v>2638</v>
      </c>
      <c r="P19" s="757" t="s">
        <v>2665</v>
      </c>
      <c r="Q19" s="747">
        <f t="shared" si="0"/>
        <v>0</v>
      </c>
      <c r="R19" s="803">
        <f t="shared" si="0"/>
        <v>0</v>
      </c>
      <c r="S19" s="747">
        <f t="shared" si="1"/>
        <v>-1</v>
      </c>
      <c r="T19" s="803">
        <f t="shared" si="2"/>
        <v>-1.23</v>
      </c>
      <c r="U19" s="810" t="s">
        <v>480</v>
      </c>
      <c r="V19" s="754" t="s">
        <v>480</v>
      </c>
      <c r="W19" s="754" t="s">
        <v>480</v>
      </c>
      <c r="X19" s="808" t="s">
        <v>480</v>
      </c>
      <c r="Y19" s="806"/>
    </row>
    <row r="20" spans="1:25" ht="14.4" customHeight="1" x14ac:dyDescent="0.3">
      <c r="A20" s="772" t="s">
        <v>2666</v>
      </c>
      <c r="B20" s="754"/>
      <c r="C20" s="755"/>
      <c r="D20" s="756"/>
      <c r="E20" s="739">
        <v>1</v>
      </c>
      <c r="F20" s="740">
        <v>0.2</v>
      </c>
      <c r="G20" s="741">
        <v>1</v>
      </c>
      <c r="H20" s="742"/>
      <c r="I20" s="743"/>
      <c r="J20" s="744"/>
      <c r="K20" s="745">
        <v>0.54</v>
      </c>
      <c r="L20" s="742">
        <v>3</v>
      </c>
      <c r="M20" s="742">
        <v>24</v>
      </c>
      <c r="N20" s="746">
        <v>8</v>
      </c>
      <c r="O20" s="742" t="s">
        <v>2638</v>
      </c>
      <c r="P20" s="757" t="s">
        <v>2667</v>
      </c>
      <c r="Q20" s="747">
        <f t="shared" si="0"/>
        <v>0</v>
      </c>
      <c r="R20" s="803">
        <f t="shared" si="0"/>
        <v>0</v>
      </c>
      <c r="S20" s="747">
        <f t="shared" si="1"/>
        <v>-1</v>
      </c>
      <c r="T20" s="803">
        <f t="shared" si="2"/>
        <v>-0.2</v>
      </c>
      <c r="U20" s="810" t="s">
        <v>480</v>
      </c>
      <c r="V20" s="754" t="s">
        <v>480</v>
      </c>
      <c r="W20" s="754" t="s">
        <v>480</v>
      </c>
      <c r="X20" s="808" t="s">
        <v>480</v>
      </c>
      <c r="Y20" s="806"/>
    </row>
    <row r="21" spans="1:25" ht="14.4" customHeight="1" x14ac:dyDescent="0.3">
      <c r="A21" s="772" t="s">
        <v>2668</v>
      </c>
      <c r="B21" s="754"/>
      <c r="C21" s="755"/>
      <c r="D21" s="756"/>
      <c r="E21" s="739">
        <v>1</v>
      </c>
      <c r="F21" s="740">
        <v>4.2699999999999996</v>
      </c>
      <c r="G21" s="741">
        <v>2</v>
      </c>
      <c r="H21" s="742"/>
      <c r="I21" s="743"/>
      <c r="J21" s="744"/>
      <c r="K21" s="745">
        <v>4.2699999999999996</v>
      </c>
      <c r="L21" s="742">
        <v>2</v>
      </c>
      <c r="M21" s="742">
        <v>21</v>
      </c>
      <c r="N21" s="746">
        <v>7</v>
      </c>
      <c r="O21" s="742" t="s">
        <v>2638</v>
      </c>
      <c r="P21" s="757" t="s">
        <v>2669</v>
      </c>
      <c r="Q21" s="747">
        <f t="shared" si="0"/>
        <v>0</v>
      </c>
      <c r="R21" s="803">
        <f t="shared" si="0"/>
        <v>0</v>
      </c>
      <c r="S21" s="747">
        <f t="shared" si="1"/>
        <v>-1</v>
      </c>
      <c r="T21" s="803">
        <f t="shared" si="2"/>
        <v>-4.2699999999999996</v>
      </c>
      <c r="U21" s="810" t="s">
        <v>480</v>
      </c>
      <c r="V21" s="754" t="s">
        <v>480</v>
      </c>
      <c r="W21" s="754" t="s">
        <v>480</v>
      </c>
      <c r="X21" s="808" t="s">
        <v>480</v>
      </c>
      <c r="Y21" s="806"/>
    </row>
    <row r="22" spans="1:25" ht="14.4" customHeight="1" x14ac:dyDescent="0.3">
      <c r="A22" s="772" t="s">
        <v>2670</v>
      </c>
      <c r="B22" s="754"/>
      <c r="C22" s="755"/>
      <c r="D22" s="756"/>
      <c r="E22" s="758">
        <v>1</v>
      </c>
      <c r="F22" s="743">
        <v>4.09</v>
      </c>
      <c r="G22" s="744">
        <v>9</v>
      </c>
      <c r="H22" s="739"/>
      <c r="I22" s="740"/>
      <c r="J22" s="741"/>
      <c r="K22" s="745">
        <v>4.09</v>
      </c>
      <c r="L22" s="742">
        <v>5</v>
      </c>
      <c r="M22" s="742">
        <v>45</v>
      </c>
      <c r="N22" s="746">
        <v>15</v>
      </c>
      <c r="O22" s="742" t="s">
        <v>2638</v>
      </c>
      <c r="P22" s="757" t="s">
        <v>2671</v>
      </c>
      <c r="Q22" s="747">
        <f t="shared" si="0"/>
        <v>0</v>
      </c>
      <c r="R22" s="803">
        <f t="shared" si="0"/>
        <v>0</v>
      </c>
      <c r="S22" s="747">
        <f t="shared" si="1"/>
        <v>-1</v>
      </c>
      <c r="T22" s="803">
        <f t="shared" si="2"/>
        <v>-4.09</v>
      </c>
      <c r="U22" s="810" t="s">
        <v>480</v>
      </c>
      <c r="V22" s="754" t="s">
        <v>480</v>
      </c>
      <c r="W22" s="754" t="s">
        <v>480</v>
      </c>
      <c r="X22" s="808" t="s">
        <v>480</v>
      </c>
      <c r="Y22" s="806"/>
    </row>
    <row r="23" spans="1:25" ht="14.4" customHeight="1" x14ac:dyDescent="0.3">
      <c r="A23" s="773" t="s">
        <v>2672</v>
      </c>
      <c r="B23" s="472">
        <v>1</v>
      </c>
      <c r="C23" s="760">
        <v>3.02</v>
      </c>
      <c r="D23" s="759">
        <v>3</v>
      </c>
      <c r="E23" s="761">
        <v>1</v>
      </c>
      <c r="F23" s="762">
        <v>7.19</v>
      </c>
      <c r="G23" s="748">
        <v>9</v>
      </c>
      <c r="H23" s="763">
        <v>2</v>
      </c>
      <c r="I23" s="764">
        <v>6.99</v>
      </c>
      <c r="J23" s="749">
        <v>3</v>
      </c>
      <c r="K23" s="765">
        <v>6.37</v>
      </c>
      <c r="L23" s="766">
        <v>7</v>
      </c>
      <c r="M23" s="766">
        <v>60</v>
      </c>
      <c r="N23" s="767">
        <v>20</v>
      </c>
      <c r="O23" s="766" t="s">
        <v>2638</v>
      </c>
      <c r="P23" s="768" t="s">
        <v>2673</v>
      </c>
      <c r="Q23" s="769">
        <f t="shared" si="0"/>
        <v>1</v>
      </c>
      <c r="R23" s="804">
        <f t="shared" si="0"/>
        <v>3.97</v>
      </c>
      <c r="S23" s="769">
        <f t="shared" si="1"/>
        <v>1</v>
      </c>
      <c r="T23" s="804">
        <f t="shared" si="2"/>
        <v>-0.20000000000000018</v>
      </c>
      <c r="U23" s="811">
        <v>40</v>
      </c>
      <c r="V23" s="472">
        <v>6</v>
      </c>
      <c r="W23" s="472">
        <v>-34</v>
      </c>
      <c r="X23" s="809">
        <v>0.15</v>
      </c>
      <c r="Y23" s="807"/>
    </row>
    <row r="24" spans="1:25" ht="14.4" customHeight="1" x14ac:dyDescent="0.3">
      <c r="A24" s="772" t="s">
        <v>2674</v>
      </c>
      <c r="B24" s="750">
        <v>1</v>
      </c>
      <c r="C24" s="751">
        <v>1.5</v>
      </c>
      <c r="D24" s="752">
        <v>5</v>
      </c>
      <c r="E24" s="758"/>
      <c r="F24" s="743"/>
      <c r="G24" s="744"/>
      <c r="H24" s="742"/>
      <c r="I24" s="743"/>
      <c r="J24" s="744"/>
      <c r="K24" s="745">
        <v>1.5</v>
      </c>
      <c r="L24" s="742">
        <v>3</v>
      </c>
      <c r="M24" s="742">
        <v>27</v>
      </c>
      <c r="N24" s="746">
        <v>9</v>
      </c>
      <c r="O24" s="742" t="s">
        <v>2638</v>
      </c>
      <c r="P24" s="757" t="s">
        <v>2675</v>
      </c>
      <c r="Q24" s="747">
        <f t="shared" si="0"/>
        <v>-1</v>
      </c>
      <c r="R24" s="803">
        <f t="shared" si="0"/>
        <v>-1.5</v>
      </c>
      <c r="S24" s="747">
        <f t="shared" si="1"/>
        <v>0</v>
      </c>
      <c r="T24" s="803">
        <f t="shared" si="2"/>
        <v>0</v>
      </c>
      <c r="U24" s="810" t="s">
        <v>480</v>
      </c>
      <c r="V24" s="754" t="s">
        <v>480</v>
      </c>
      <c r="W24" s="754" t="s">
        <v>480</v>
      </c>
      <c r="X24" s="808" t="s">
        <v>480</v>
      </c>
      <c r="Y24" s="806"/>
    </row>
    <row r="25" spans="1:25" ht="14.4" customHeight="1" x14ac:dyDescent="0.3">
      <c r="A25" s="772" t="s">
        <v>2676</v>
      </c>
      <c r="B25" s="754"/>
      <c r="C25" s="755"/>
      <c r="D25" s="756"/>
      <c r="E25" s="739">
        <v>1</v>
      </c>
      <c r="F25" s="740">
        <v>0.32</v>
      </c>
      <c r="G25" s="741">
        <v>1</v>
      </c>
      <c r="H25" s="742"/>
      <c r="I25" s="743"/>
      <c r="J25" s="744"/>
      <c r="K25" s="745">
        <v>0.6</v>
      </c>
      <c r="L25" s="742">
        <v>2</v>
      </c>
      <c r="M25" s="742">
        <v>18</v>
      </c>
      <c r="N25" s="746">
        <v>6</v>
      </c>
      <c r="O25" s="742" t="s">
        <v>2638</v>
      </c>
      <c r="P25" s="757" t="s">
        <v>2677</v>
      </c>
      <c r="Q25" s="747">
        <f t="shared" si="0"/>
        <v>0</v>
      </c>
      <c r="R25" s="803">
        <f t="shared" si="0"/>
        <v>0</v>
      </c>
      <c r="S25" s="747">
        <f t="shared" si="1"/>
        <v>-1</v>
      </c>
      <c r="T25" s="803">
        <f t="shared" si="2"/>
        <v>-0.32</v>
      </c>
      <c r="U25" s="810" t="s">
        <v>480</v>
      </c>
      <c r="V25" s="754" t="s">
        <v>480</v>
      </c>
      <c r="W25" s="754" t="s">
        <v>480</v>
      </c>
      <c r="X25" s="808" t="s">
        <v>480</v>
      </c>
      <c r="Y25" s="806"/>
    </row>
    <row r="26" spans="1:25" ht="14.4" customHeight="1" x14ac:dyDescent="0.3">
      <c r="A26" s="772" t="s">
        <v>2678</v>
      </c>
      <c r="B26" s="754"/>
      <c r="C26" s="755"/>
      <c r="D26" s="756"/>
      <c r="E26" s="739">
        <v>1</v>
      </c>
      <c r="F26" s="740">
        <v>1.28</v>
      </c>
      <c r="G26" s="741">
        <v>2</v>
      </c>
      <c r="H26" s="742"/>
      <c r="I26" s="743"/>
      <c r="J26" s="744"/>
      <c r="K26" s="745">
        <v>1.06</v>
      </c>
      <c r="L26" s="742">
        <v>4</v>
      </c>
      <c r="M26" s="742">
        <v>33</v>
      </c>
      <c r="N26" s="746">
        <v>11</v>
      </c>
      <c r="O26" s="742" t="s">
        <v>2638</v>
      </c>
      <c r="P26" s="757" t="s">
        <v>2679</v>
      </c>
      <c r="Q26" s="747">
        <f t="shared" si="0"/>
        <v>0</v>
      </c>
      <c r="R26" s="803">
        <f t="shared" si="0"/>
        <v>0</v>
      </c>
      <c r="S26" s="747">
        <f t="shared" si="1"/>
        <v>-1</v>
      </c>
      <c r="T26" s="803">
        <f t="shared" si="2"/>
        <v>-1.28</v>
      </c>
      <c r="U26" s="810" t="s">
        <v>480</v>
      </c>
      <c r="V26" s="754" t="s">
        <v>480</v>
      </c>
      <c r="W26" s="754" t="s">
        <v>480</v>
      </c>
      <c r="X26" s="808" t="s">
        <v>480</v>
      </c>
      <c r="Y26" s="806"/>
    </row>
    <row r="27" spans="1:25" ht="14.4" customHeight="1" x14ac:dyDescent="0.3">
      <c r="A27" s="772" t="s">
        <v>2680</v>
      </c>
      <c r="B27" s="754"/>
      <c r="C27" s="755"/>
      <c r="D27" s="756"/>
      <c r="E27" s="739">
        <v>1</v>
      </c>
      <c r="F27" s="740">
        <v>1.37</v>
      </c>
      <c r="G27" s="741">
        <v>3</v>
      </c>
      <c r="H27" s="742"/>
      <c r="I27" s="743"/>
      <c r="J27" s="744"/>
      <c r="K27" s="745">
        <v>1.37</v>
      </c>
      <c r="L27" s="742">
        <v>2</v>
      </c>
      <c r="M27" s="742">
        <v>21</v>
      </c>
      <c r="N27" s="746">
        <v>7</v>
      </c>
      <c r="O27" s="742" t="s">
        <v>2638</v>
      </c>
      <c r="P27" s="757" t="s">
        <v>2681</v>
      </c>
      <c r="Q27" s="747">
        <f t="shared" si="0"/>
        <v>0</v>
      </c>
      <c r="R27" s="803">
        <f t="shared" si="0"/>
        <v>0</v>
      </c>
      <c r="S27" s="747">
        <f t="shared" si="1"/>
        <v>-1</v>
      </c>
      <c r="T27" s="803">
        <f t="shared" si="2"/>
        <v>-1.37</v>
      </c>
      <c r="U27" s="810" t="s">
        <v>480</v>
      </c>
      <c r="V27" s="754" t="s">
        <v>480</v>
      </c>
      <c r="W27" s="754" t="s">
        <v>480</v>
      </c>
      <c r="X27" s="808" t="s">
        <v>480</v>
      </c>
      <c r="Y27" s="806"/>
    </row>
    <row r="28" spans="1:25" ht="14.4" customHeight="1" x14ac:dyDescent="0.3">
      <c r="A28" s="772" t="s">
        <v>2682</v>
      </c>
      <c r="B28" s="754"/>
      <c r="C28" s="755"/>
      <c r="D28" s="756"/>
      <c r="E28" s="758"/>
      <c r="F28" s="743"/>
      <c r="G28" s="744"/>
      <c r="H28" s="739">
        <v>1</v>
      </c>
      <c r="I28" s="740">
        <v>0.3</v>
      </c>
      <c r="J28" s="741">
        <v>2</v>
      </c>
      <c r="K28" s="745">
        <v>0.3</v>
      </c>
      <c r="L28" s="742">
        <v>1</v>
      </c>
      <c r="M28" s="742">
        <v>12</v>
      </c>
      <c r="N28" s="746">
        <v>4</v>
      </c>
      <c r="O28" s="742" t="s">
        <v>2638</v>
      </c>
      <c r="P28" s="757" t="s">
        <v>2683</v>
      </c>
      <c r="Q28" s="747">
        <f t="shared" si="0"/>
        <v>1</v>
      </c>
      <c r="R28" s="803">
        <f t="shared" si="0"/>
        <v>0.3</v>
      </c>
      <c r="S28" s="747">
        <f t="shared" si="1"/>
        <v>1</v>
      </c>
      <c r="T28" s="803">
        <f t="shared" si="2"/>
        <v>0.3</v>
      </c>
      <c r="U28" s="810">
        <v>4</v>
      </c>
      <c r="V28" s="754">
        <v>2</v>
      </c>
      <c r="W28" s="754">
        <v>-2</v>
      </c>
      <c r="X28" s="808">
        <v>0.5</v>
      </c>
      <c r="Y28" s="806"/>
    </row>
    <row r="29" spans="1:25" ht="14.4" customHeight="1" x14ac:dyDescent="0.3">
      <c r="A29" s="772" t="s">
        <v>2684</v>
      </c>
      <c r="B29" s="750">
        <v>1</v>
      </c>
      <c r="C29" s="751">
        <v>2.12</v>
      </c>
      <c r="D29" s="752">
        <v>9</v>
      </c>
      <c r="E29" s="758"/>
      <c r="F29" s="743"/>
      <c r="G29" s="744"/>
      <c r="H29" s="742"/>
      <c r="I29" s="743"/>
      <c r="J29" s="744"/>
      <c r="K29" s="745">
        <v>2.12</v>
      </c>
      <c r="L29" s="742">
        <v>2</v>
      </c>
      <c r="M29" s="742">
        <v>18</v>
      </c>
      <c r="N29" s="746">
        <v>6</v>
      </c>
      <c r="O29" s="742" t="s">
        <v>2638</v>
      </c>
      <c r="P29" s="757" t="s">
        <v>2685</v>
      </c>
      <c r="Q29" s="747">
        <f t="shared" si="0"/>
        <v>-1</v>
      </c>
      <c r="R29" s="803">
        <f t="shared" si="0"/>
        <v>-2.12</v>
      </c>
      <c r="S29" s="747">
        <f t="shared" si="1"/>
        <v>0</v>
      </c>
      <c r="T29" s="803">
        <f t="shared" si="2"/>
        <v>0</v>
      </c>
      <c r="U29" s="810" t="s">
        <v>480</v>
      </c>
      <c r="V29" s="754" t="s">
        <v>480</v>
      </c>
      <c r="W29" s="754" t="s">
        <v>480</v>
      </c>
      <c r="X29" s="808" t="s">
        <v>480</v>
      </c>
      <c r="Y29" s="806"/>
    </row>
    <row r="30" spans="1:25" ht="14.4" customHeight="1" x14ac:dyDescent="0.3">
      <c r="A30" s="772" t="s">
        <v>2686</v>
      </c>
      <c r="B30" s="754"/>
      <c r="C30" s="755"/>
      <c r="D30" s="756"/>
      <c r="E30" s="758"/>
      <c r="F30" s="743"/>
      <c r="G30" s="744"/>
      <c r="H30" s="739">
        <v>1</v>
      </c>
      <c r="I30" s="740">
        <v>2.96</v>
      </c>
      <c r="J30" s="741">
        <v>10</v>
      </c>
      <c r="K30" s="745">
        <v>2.96</v>
      </c>
      <c r="L30" s="742">
        <v>4</v>
      </c>
      <c r="M30" s="742">
        <v>33</v>
      </c>
      <c r="N30" s="746">
        <v>11</v>
      </c>
      <c r="O30" s="742" t="s">
        <v>2638</v>
      </c>
      <c r="P30" s="757" t="s">
        <v>2687</v>
      </c>
      <c r="Q30" s="747">
        <f t="shared" si="0"/>
        <v>1</v>
      </c>
      <c r="R30" s="803">
        <f t="shared" si="0"/>
        <v>2.96</v>
      </c>
      <c r="S30" s="747">
        <f t="shared" si="1"/>
        <v>1</v>
      </c>
      <c r="T30" s="803">
        <f t="shared" si="2"/>
        <v>2.96</v>
      </c>
      <c r="U30" s="810">
        <v>11</v>
      </c>
      <c r="V30" s="754">
        <v>10</v>
      </c>
      <c r="W30" s="754">
        <v>-1</v>
      </c>
      <c r="X30" s="808">
        <v>0.90909090909090906</v>
      </c>
      <c r="Y30" s="806"/>
    </row>
    <row r="31" spans="1:25" ht="14.4" customHeight="1" x14ac:dyDescent="0.3">
      <c r="A31" s="772" t="s">
        <v>2688</v>
      </c>
      <c r="B31" s="754"/>
      <c r="C31" s="755"/>
      <c r="D31" s="756"/>
      <c r="E31" s="739">
        <v>1</v>
      </c>
      <c r="F31" s="740">
        <v>0.94</v>
      </c>
      <c r="G31" s="741">
        <v>2</v>
      </c>
      <c r="H31" s="742"/>
      <c r="I31" s="743"/>
      <c r="J31" s="744"/>
      <c r="K31" s="745">
        <v>1.35</v>
      </c>
      <c r="L31" s="742">
        <v>3</v>
      </c>
      <c r="M31" s="742">
        <v>27</v>
      </c>
      <c r="N31" s="746">
        <v>9</v>
      </c>
      <c r="O31" s="742" t="s">
        <v>2638</v>
      </c>
      <c r="P31" s="757" t="s">
        <v>2689</v>
      </c>
      <c r="Q31" s="747">
        <f t="shared" si="0"/>
        <v>0</v>
      </c>
      <c r="R31" s="803">
        <f t="shared" si="0"/>
        <v>0</v>
      </c>
      <c r="S31" s="747">
        <f t="shared" si="1"/>
        <v>-1</v>
      </c>
      <c r="T31" s="803">
        <f t="shared" si="2"/>
        <v>-0.94</v>
      </c>
      <c r="U31" s="810" t="s">
        <v>480</v>
      </c>
      <c r="V31" s="754" t="s">
        <v>480</v>
      </c>
      <c r="W31" s="754" t="s">
        <v>480</v>
      </c>
      <c r="X31" s="808" t="s">
        <v>480</v>
      </c>
      <c r="Y31" s="806"/>
    </row>
    <row r="32" spans="1:25" ht="14.4" customHeight="1" x14ac:dyDescent="0.3">
      <c r="A32" s="772" t="s">
        <v>2690</v>
      </c>
      <c r="B32" s="754"/>
      <c r="C32" s="755"/>
      <c r="D32" s="756"/>
      <c r="E32" s="758"/>
      <c r="F32" s="743"/>
      <c r="G32" s="744"/>
      <c r="H32" s="739">
        <v>2</v>
      </c>
      <c r="I32" s="740">
        <v>0.92</v>
      </c>
      <c r="J32" s="741">
        <v>3</v>
      </c>
      <c r="K32" s="745">
        <v>0.46</v>
      </c>
      <c r="L32" s="742">
        <v>2</v>
      </c>
      <c r="M32" s="742">
        <v>18</v>
      </c>
      <c r="N32" s="746">
        <v>6</v>
      </c>
      <c r="O32" s="742" t="s">
        <v>2638</v>
      </c>
      <c r="P32" s="757" t="s">
        <v>2691</v>
      </c>
      <c r="Q32" s="747">
        <f t="shared" si="0"/>
        <v>2</v>
      </c>
      <c r="R32" s="803">
        <f t="shared" si="0"/>
        <v>0.92</v>
      </c>
      <c r="S32" s="747">
        <f t="shared" si="1"/>
        <v>2</v>
      </c>
      <c r="T32" s="803">
        <f t="shared" si="2"/>
        <v>0.92</v>
      </c>
      <c r="U32" s="810">
        <v>12</v>
      </c>
      <c r="V32" s="754">
        <v>6</v>
      </c>
      <c r="W32" s="754">
        <v>-6</v>
      </c>
      <c r="X32" s="808">
        <v>0.5</v>
      </c>
      <c r="Y32" s="806"/>
    </row>
    <row r="33" spans="1:25" ht="14.4" customHeight="1" x14ac:dyDescent="0.3">
      <c r="A33" s="773" t="s">
        <v>2692</v>
      </c>
      <c r="B33" s="472"/>
      <c r="C33" s="760"/>
      <c r="D33" s="759"/>
      <c r="E33" s="761"/>
      <c r="F33" s="762"/>
      <c r="G33" s="748"/>
      <c r="H33" s="763">
        <v>1</v>
      </c>
      <c r="I33" s="764">
        <v>0.65</v>
      </c>
      <c r="J33" s="749">
        <v>3</v>
      </c>
      <c r="K33" s="765">
        <v>0.65</v>
      </c>
      <c r="L33" s="766">
        <v>3</v>
      </c>
      <c r="M33" s="766">
        <v>24</v>
      </c>
      <c r="N33" s="767">
        <v>8</v>
      </c>
      <c r="O33" s="766" t="s">
        <v>2638</v>
      </c>
      <c r="P33" s="768" t="s">
        <v>2691</v>
      </c>
      <c r="Q33" s="769">
        <f t="shared" si="0"/>
        <v>1</v>
      </c>
      <c r="R33" s="804">
        <f t="shared" si="0"/>
        <v>0.65</v>
      </c>
      <c r="S33" s="769">
        <f t="shared" si="1"/>
        <v>1</v>
      </c>
      <c r="T33" s="804">
        <f t="shared" si="2"/>
        <v>0.65</v>
      </c>
      <c r="U33" s="811">
        <v>8</v>
      </c>
      <c r="V33" s="472">
        <v>3</v>
      </c>
      <c r="W33" s="472">
        <v>-5</v>
      </c>
      <c r="X33" s="809">
        <v>0.375</v>
      </c>
      <c r="Y33" s="807"/>
    </row>
    <row r="34" spans="1:25" ht="14.4" customHeight="1" x14ac:dyDescent="0.3">
      <c r="A34" s="773" t="s">
        <v>2693</v>
      </c>
      <c r="B34" s="472"/>
      <c r="C34" s="760"/>
      <c r="D34" s="759"/>
      <c r="E34" s="761">
        <v>1</v>
      </c>
      <c r="F34" s="762">
        <v>1.1599999999999999</v>
      </c>
      <c r="G34" s="748">
        <v>6</v>
      </c>
      <c r="H34" s="763"/>
      <c r="I34" s="764"/>
      <c r="J34" s="749"/>
      <c r="K34" s="765">
        <v>1</v>
      </c>
      <c r="L34" s="766">
        <v>3</v>
      </c>
      <c r="M34" s="766">
        <v>30</v>
      </c>
      <c r="N34" s="767">
        <v>10</v>
      </c>
      <c r="O34" s="766" t="s">
        <v>2638</v>
      </c>
      <c r="P34" s="768" t="s">
        <v>2691</v>
      </c>
      <c r="Q34" s="769">
        <f t="shared" si="0"/>
        <v>0</v>
      </c>
      <c r="R34" s="804">
        <f t="shared" si="0"/>
        <v>0</v>
      </c>
      <c r="S34" s="769">
        <f t="shared" si="1"/>
        <v>-1</v>
      </c>
      <c r="T34" s="804">
        <f t="shared" si="2"/>
        <v>-1.1599999999999999</v>
      </c>
      <c r="U34" s="811" t="s">
        <v>480</v>
      </c>
      <c r="V34" s="472" t="s">
        <v>480</v>
      </c>
      <c r="W34" s="472" t="s">
        <v>480</v>
      </c>
      <c r="X34" s="809" t="s">
        <v>480</v>
      </c>
      <c r="Y34" s="807"/>
    </row>
    <row r="35" spans="1:25" ht="14.4" customHeight="1" x14ac:dyDescent="0.3">
      <c r="A35" s="772" t="s">
        <v>2694</v>
      </c>
      <c r="B35" s="754"/>
      <c r="C35" s="755"/>
      <c r="D35" s="756"/>
      <c r="E35" s="758"/>
      <c r="F35" s="743"/>
      <c r="G35" s="744"/>
      <c r="H35" s="739">
        <v>2</v>
      </c>
      <c r="I35" s="740">
        <v>0.69</v>
      </c>
      <c r="J35" s="741">
        <v>2</v>
      </c>
      <c r="K35" s="745">
        <v>0.34</v>
      </c>
      <c r="L35" s="742">
        <v>1</v>
      </c>
      <c r="M35" s="742">
        <v>12</v>
      </c>
      <c r="N35" s="746">
        <v>4</v>
      </c>
      <c r="O35" s="742" t="s">
        <v>2638</v>
      </c>
      <c r="P35" s="757" t="s">
        <v>2695</v>
      </c>
      <c r="Q35" s="747">
        <f t="shared" si="0"/>
        <v>2</v>
      </c>
      <c r="R35" s="803">
        <f t="shared" si="0"/>
        <v>0.69</v>
      </c>
      <c r="S35" s="747">
        <f t="shared" si="1"/>
        <v>2</v>
      </c>
      <c r="T35" s="803">
        <f t="shared" si="2"/>
        <v>0.69</v>
      </c>
      <c r="U35" s="810">
        <v>8</v>
      </c>
      <c r="V35" s="754">
        <v>4</v>
      </c>
      <c r="W35" s="754">
        <v>-4</v>
      </c>
      <c r="X35" s="808">
        <v>0.5</v>
      </c>
      <c r="Y35" s="806"/>
    </row>
    <row r="36" spans="1:25" ht="14.4" customHeight="1" x14ac:dyDescent="0.3">
      <c r="A36" s="772" t="s">
        <v>2696</v>
      </c>
      <c r="B36" s="754"/>
      <c r="C36" s="755"/>
      <c r="D36" s="756"/>
      <c r="E36" s="739">
        <v>1</v>
      </c>
      <c r="F36" s="740">
        <v>3.04</v>
      </c>
      <c r="G36" s="741">
        <v>7</v>
      </c>
      <c r="H36" s="742"/>
      <c r="I36" s="743"/>
      <c r="J36" s="744"/>
      <c r="K36" s="745">
        <v>2.17</v>
      </c>
      <c r="L36" s="742">
        <v>4</v>
      </c>
      <c r="M36" s="742">
        <v>39</v>
      </c>
      <c r="N36" s="746">
        <v>13</v>
      </c>
      <c r="O36" s="742" t="s">
        <v>2638</v>
      </c>
      <c r="P36" s="757" t="s">
        <v>2697</v>
      </c>
      <c r="Q36" s="747">
        <f t="shared" si="0"/>
        <v>0</v>
      </c>
      <c r="R36" s="803">
        <f t="shared" si="0"/>
        <v>0</v>
      </c>
      <c r="S36" s="747">
        <f t="shared" si="1"/>
        <v>-1</v>
      </c>
      <c r="T36" s="803">
        <f t="shared" si="2"/>
        <v>-3.04</v>
      </c>
      <c r="U36" s="810" t="s">
        <v>480</v>
      </c>
      <c r="V36" s="754" t="s">
        <v>480</v>
      </c>
      <c r="W36" s="754" t="s">
        <v>480</v>
      </c>
      <c r="X36" s="808" t="s">
        <v>480</v>
      </c>
      <c r="Y36" s="806"/>
    </row>
    <row r="37" spans="1:25" ht="14.4" customHeight="1" x14ac:dyDescent="0.3">
      <c r="A37" s="772" t="s">
        <v>2698</v>
      </c>
      <c r="B37" s="754">
        <v>1</v>
      </c>
      <c r="C37" s="755">
        <v>7.55</v>
      </c>
      <c r="D37" s="756">
        <v>10</v>
      </c>
      <c r="E37" s="758"/>
      <c r="F37" s="743"/>
      <c r="G37" s="744"/>
      <c r="H37" s="739">
        <v>1</v>
      </c>
      <c r="I37" s="740">
        <v>9.81</v>
      </c>
      <c r="J37" s="741">
        <v>22</v>
      </c>
      <c r="K37" s="745">
        <v>5.89</v>
      </c>
      <c r="L37" s="742">
        <v>7</v>
      </c>
      <c r="M37" s="742">
        <v>66</v>
      </c>
      <c r="N37" s="746">
        <v>22</v>
      </c>
      <c r="O37" s="742" t="s">
        <v>2638</v>
      </c>
      <c r="P37" s="757" t="s">
        <v>2699</v>
      </c>
      <c r="Q37" s="747">
        <f t="shared" si="0"/>
        <v>0</v>
      </c>
      <c r="R37" s="803">
        <f t="shared" si="0"/>
        <v>2.2600000000000007</v>
      </c>
      <c r="S37" s="747">
        <f t="shared" si="1"/>
        <v>1</v>
      </c>
      <c r="T37" s="803">
        <f t="shared" si="2"/>
        <v>9.81</v>
      </c>
      <c r="U37" s="810">
        <v>22</v>
      </c>
      <c r="V37" s="754">
        <v>22</v>
      </c>
      <c r="W37" s="754">
        <v>0</v>
      </c>
      <c r="X37" s="808">
        <v>1</v>
      </c>
      <c r="Y37" s="806"/>
    </row>
    <row r="38" spans="1:25" ht="14.4" customHeight="1" x14ac:dyDescent="0.3">
      <c r="A38" s="772" t="s">
        <v>2700</v>
      </c>
      <c r="B38" s="750">
        <v>1</v>
      </c>
      <c r="C38" s="751">
        <v>0.93</v>
      </c>
      <c r="D38" s="752">
        <v>4</v>
      </c>
      <c r="E38" s="758"/>
      <c r="F38" s="743"/>
      <c r="G38" s="744"/>
      <c r="H38" s="742"/>
      <c r="I38" s="743"/>
      <c r="J38" s="744"/>
      <c r="K38" s="745">
        <v>0.93</v>
      </c>
      <c r="L38" s="742">
        <v>3</v>
      </c>
      <c r="M38" s="742">
        <v>27</v>
      </c>
      <c r="N38" s="746">
        <v>9</v>
      </c>
      <c r="O38" s="742" t="s">
        <v>2638</v>
      </c>
      <c r="P38" s="757" t="s">
        <v>2701</v>
      </c>
      <c r="Q38" s="747">
        <f t="shared" si="0"/>
        <v>-1</v>
      </c>
      <c r="R38" s="803">
        <f t="shared" si="0"/>
        <v>-0.93</v>
      </c>
      <c r="S38" s="747">
        <f t="shared" si="1"/>
        <v>0</v>
      </c>
      <c r="T38" s="803">
        <f t="shared" si="2"/>
        <v>0</v>
      </c>
      <c r="U38" s="810" t="s">
        <v>480</v>
      </c>
      <c r="V38" s="754" t="s">
        <v>480</v>
      </c>
      <c r="W38" s="754" t="s">
        <v>480</v>
      </c>
      <c r="X38" s="808" t="s">
        <v>480</v>
      </c>
      <c r="Y38" s="806"/>
    </row>
    <row r="39" spans="1:25" ht="14.4" customHeight="1" x14ac:dyDescent="0.3">
      <c r="A39" s="773" t="s">
        <v>2702</v>
      </c>
      <c r="B39" s="770">
        <v>1</v>
      </c>
      <c r="C39" s="771">
        <v>0.85</v>
      </c>
      <c r="D39" s="753">
        <v>3</v>
      </c>
      <c r="E39" s="761"/>
      <c r="F39" s="762"/>
      <c r="G39" s="748"/>
      <c r="H39" s="766"/>
      <c r="I39" s="762"/>
      <c r="J39" s="748"/>
      <c r="K39" s="765">
        <v>1.1100000000000001</v>
      </c>
      <c r="L39" s="766">
        <v>4</v>
      </c>
      <c r="M39" s="766">
        <v>33</v>
      </c>
      <c r="N39" s="767">
        <v>11</v>
      </c>
      <c r="O39" s="766" t="s">
        <v>2638</v>
      </c>
      <c r="P39" s="768" t="s">
        <v>2703</v>
      </c>
      <c r="Q39" s="769">
        <f t="shared" si="0"/>
        <v>-1</v>
      </c>
      <c r="R39" s="804">
        <f t="shared" si="0"/>
        <v>-0.85</v>
      </c>
      <c r="S39" s="769">
        <f t="shared" si="1"/>
        <v>0</v>
      </c>
      <c r="T39" s="804">
        <f t="shared" si="2"/>
        <v>0</v>
      </c>
      <c r="U39" s="811" t="s">
        <v>480</v>
      </c>
      <c r="V39" s="472" t="s">
        <v>480</v>
      </c>
      <c r="W39" s="472" t="s">
        <v>480</v>
      </c>
      <c r="X39" s="809" t="s">
        <v>480</v>
      </c>
      <c r="Y39" s="807"/>
    </row>
    <row r="40" spans="1:25" ht="14.4" customHeight="1" x14ac:dyDescent="0.3">
      <c r="A40" s="772" t="s">
        <v>2704</v>
      </c>
      <c r="B40" s="750">
        <v>1</v>
      </c>
      <c r="C40" s="751">
        <v>0.64</v>
      </c>
      <c r="D40" s="752">
        <v>3</v>
      </c>
      <c r="E40" s="758"/>
      <c r="F40" s="743"/>
      <c r="G40" s="744"/>
      <c r="H40" s="742"/>
      <c r="I40" s="743"/>
      <c r="J40" s="744"/>
      <c r="K40" s="745">
        <v>0.64</v>
      </c>
      <c r="L40" s="742">
        <v>1</v>
      </c>
      <c r="M40" s="742">
        <v>12</v>
      </c>
      <c r="N40" s="746">
        <v>4</v>
      </c>
      <c r="O40" s="742" t="s">
        <v>2638</v>
      </c>
      <c r="P40" s="757" t="s">
        <v>2705</v>
      </c>
      <c r="Q40" s="747">
        <f t="shared" si="0"/>
        <v>-1</v>
      </c>
      <c r="R40" s="803">
        <f t="shared" si="0"/>
        <v>-0.64</v>
      </c>
      <c r="S40" s="747">
        <f t="shared" si="1"/>
        <v>0</v>
      </c>
      <c r="T40" s="803">
        <f t="shared" si="2"/>
        <v>0</v>
      </c>
      <c r="U40" s="810" t="s">
        <v>480</v>
      </c>
      <c r="V40" s="754" t="s">
        <v>480</v>
      </c>
      <c r="W40" s="754" t="s">
        <v>480</v>
      </c>
      <c r="X40" s="808" t="s">
        <v>480</v>
      </c>
      <c r="Y40" s="806"/>
    </row>
    <row r="41" spans="1:25" ht="14.4" customHeight="1" x14ac:dyDescent="0.3">
      <c r="A41" s="772" t="s">
        <v>2706</v>
      </c>
      <c r="B41" s="754"/>
      <c r="C41" s="755"/>
      <c r="D41" s="756"/>
      <c r="E41" s="739">
        <v>1</v>
      </c>
      <c r="F41" s="740">
        <v>0.7</v>
      </c>
      <c r="G41" s="741">
        <v>3</v>
      </c>
      <c r="H41" s="742"/>
      <c r="I41" s="743"/>
      <c r="J41" s="744"/>
      <c r="K41" s="745">
        <v>0.7</v>
      </c>
      <c r="L41" s="742">
        <v>2</v>
      </c>
      <c r="M41" s="742">
        <v>15</v>
      </c>
      <c r="N41" s="746">
        <v>5</v>
      </c>
      <c r="O41" s="742" t="s">
        <v>2638</v>
      </c>
      <c r="P41" s="757" t="s">
        <v>2707</v>
      </c>
      <c r="Q41" s="747">
        <f t="shared" si="0"/>
        <v>0</v>
      </c>
      <c r="R41" s="803">
        <f t="shared" si="0"/>
        <v>0</v>
      </c>
      <c r="S41" s="747">
        <f t="shared" si="1"/>
        <v>-1</v>
      </c>
      <c r="T41" s="803">
        <f t="shared" si="2"/>
        <v>-0.7</v>
      </c>
      <c r="U41" s="810" t="s">
        <v>480</v>
      </c>
      <c r="V41" s="754" t="s">
        <v>480</v>
      </c>
      <c r="W41" s="754" t="s">
        <v>480</v>
      </c>
      <c r="X41" s="808" t="s">
        <v>480</v>
      </c>
      <c r="Y41" s="806"/>
    </row>
    <row r="42" spans="1:25" ht="14.4" customHeight="1" x14ac:dyDescent="0.3">
      <c r="A42" s="772" t="s">
        <v>2708</v>
      </c>
      <c r="B42" s="750">
        <v>1</v>
      </c>
      <c r="C42" s="751">
        <v>1.67</v>
      </c>
      <c r="D42" s="752">
        <v>3</v>
      </c>
      <c r="E42" s="758"/>
      <c r="F42" s="743"/>
      <c r="G42" s="744"/>
      <c r="H42" s="742"/>
      <c r="I42" s="743"/>
      <c r="J42" s="744"/>
      <c r="K42" s="745">
        <v>2.17</v>
      </c>
      <c r="L42" s="742">
        <v>4</v>
      </c>
      <c r="M42" s="742">
        <v>39</v>
      </c>
      <c r="N42" s="746">
        <v>13</v>
      </c>
      <c r="O42" s="742" t="s">
        <v>2638</v>
      </c>
      <c r="P42" s="757" t="s">
        <v>2709</v>
      </c>
      <c r="Q42" s="747">
        <f t="shared" si="0"/>
        <v>-1</v>
      </c>
      <c r="R42" s="803">
        <f t="shared" si="0"/>
        <v>-1.67</v>
      </c>
      <c r="S42" s="747">
        <f t="shared" si="1"/>
        <v>0</v>
      </c>
      <c r="T42" s="803">
        <f t="shared" si="2"/>
        <v>0</v>
      </c>
      <c r="U42" s="810" t="s">
        <v>480</v>
      </c>
      <c r="V42" s="754" t="s">
        <v>480</v>
      </c>
      <c r="W42" s="754" t="s">
        <v>480</v>
      </c>
      <c r="X42" s="808" t="s">
        <v>480</v>
      </c>
      <c r="Y42" s="806"/>
    </row>
    <row r="43" spans="1:25" ht="14.4" customHeight="1" x14ac:dyDescent="0.3">
      <c r="A43" s="772" t="s">
        <v>2710</v>
      </c>
      <c r="B43" s="754"/>
      <c r="C43" s="755"/>
      <c r="D43" s="756"/>
      <c r="E43" s="739">
        <v>1</v>
      </c>
      <c r="F43" s="740">
        <v>0.32</v>
      </c>
      <c r="G43" s="741">
        <v>1</v>
      </c>
      <c r="H43" s="742"/>
      <c r="I43" s="743"/>
      <c r="J43" s="744"/>
      <c r="K43" s="745">
        <v>0.85</v>
      </c>
      <c r="L43" s="742">
        <v>3</v>
      </c>
      <c r="M43" s="742">
        <v>24</v>
      </c>
      <c r="N43" s="746">
        <v>8</v>
      </c>
      <c r="O43" s="742" t="s">
        <v>2638</v>
      </c>
      <c r="P43" s="757" t="s">
        <v>2711</v>
      </c>
      <c r="Q43" s="747">
        <f t="shared" si="0"/>
        <v>0</v>
      </c>
      <c r="R43" s="803">
        <f t="shared" si="0"/>
        <v>0</v>
      </c>
      <c r="S43" s="747">
        <f t="shared" si="1"/>
        <v>-1</v>
      </c>
      <c r="T43" s="803">
        <f t="shared" si="2"/>
        <v>-0.32</v>
      </c>
      <c r="U43" s="810" t="s">
        <v>480</v>
      </c>
      <c r="V43" s="754" t="s">
        <v>480</v>
      </c>
      <c r="W43" s="754" t="s">
        <v>480</v>
      </c>
      <c r="X43" s="808" t="s">
        <v>480</v>
      </c>
      <c r="Y43" s="806"/>
    </row>
    <row r="44" spans="1:25" ht="14.4" customHeight="1" x14ac:dyDescent="0.3">
      <c r="A44" s="772" t="s">
        <v>2712</v>
      </c>
      <c r="B44" s="754"/>
      <c r="C44" s="755"/>
      <c r="D44" s="756"/>
      <c r="E44" s="739">
        <v>1</v>
      </c>
      <c r="F44" s="740">
        <v>3.18</v>
      </c>
      <c r="G44" s="741">
        <v>3</v>
      </c>
      <c r="H44" s="742"/>
      <c r="I44" s="743"/>
      <c r="J44" s="744"/>
      <c r="K44" s="745">
        <v>3.18</v>
      </c>
      <c r="L44" s="742">
        <v>1</v>
      </c>
      <c r="M44" s="742">
        <v>5</v>
      </c>
      <c r="N44" s="746">
        <v>2</v>
      </c>
      <c r="O44" s="742" t="s">
        <v>2638</v>
      </c>
      <c r="P44" s="757" t="s">
        <v>2713</v>
      </c>
      <c r="Q44" s="747">
        <f t="shared" si="0"/>
        <v>0</v>
      </c>
      <c r="R44" s="803">
        <f t="shared" si="0"/>
        <v>0</v>
      </c>
      <c r="S44" s="747">
        <f t="shared" si="1"/>
        <v>-1</v>
      </c>
      <c r="T44" s="803">
        <f t="shared" si="2"/>
        <v>-3.18</v>
      </c>
      <c r="U44" s="810" t="s">
        <v>480</v>
      </c>
      <c r="V44" s="754" t="s">
        <v>480</v>
      </c>
      <c r="W44" s="754" t="s">
        <v>480</v>
      </c>
      <c r="X44" s="808" t="s">
        <v>480</v>
      </c>
      <c r="Y44" s="806"/>
    </row>
    <row r="45" spans="1:25" ht="14.4" customHeight="1" x14ac:dyDescent="0.3">
      <c r="A45" s="772" t="s">
        <v>2714</v>
      </c>
      <c r="B45" s="754"/>
      <c r="C45" s="755"/>
      <c r="D45" s="756"/>
      <c r="E45" s="758"/>
      <c r="F45" s="743"/>
      <c r="G45" s="744"/>
      <c r="H45" s="739">
        <v>1</v>
      </c>
      <c r="I45" s="740">
        <v>2.2599999999999998</v>
      </c>
      <c r="J45" s="741">
        <v>4</v>
      </c>
      <c r="K45" s="745">
        <v>2.2599999999999998</v>
      </c>
      <c r="L45" s="742">
        <v>4</v>
      </c>
      <c r="M45" s="742">
        <v>39</v>
      </c>
      <c r="N45" s="746">
        <v>13</v>
      </c>
      <c r="O45" s="742" t="s">
        <v>2638</v>
      </c>
      <c r="P45" s="757" t="s">
        <v>2715</v>
      </c>
      <c r="Q45" s="747">
        <f t="shared" si="0"/>
        <v>1</v>
      </c>
      <c r="R45" s="803">
        <f t="shared" si="0"/>
        <v>2.2599999999999998</v>
      </c>
      <c r="S45" s="747">
        <f t="shared" si="1"/>
        <v>1</v>
      </c>
      <c r="T45" s="803">
        <f t="shared" si="2"/>
        <v>2.2599999999999998</v>
      </c>
      <c r="U45" s="810">
        <v>13</v>
      </c>
      <c r="V45" s="754">
        <v>4</v>
      </c>
      <c r="W45" s="754">
        <v>-9</v>
      </c>
      <c r="X45" s="808">
        <v>0.30769230769230771</v>
      </c>
      <c r="Y45" s="806"/>
    </row>
    <row r="46" spans="1:25" ht="14.4" customHeight="1" thickBot="1" x14ac:dyDescent="0.35">
      <c r="A46" s="787" t="s">
        <v>2716</v>
      </c>
      <c r="B46" s="788"/>
      <c r="C46" s="789"/>
      <c r="D46" s="790"/>
      <c r="E46" s="791"/>
      <c r="F46" s="792"/>
      <c r="G46" s="793"/>
      <c r="H46" s="794">
        <v>1</v>
      </c>
      <c r="I46" s="795">
        <v>4.42</v>
      </c>
      <c r="J46" s="796">
        <v>22</v>
      </c>
      <c r="K46" s="797">
        <v>4.42</v>
      </c>
      <c r="L46" s="798">
        <v>6</v>
      </c>
      <c r="M46" s="798">
        <v>57</v>
      </c>
      <c r="N46" s="799">
        <v>19</v>
      </c>
      <c r="O46" s="798" t="s">
        <v>2638</v>
      </c>
      <c r="P46" s="800" t="s">
        <v>2717</v>
      </c>
      <c r="Q46" s="801">
        <f t="shared" si="0"/>
        <v>1</v>
      </c>
      <c r="R46" s="805">
        <f t="shared" si="0"/>
        <v>4.42</v>
      </c>
      <c r="S46" s="801">
        <f t="shared" si="1"/>
        <v>1</v>
      </c>
      <c r="T46" s="805">
        <f t="shared" si="2"/>
        <v>4.42</v>
      </c>
      <c r="U46" s="815">
        <v>19</v>
      </c>
      <c r="V46" s="788">
        <v>22</v>
      </c>
      <c r="W46" s="788">
        <v>3</v>
      </c>
      <c r="X46" s="816">
        <v>1.1578947368421053</v>
      </c>
      <c r="Y46" s="817">
        <v>3</v>
      </c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47:Q1048576">
    <cfRule type="cellIs" dxfId="13" priority="10" stopIfTrue="1" operator="lessThan">
      <formula>0</formula>
    </cfRule>
  </conditionalFormatting>
  <conditionalFormatting sqref="W47:W1048576">
    <cfRule type="cellIs" dxfId="12" priority="9" stopIfTrue="1" operator="greaterThan">
      <formula>0</formula>
    </cfRule>
  </conditionalFormatting>
  <conditionalFormatting sqref="X47:X1048576">
    <cfRule type="cellIs" dxfId="11" priority="8" stopIfTrue="1" operator="greaterThan">
      <formula>1</formula>
    </cfRule>
  </conditionalFormatting>
  <conditionalFormatting sqref="X47:X1048576">
    <cfRule type="cellIs" dxfId="10" priority="5" stopIfTrue="1" operator="greaterThan">
      <formula>1</formula>
    </cfRule>
  </conditionalFormatting>
  <conditionalFormatting sqref="W47:W1048576">
    <cfRule type="cellIs" dxfId="9" priority="6" stopIfTrue="1" operator="greaterThan">
      <formula>0</formula>
    </cfRule>
  </conditionalFormatting>
  <conditionalFormatting sqref="Q47:Q1048576">
    <cfRule type="cellIs" dxfId="8" priority="7" stopIfTrue="1" operator="lessThan">
      <formula>0</formula>
    </cfRule>
  </conditionalFormatting>
  <conditionalFormatting sqref="Q5:Q46">
    <cfRule type="cellIs" dxfId="7" priority="4" stopIfTrue="1" operator="lessThan">
      <formula>0</formula>
    </cfRule>
  </conditionalFormatting>
  <conditionalFormatting sqref="X5:X46">
    <cfRule type="cellIs" dxfId="6" priority="2" stopIfTrue="1" operator="greaterThan">
      <formula>1</formula>
    </cfRule>
  </conditionalFormatting>
  <conditionalFormatting sqref="W5:W46">
    <cfRule type="cellIs" dxfId="5" priority="3" stopIfTrue="1" operator="greaterThan">
      <formula>0</formula>
    </cfRule>
  </conditionalFormatting>
  <conditionalFormatting sqref="S5:S46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31" customWidth="1" collapsed="1"/>
    <col min="2" max="2" width="7.77734375" style="199" hidden="1" customWidth="1" outlineLevel="1"/>
    <col min="3" max="3" width="7.21875" style="231" hidden="1" customWidth="1"/>
    <col min="4" max="4" width="7.77734375" style="199" customWidth="1"/>
    <col min="5" max="5" width="7.2187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7.21875" style="231" hidden="1" customWidth="1"/>
    <col min="10" max="10" width="7.77734375" style="199" customWidth="1"/>
    <col min="11" max="11" width="7.21875" style="231" hidden="1" customWidth="1"/>
    <col min="12" max="12" width="7.77734375" style="199" customWidth="1"/>
    <col min="13" max="13" width="7.77734375" style="313" customWidth="1"/>
    <col min="14" max="16384" width="8.88671875" style="231"/>
  </cols>
  <sheetData>
    <row r="1" spans="1:13" ht="18.600000000000001" customHeight="1" thickBot="1" x14ac:dyDescent="0.4">
      <c r="A1" s="506" t="s">
        <v>141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</row>
    <row r="2" spans="1:13" ht="14.4" customHeight="1" thickBot="1" x14ac:dyDescent="0.35">
      <c r="A2" s="351" t="s">
        <v>288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</row>
    <row r="3" spans="1:13" ht="14.4" customHeight="1" thickBot="1" x14ac:dyDescent="0.35">
      <c r="A3" s="319" t="s">
        <v>142</v>
      </c>
      <c r="B3" s="320">
        <f>SUBTOTAL(9,B6:B1048576)</f>
        <v>1738881</v>
      </c>
      <c r="C3" s="321">
        <f t="shared" ref="C3:L3" si="0">SUBTOTAL(9,C6:C1048576)</f>
        <v>6.9285003193320085</v>
      </c>
      <c r="D3" s="321">
        <f t="shared" si="0"/>
        <v>2350997</v>
      </c>
      <c r="E3" s="321">
        <f t="shared" si="0"/>
        <v>10</v>
      </c>
      <c r="F3" s="321">
        <f t="shared" si="0"/>
        <v>2543039</v>
      </c>
      <c r="G3" s="324">
        <f>IF(D3&lt;&gt;0,F3/D3,"")</f>
        <v>1.0816853445580747</v>
      </c>
      <c r="H3" s="320">
        <f t="shared" si="0"/>
        <v>189453.58</v>
      </c>
      <c r="I3" s="321">
        <f t="shared" si="0"/>
        <v>0.32745347245444112</v>
      </c>
      <c r="J3" s="321">
        <f t="shared" si="0"/>
        <v>578566.41000000027</v>
      </c>
      <c r="K3" s="321">
        <f t="shared" si="0"/>
        <v>1</v>
      </c>
      <c r="L3" s="321">
        <f t="shared" si="0"/>
        <v>197405.47999999995</v>
      </c>
      <c r="M3" s="322">
        <f>IF(J3&lt;&gt;0,L3/J3,"")</f>
        <v>0.34119761636352147</v>
      </c>
    </row>
    <row r="4" spans="1:13" ht="14.4" customHeight="1" x14ac:dyDescent="0.3">
      <c r="A4" s="616" t="s">
        <v>105</v>
      </c>
      <c r="B4" s="555" t="s">
        <v>110</v>
      </c>
      <c r="C4" s="556"/>
      <c r="D4" s="556"/>
      <c r="E4" s="556"/>
      <c r="F4" s="556"/>
      <c r="G4" s="558"/>
      <c r="H4" s="555" t="s">
        <v>111</v>
      </c>
      <c r="I4" s="556"/>
      <c r="J4" s="556"/>
      <c r="K4" s="556"/>
      <c r="L4" s="556"/>
      <c r="M4" s="558"/>
    </row>
    <row r="5" spans="1:13" s="311" customFormat="1" ht="14.4" customHeight="1" thickBot="1" x14ac:dyDescent="0.35">
      <c r="A5" s="818"/>
      <c r="B5" s="819">
        <v>2015</v>
      </c>
      <c r="C5" s="820"/>
      <c r="D5" s="820">
        <v>2016</v>
      </c>
      <c r="E5" s="820"/>
      <c r="F5" s="820">
        <v>2017</v>
      </c>
      <c r="G5" s="726" t="s">
        <v>2</v>
      </c>
      <c r="H5" s="819">
        <v>2015</v>
      </c>
      <c r="I5" s="820"/>
      <c r="J5" s="820">
        <v>2016</v>
      </c>
      <c r="K5" s="820"/>
      <c r="L5" s="820">
        <v>2017</v>
      </c>
      <c r="M5" s="726" t="s">
        <v>2</v>
      </c>
    </row>
    <row r="6" spans="1:13" ht="14.4" customHeight="1" x14ac:dyDescent="0.3">
      <c r="A6" s="701" t="s">
        <v>2719</v>
      </c>
      <c r="B6" s="727"/>
      <c r="C6" s="667"/>
      <c r="D6" s="727">
        <v>6998</v>
      </c>
      <c r="E6" s="667">
        <v>1</v>
      </c>
      <c r="F6" s="727">
        <v>486</v>
      </c>
      <c r="G6" s="689">
        <v>6.9448413832523578E-2</v>
      </c>
      <c r="H6" s="727"/>
      <c r="I6" s="667"/>
      <c r="J6" s="727"/>
      <c r="K6" s="667"/>
      <c r="L6" s="727"/>
      <c r="M6" s="713"/>
    </row>
    <row r="7" spans="1:13" ht="14.4" customHeight="1" x14ac:dyDescent="0.3">
      <c r="A7" s="702" t="s">
        <v>2720</v>
      </c>
      <c r="B7" s="821">
        <v>89856</v>
      </c>
      <c r="C7" s="673">
        <v>0.83706891733273714</v>
      </c>
      <c r="D7" s="821">
        <v>107346</v>
      </c>
      <c r="E7" s="673">
        <v>1</v>
      </c>
      <c r="F7" s="821">
        <v>154561</v>
      </c>
      <c r="G7" s="697">
        <v>1.4398393978350381</v>
      </c>
      <c r="H7" s="821"/>
      <c r="I7" s="673"/>
      <c r="J7" s="821"/>
      <c r="K7" s="673"/>
      <c r="L7" s="821"/>
      <c r="M7" s="822"/>
    </row>
    <row r="8" spans="1:13" ht="14.4" customHeight="1" x14ac:dyDescent="0.3">
      <c r="A8" s="702" t="s">
        <v>2721</v>
      </c>
      <c r="B8" s="821">
        <v>442530</v>
      </c>
      <c r="C8" s="673">
        <v>0.83656752674471579</v>
      </c>
      <c r="D8" s="821">
        <v>528983</v>
      </c>
      <c r="E8" s="673">
        <v>1</v>
      </c>
      <c r="F8" s="821">
        <v>786251</v>
      </c>
      <c r="G8" s="697">
        <v>1.4863445517152725</v>
      </c>
      <c r="H8" s="821"/>
      <c r="I8" s="673"/>
      <c r="J8" s="821"/>
      <c r="K8" s="673"/>
      <c r="L8" s="821"/>
      <c r="M8" s="822"/>
    </row>
    <row r="9" spans="1:13" ht="14.4" customHeight="1" x14ac:dyDescent="0.3">
      <c r="A9" s="702" t="s">
        <v>2722</v>
      </c>
      <c r="B9" s="821">
        <v>315832</v>
      </c>
      <c r="C9" s="673">
        <v>0.41613513139604591</v>
      </c>
      <c r="D9" s="821">
        <v>758965</v>
      </c>
      <c r="E9" s="673">
        <v>1</v>
      </c>
      <c r="F9" s="821">
        <v>472941</v>
      </c>
      <c r="G9" s="697">
        <v>0.62313940695552494</v>
      </c>
      <c r="H9" s="821">
        <v>189453.58</v>
      </c>
      <c r="I9" s="673">
        <v>0.32745347245444112</v>
      </c>
      <c r="J9" s="821">
        <v>578566.41000000027</v>
      </c>
      <c r="K9" s="673">
        <v>1</v>
      </c>
      <c r="L9" s="821">
        <v>197405.47999999995</v>
      </c>
      <c r="M9" s="822">
        <v>0.34119761636352147</v>
      </c>
    </row>
    <row r="10" spans="1:13" ht="14.4" customHeight="1" x14ac:dyDescent="0.3">
      <c r="A10" s="702" t="s">
        <v>2723</v>
      </c>
      <c r="B10" s="821">
        <v>160765</v>
      </c>
      <c r="C10" s="673">
        <v>0.89750675509702771</v>
      </c>
      <c r="D10" s="821">
        <v>179124</v>
      </c>
      <c r="E10" s="673">
        <v>1</v>
      </c>
      <c r="F10" s="821">
        <v>211933</v>
      </c>
      <c r="G10" s="697">
        <v>1.1831636184989169</v>
      </c>
      <c r="H10" s="821"/>
      <c r="I10" s="673"/>
      <c r="J10" s="821"/>
      <c r="K10" s="673"/>
      <c r="L10" s="821"/>
      <c r="M10" s="822"/>
    </row>
    <row r="11" spans="1:13" ht="14.4" customHeight="1" x14ac:dyDescent="0.3">
      <c r="A11" s="702" t="s">
        <v>2724</v>
      </c>
      <c r="B11" s="821">
        <v>517880</v>
      </c>
      <c r="C11" s="673">
        <v>0.93813402121616141</v>
      </c>
      <c r="D11" s="821">
        <v>552032</v>
      </c>
      <c r="E11" s="673">
        <v>1</v>
      </c>
      <c r="F11" s="821">
        <v>533999</v>
      </c>
      <c r="G11" s="697">
        <v>0.96733341545417662</v>
      </c>
      <c r="H11" s="821"/>
      <c r="I11" s="673"/>
      <c r="J11" s="821"/>
      <c r="K11" s="673"/>
      <c r="L11" s="821"/>
      <c r="M11" s="822"/>
    </row>
    <row r="12" spans="1:13" ht="14.4" customHeight="1" x14ac:dyDescent="0.3">
      <c r="A12" s="702" t="s">
        <v>2725</v>
      </c>
      <c r="B12" s="821">
        <v>194733</v>
      </c>
      <c r="C12" s="673">
        <v>1.051865975984573</v>
      </c>
      <c r="D12" s="821">
        <v>185131</v>
      </c>
      <c r="E12" s="673">
        <v>1</v>
      </c>
      <c r="F12" s="821">
        <v>284809</v>
      </c>
      <c r="G12" s="697">
        <v>1.5384187413237114</v>
      </c>
      <c r="H12" s="821"/>
      <c r="I12" s="673"/>
      <c r="J12" s="821"/>
      <c r="K12" s="673"/>
      <c r="L12" s="821"/>
      <c r="M12" s="822"/>
    </row>
    <row r="13" spans="1:13" ht="14.4" customHeight="1" x14ac:dyDescent="0.3">
      <c r="A13" s="702" t="s">
        <v>2726</v>
      </c>
      <c r="B13" s="821">
        <v>3120</v>
      </c>
      <c r="C13" s="673">
        <v>0.26922081283976185</v>
      </c>
      <c r="D13" s="821">
        <v>11589</v>
      </c>
      <c r="E13" s="673">
        <v>1</v>
      </c>
      <c r="F13" s="821">
        <v>6185</v>
      </c>
      <c r="G13" s="697">
        <v>0.53369574596600222</v>
      </c>
      <c r="H13" s="821"/>
      <c r="I13" s="673"/>
      <c r="J13" s="821"/>
      <c r="K13" s="673"/>
      <c r="L13" s="821"/>
      <c r="M13" s="822"/>
    </row>
    <row r="14" spans="1:13" ht="14.4" customHeight="1" x14ac:dyDescent="0.3">
      <c r="A14" s="702" t="s">
        <v>2727</v>
      </c>
      <c r="B14" s="821">
        <v>13906</v>
      </c>
      <c r="C14" s="673">
        <v>1.6612113248118505</v>
      </c>
      <c r="D14" s="821">
        <v>8371</v>
      </c>
      <c r="E14" s="673">
        <v>1</v>
      </c>
      <c r="F14" s="821">
        <v>91874</v>
      </c>
      <c r="G14" s="697">
        <v>10.975271771592402</v>
      </c>
      <c r="H14" s="821"/>
      <c r="I14" s="673"/>
      <c r="J14" s="821"/>
      <c r="K14" s="673"/>
      <c r="L14" s="821"/>
      <c r="M14" s="822"/>
    </row>
    <row r="15" spans="1:13" ht="14.4" customHeight="1" thickBot="1" x14ac:dyDescent="0.35">
      <c r="A15" s="729" t="s">
        <v>1621</v>
      </c>
      <c r="B15" s="728">
        <v>259</v>
      </c>
      <c r="C15" s="679">
        <v>2.0789853909134692E-2</v>
      </c>
      <c r="D15" s="728">
        <v>12458</v>
      </c>
      <c r="E15" s="679">
        <v>1</v>
      </c>
      <c r="F15" s="728"/>
      <c r="G15" s="690"/>
      <c r="H15" s="728"/>
      <c r="I15" s="679"/>
      <c r="J15" s="728"/>
      <c r="K15" s="679"/>
      <c r="L15" s="728"/>
      <c r="M15" s="714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29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506" t="s">
        <v>3289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</row>
    <row r="2" spans="1:17" ht="14.4" customHeight="1" thickBot="1" x14ac:dyDescent="0.35">
      <c r="A2" s="351" t="s">
        <v>288</v>
      </c>
      <c r="B2" s="204"/>
      <c r="C2" s="204"/>
      <c r="D2" s="204"/>
      <c r="E2" s="204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6"/>
      <c r="Q2" s="329"/>
    </row>
    <row r="3" spans="1:17" ht="14.4" customHeight="1" thickBot="1" x14ac:dyDescent="0.35">
      <c r="E3" s="97" t="s">
        <v>142</v>
      </c>
      <c r="F3" s="191">
        <f t="shared" ref="F3:O3" si="0">SUBTOTAL(9,F6:F1048576)</f>
        <v>13058.560000000001</v>
      </c>
      <c r="G3" s="195">
        <f t="shared" si="0"/>
        <v>1928334.5800000003</v>
      </c>
      <c r="H3" s="196"/>
      <c r="I3" s="196"/>
      <c r="J3" s="191">
        <f t="shared" si="0"/>
        <v>15457.76</v>
      </c>
      <c r="K3" s="195">
        <f t="shared" si="0"/>
        <v>2929563.41</v>
      </c>
      <c r="L3" s="196"/>
      <c r="M3" s="196"/>
      <c r="N3" s="191">
        <f t="shared" si="0"/>
        <v>20530.169999999998</v>
      </c>
      <c r="O3" s="195">
        <f t="shared" si="0"/>
        <v>2740444.4799999995</v>
      </c>
      <c r="P3" s="162">
        <f>IF(K3=0,"",O3/K3)</f>
        <v>0.93544467091770489</v>
      </c>
      <c r="Q3" s="193">
        <f>IF(N3=0,"",O3/N3)</f>
        <v>133.48376949630713</v>
      </c>
    </row>
    <row r="4" spans="1:17" ht="14.4" customHeight="1" x14ac:dyDescent="0.3">
      <c r="A4" s="561" t="s">
        <v>61</v>
      </c>
      <c r="B4" s="559" t="s">
        <v>106</v>
      </c>
      <c r="C4" s="561" t="s">
        <v>107</v>
      </c>
      <c r="D4" s="565" t="s">
        <v>77</v>
      </c>
      <c r="E4" s="562" t="s">
        <v>11</v>
      </c>
      <c r="F4" s="563">
        <v>2015</v>
      </c>
      <c r="G4" s="564"/>
      <c r="H4" s="194"/>
      <c r="I4" s="194"/>
      <c r="J4" s="563">
        <v>2016</v>
      </c>
      <c r="K4" s="564"/>
      <c r="L4" s="194"/>
      <c r="M4" s="194"/>
      <c r="N4" s="563">
        <v>2017</v>
      </c>
      <c r="O4" s="564"/>
      <c r="P4" s="566" t="s">
        <v>2</v>
      </c>
      <c r="Q4" s="560" t="s">
        <v>109</v>
      </c>
    </row>
    <row r="5" spans="1:17" ht="14.4" customHeight="1" thickBot="1" x14ac:dyDescent="0.35">
      <c r="A5" s="730"/>
      <c r="B5" s="731"/>
      <c r="C5" s="730"/>
      <c r="D5" s="732"/>
      <c r="E5" s="733"/>
      <c r="F5" s="734" t="s">
        <v>78</v>
      </c>
      <c r="G5" s="735" t="s">
        <v>14</v>
      </c>
      <c r="H5" s="736"/>
      <c r="I5" s="736"/>
      <c r="J5" s="734" t="s">
        <v>78</v>
      </c>
      <c r="K5" s="735" t="s">
        <v>14</v>
      </c>
      <c r="L5" s="736"/>
      <c r="M5" s="736"/>
      <c r="N5" s="734" t="s">
        <v>78</v>
      </c>
      <c r="O5" s="735" t="s">
        <v>14</v>
      </c>
      <c r="P5" s="737"/>
      <c r="Q5" s="738"/>
    </row>
    <row r="6" spans="1:17" ht="14.4" customHeight="1" x14ac:dyDescent="0.3">
      <c r="A6" s="666" t="s">
        <v>2728</v>
      </c>
      <c r="B6" s="667" t="s">
        <v>2627</v>
      </c>
      <c r="C6" s="667" t="s">
        <v>2102</v>
      </c>
      <c r="D6" s="667" t="s">
        <v>2729</v>
      </c>
      <c r="E6" s="667" t="s">
        <v>2730</v>
      </c>
      <c r="F6" s="670"/>
      <c r="G6" s="670"/>
      <c r="H6" s="670"/>
      <c r="I6" s="670"/>
      <c r="J6" s="670">
        <v>1</v>
      </c>
      <c r="K6" s="670">
        <v>1136</v>
      </c>
      <c r="L6" s="670">
        <v>1</v>
      </c>
      <c r="M6" s="670">
        <v>1136</v>
      </c>
      <c r="N6" s="670"/>
      <c r="O6" s="670"/>
      <c r="P6" s="689"/>
      <c r="Q6" s="671"/>
    </row>
    <row r="7" spans="1:17" ht="14.4" customHeight="1" x14ac:dyDescent="0.3">
      <c r="A7" s="672" t="s">
        <v>2728</v>
      </c>
      <c r="B7" s="673" t="s">
        <v>2627</v>
      </c>
      <c r="C7" s="673" t="s">
        <v>2102</v>
      </c>
      <c r="D7" s="673" t="s">
        <v>2628</v>
      </c>
      <c r="E7" s="673" t="s">
        <v>2629</v>
      </c>
      <c r="F7" s="676"/>
      <c r="G7" s="676"/>
      <c r="H7" s="676"/>
      <c r="I7" s="676"/>
      <c r="J7" s="676">
        <v>1</v>
      </c>
      <c r="K7" s="676">
        <v>265</v>
      </c>
      <c r="L7" s="676">
        <v>1</v>
      </c>
      <c r="M7" s="676">
        <v>265</v>
      </c>
      <c r="N7" s="676"/>
      <c r="O7" s="676"/>
      <c r="P7" s="697"/>
      <c r="Q7" s="677"/>
    </row>
    <row r="8" spans="1:17" ht="14.4" customHeight="1" x14ac:dyDescent="0.3">
      <c r="A8" s="672" t="s">
        <v>2728</v>
      </c>
      <c r="B8" s="673" t="s">
        <v>2627</v>
      </c>
      <c r="C8" s="673" t="s">
        <v>2102</v>
      </c>
      <c r="D8" s="673" t="s">
        <v>2634</v>
      </c>
      <c r="E8" s="673" t="s">
        <v>2635</v>
      </c>
      <c r="F8" s="676"/>
      <c r="G8" s="676"/>
      <c r="H8" s="676"/>
      <c r="I8" s="676"/>
      <c r="J8" s="676">
        <v>1</v>
      </c>
      <c r="K8" s="676">
        <v>5597</v>
      </c>
      <c r="L8" s="676">
        <v>1</v>
      </c>
      <c r="M8" s="676">
        <v>5597</v>
      </c>
      <c r="N8" s="676"/>
      <c r="O8" s="676"/>
      <c r="P8" s="697"/>
      <c r="Q8" s="677"/>
    </row>
    <row r="9" spans="1:17" ht="14.4" customHeight="1" x14ac:dyDescent="0.3">
      <c r="A9" s="672" t="s">
        <v>2728</v>
      </c>
      <c r="B9" s="673" t="s">
        <v>2627</v>
      </c>
      <c r="C9" s="673" t="s">
        <v>2102</v>
      </c>
      <c r="D9" s="673" t="s">
        <v>2731</v>
      </c>
      <c r="E9" s="673" t="s">
        <v>2732</v>
      </c>
      <c r="F9" s="676"/>
      <c r="G9" s="676"/>
      <c r="H9" s="676"/>
      <c r="I9" s="676"/>
      <c r="J9" s="676"/>
      <c r="K9" s="676"/>
      <c r="L9" s="676"/>
      <c r="M9" s="676"/>
      <c r="N9" s="676">
        <v>1</v>
      </c>
      <c r="O9" s="676">
        <v>486</v>
      </c>
      <c r="P9" s="697"/>
      <c r="Q9" s="677">
        <v>486</v>
      </c>
    </row>
    <row r="10" spans="1:17" ht="14.4" customHeight="1" x14ac:dyDescent="0.3">
      <c r="A10" s="672" t="s">
        <v>2733</v>
      </c>
      <c r="B10" s="673" t="s">
        <v>2734</v>
      </c>
      <c r="C10" s="673" t="s">
        <v>2102</v>
      </c>
      <c r="D10" s="673" t="s">
        <v>2735</v>
      </c>
      <c r="E10" s="673" t="s">
        <v>2736</v>
      </c>
      <c r="F10" s="676">
        <v>20</v>
      </c>
      <c r="G10" s="676">
        <v>7020</v>
      </c>
      <c r="H10" s="676">
        <v>0.3672316384180791</v>
      </c>
      <c r="I10" s="676">
        <v>351</v>
      </c>
      <c r="J10" s="676">
        <v>54</v>
      </c>
      <c r="K10" s="676">
        <v>19116</v>
      </c>
      <c r="L10" s="676">
        <v>1</v>
      </c>
      <c r="M10" s="676">
        <v>354</v>
      </c>
      <c r="N10" s="676">
        <v>42</v>
      </c>
      <c r="O10" s="676">
        <v>14868</v>
      </c>
      <c r="P10" s="697">
        <v>0.77777777777777779</v>
      </c>
      <c r="Q10" s="677">
        <v>354</v>
      </c>
    </row>
    <row r="11" spans="1:17" ht="14.4" customHeight="1" x14ac:dyDescent="0.3">
      <c r="A11" s="672" t="s">
        <v>2733</v>
      </c>
      <c r="B11" s="673" t="s">
        <v>2734</v>
      </c>
      <c r="C11" s="673" t="s">
        <v>2102</v>
      </c>
      <c r="D11" s="673" t="s">
        <v>2737</v>
      </c>
      <c r="E11" s="673" t="s">
        <v>2738</v>
      </c>
      <c r="F11" s="676">
        <v>36</v>
      </c>
      <c r="G11" s="676">
        <v>2340</v>
      </c>
      <c r="H11" s="676">
        <v>0.63157894736842102</v>
      </c>
      <c r="I11" s="676">
        <v>65</v>
      </c>
      <c r="J11" s="676">
        <v>57</v>
      </c>
      <c r="K11" s="676">
        <v>3705</v>
      </c>
      <c r="L11" s="676">
        <v>1</v>
      </c>
      <c r="M11" s="676">
        <v>65</v>
      </c>
      <c r="N11" s="676">
        <v>84</v>
      </c>
      <c r="O11" s="676">
        <v>5460</v>
      </c>
      <c r="P11" s="697">
        <v>1.4736842105263157</v>
      </c>
      <c r="Q11" s="677">
        <v>65</v>
      </c>
    </row>
    <row r="12" spans="1:17" ht="14.4" customHeight="1" x14ac:dyDescent="0.3">
      <c r="A12" s="672" t="s">
        <v>2733</v>
      </c>
      <c r="B12" s="673" t="s">
        <v>2734</v>
      </c>
      <c r="C12" s="673" t="s">
        <v>2102</v>
      </c>
      <c r="D12" s="673" t="s">
        <v>2739</v>
      </c>
      <c r="E12" s="673" t="s">
        <v>2740</v>
      </c>
      <c r="F12" s="676">
        <v>1</v>
      </c>
      <c r="G12" s="676">
        <v>591</v>
      </c>
      <c r="H12" s="676"/>
      <c r="I12" s="676">
        <v>591</v>
      </c>
      <c r="J12" s="676"/>
      <c r="K12" s="676"/>
      <c r="L12" s="676"/>
      <c r="M12" s="676"/>
      <c r="N12" s="676"/>
      <c r="O12" s="676"/>
      <c r="P12" s="697"/>
      <c r="Q12" s="677"/>
    </row>
    <row r="13" spans="1:17" ht="14.4" customHeight="1" x14ac:dyDescent="0.3">
      <c r="A13" s="672" t="s">
        <v>2733</v>
      </c>
      <c r="B13" s="673" t="s">
        <v>2734</v>
      </c>
      <c r="C13" s="673" t="s">
        <v>2102</v>
      </c>
      <c r="D13" s="673" t="s">
        <v>2741</v>
      </c>
      <c r="E13" s="673" t="s">
        <v>2742</v>
      </c>
      <c r="F13" s="676">
        <v>1</v>
      </c>
      <c r="G13" s="676">
        <v>150</v>
      </c>
      <c r="H13" s="676"/>
      <c r="I13" s="676">
        <v>150</v>
      </c>
      <c r="J13" s="676"/>
      <c r="K13" s="676"/>
      <c r="L13" s="676"/>
      <c r="M13" s="676"/>
      <c r="N13" s="676">
        <v>2</v>
      </c>
      <c r="O13" s="676">
        <v>306</v>
      </c>
      <c r="P13" s="697"/>
      <c r="Q13" s="677">
        <v>153</v>
      </c>
    </row>
    <row r="14" spans="1:17" ht="14.4" customHeight="1" x14ac:dyDescent="0.3">
      <c r="A14" s="672" t="s">
        <v>2733</v>
      </c>
      <c r="B14" s="673" t="s">
        <v>2734</v>
      </c>
      <c r="C14" s="673" t="s">
        <v>2102</v>
      </c>
      <c r="D14" s="673" t="s">
        <v>2743</v>
      </c>
      <c r="E14" s="673" t="s">
        <v>2744</v>
      </c>
      <c r="F14" s="676">
        <v>10</v>
      </c>
      <c r="G14" s="676">
        <v>240</v>
      </c>
      <c r="H14" s="676">
        <v>1.25</v>
      </c>
      <c r="I14" s="676">
        <v>24</v>
      </c>
      <c r="J14" s="676">
        <v>8</v>
      </c>
      <c r="K14" s="676">
        <v>192</v>
      </c>
      <c r="L14" s="676">
        <v>1</v>
      </c>
      <c r="M14" s="676">
        <v>24</v>
      </c>
      <c r="N14" s="676">
        <v>8</v>
      </c>
      <c r="O14" s="676">
        <v>192</v>
      </c>
      <c r="P14" s="697">
        <v>1</v>
      </c>
      <c r="Q14" s="677">
        <v>24</v>
      </c>
    </row>
    <row r="15" spans="1:17" ht="14.4" customHeight="1" x14ac:dyDescent="0.3">
      <c r="A15" s="672" t="s">
        <v>2733</v>
      </c>
      <c r="B15" s="673" t="s">
        <v>2734</v>
      </c>
      <c r="C15" s="673" t="s">
        <v>2102</v>
      </c>
      <c r="D15" s="673" t="s">
        <v>2745</v>
      </c>
      <c r="E15" s="673" t="s">
        <v>2746</v>
      </c>
      <c r="F15" s="676">
        <v>8</v>
      </c>
      <c r="G15" s="676">
        <v>432</v>
      </c>
      <c r="H15" s="676">
        <v>1.9636363636363636</v>
      </c>
      <c r="I15" s="676">
        <v>54</v>
      </c>
      <c r="J15" s="676">
        <v>4</v>
      </c>
      <c r="K15" s="676">
        <v>220</v>
      </c>
      <c r="L15" s="676">
        <v>1</v>
      </c>
      <c r="M15" s="676">
        <v>55</v>
      </c>
      <c r="N15" s="676">
        <v>38</v>
      </c>
      <c r="O15" s="676">
        <v>2090</v>
      </c>
      <c r="P15" s="697">
        <v>9.5</v>
      </c>
      <c r="Q15" s="677">
        <v>55</v>
      </c>
    </row>
    <row r="16" spans="1:17" ht="14.4" customHeight="1" x14ac:dyDescent="0.3">
      <c r="A16" s="672" t="s">
        <v>2733</v>
      </c>
      <c r="B16" s="673" t="s">
        <v>2734</v>
      </c>
      <c r="C16" s="673" t="s">
        <v>2102</v>
      </c>
      <c r="D16" s="673" t="s">
        <v>2747</v>
      </c>
      <c r="E16" s="673" t="s">
        <v>2748</v>
      </c>
      <c r="F16" s="676">
        <v>569</v>
      </c>
      <c r="G16" s="676">
        <v>43813</v>
      </c>
      <c r="H16" s="676">
        <v>0.87269938650306744</v>
      </c>
      <c r="I16" s="676">
        <v>77</v>
      </c>
      <c r="J16" s="676">
        <v>652</v>
      </c>
      <c r="K16" s="676">
        <v>50204</v>
      </c>
      <c r="L16" s="676">
        <v>1</v>
      </c>
      <c r="M16" s="676">
        <v>77</v>
      </c>
      <c r="N16" s="676">
        <v>709</v>
      </c>
      <c r="O16" s="676">
        <v>54593</v>
      </c>
      <c r="P16" s="697">
        <v>1.0874233128834356</v>
      </c>
      <c r="Q16" s="677">
        <v>77</v>
      </c>
    </row>
    <row r="17" spans="1:17" ht="14.4" customHeight="1" x14ac:dyDescent="0.3">
      <c r="A17" s="672" t="s">
        <v>2733</v>
      </c>
      <c r="B17" s="673" t="s">
        <v>2734</v>
      </c>
      <c r="C17" s="673" t="s">
        <v>2102</v>
      </c>
      <c r="D17" s="673" t="s">
        <v>2749</v>
      </c>
      <c r="E17" s="673" t="s">
        <v>2750</v>
      </c>
      <c r="F17" s="676">
        <v>19</v>
      </c>
      <c r="G17" s="676">
        <v>437</v>
      </c>
      <c r="H17" s="676">
        <v>1.0115740740740742</v>
      </c>
      <c r="I17" s="676">
        <v>23</v>
      </c>
      <c r="J17" s="676">
        <v>18</v>
      </c>
      <c r="K17" s="676">
        <v>432</v>
      </c>
      <c r="L17" s="676">
        <v>1</v>
      </c>
      <c r="M17" s="676">
        <v>24</v>
      </c>
      <c r="N17" s="676">
        <v>26</v>
      </c>
      <c r="O17" s="676">
        <v>624</v>
      </c>
      <c r="P17" s="697">
        <v>1.4444444444444444</v>
      </c>
      <c r="Q17" s="677">
        <v>24</v>
      </c>
    </row>
    <row r="18" spans="1:17" ht="14.4" customHeight="1" x14ac:dyDescent="0.3">
      <c r="A18" s="672" t="s">
        <v>2733</v>
      </c>
      <c r="B18" s="673" t="s">
        <v>2734</v>
      </c>
      <c r="C18" s="673" t="s">
        <v>2102</v>
      </c>
      <c r="D18" s="673" t="s">
        <v>2751</v>
      </c>
      <c r="E18" s="673" t="s">
        <v>2752</v>
      </c>
      <c r="F18" s="676">
        <v>3</v>
      </c>
      <c r="G18" s="676">
        <v>198</v>
      </c>
      <c r="H18" s="676">
        <v>0.75</v>
      </c>
      <c r="I18" s="676">
        <v>66</v>
      </c>
      <c r="J18" s="676">
        <v>4</v>
      </c>
      <c r="K18" s="676">
        <v>264</v>
      </c>
      <c r="L18" s="676">
        <v>1</v>
      </c>
      <c r="M18" s="676">
        <v>66</v>
      </c>
      <c r="N18" s="676">
        <v>5</v>
      </c>
      <c r="O18" s="676">
        <v>330</v>
      </c>
      <c r="P18" s="697">
        <v>1.25</v>
      </c>
      <c r="Q18" s="677">
        <v>66</v>
      </c>
    </row>
    <row r="19" spans="1:17" ht="14.4" customHeight="1" x14ac:dyDescent="0.3">
      <c r="A19" s="672" t="s">
        <v>2733</v>
      </c>
      <c r="B19" s="673" t="s">
        <v>2734</v>
      </c>
      <c r="C19" s="673" t="s">
        <v>2102</v>
      </c>
      <c r="D19" s="673" t="s">
        <v>2753</v>
      </c>
      <c r="E19" s="673" t="s">
        <v>2754</v>
      </c>
      <c r="F19" s="676">
        <v>8</v>
      </c>
      <c r="G19" s="676">
        <v>192</v>
      </c>
      <c r="H19" s="676">
        <v>0.96</v>
      </c>
      <c r="I19" s="676">
        <v>24</v>
      </c>
      <c r="J19" s="676">
        <v>8</v>
      </c>
      <c r="K19" s="676">
        <v>200</v>
      </c>
      <c r="L19" s="676">
        <v>1</v>
      </c>
      <c r="M19" s="676">
        <v>25</v>
      </c>
      <c r="N19" s="676">
        <v>16</v>
      </c>
      <c r="O19" s="676">
        <v>400</v>
      </c>
      <c r="P19" s="697">
        <v>2</v>
      </c>
      <c r="Q19" s="677">
        <v>25</v>
      </c>
    </row>
    <row r="20" spans="1:17" ht="14.4" customHeight="1" x14ac:dyDescent="0.3">
      <c r="A20" s="672" t="s">
        <v>2733</v>
      </c>
      <c r="B20" s="673" t="s">
        <v>2734</v>
      </c>
      <c r="C20" s="673" t="s">
        <v>2102</v>
      </c>
      <c r="D20" s="673" t="s">
        <v>2755</v>
      </c>
      <c r="E20" s="673" t="s">
        <v>2756</v>
      </c>
      <c r="F20" s="676">
        <v>58</v>
      </c>
      <c r="G20" s="676">
        <v>10440</v>
      </c>
      <c r="H20" s="676">
        <v>1.6964575885602859</v>
      </c>
      <c r="I20" s="676">
        <v>180</v>
      </c>
      <c r="J20" s="676">
        <v>34</v>
      </c>
      <c r="K20" s="676">
        <v>6154</v>
      </c>
      <c r="L20" s="676">
        <v>1</v>
      </c>
      <c r="M20" s="676">
        <v>181</v>
      </c>
      <c r="N20" s="676">
        <v>103</v>
      </c>
      <c r="O20" s="676">
        <v>18643</v>
      </c>
      <c r="P20" s="697">
        <v>3.0294117647058822</v>
      </c>
      <c r="Q20" s="677">
        <v>181</v>
      </c>
    </row>
    <row r="21" spans="1:17" ht="14.4" customHeight="1" x14ac:dyDescent="0.3">
      <c r="A21" s="672" t="s">
        <v>2733</v>
      </c>
      <c r="B21" s="673" t="s">
        <v>2734</v>
      </c>
      <c r="C21" s="673" t="s">
        <v>2102</v>
      </c>
      <c r="D21" s="673" t="s">
        <v>2757</v>
      </c>
      <c r="E21" s="673" t="s">
        <v>2758</v>
      </c>
      <c r="F21" s="676">
        <v>29</v>
      </c>
      <c r="G21" s="676">
        <v>7337</v>
      </c>
      <c r="H21" s="676">
        <v>1.0698454359871683</v>
      </c>
      <c r="I21" s="676">
        <v>253</v>
      </c>
      <c r="J21" s="676">
        <v>27</v>
      </c>
      <c r="K21" s="676">
        <v>6858</v>
      </c>
      <c r="L21" s="676">
        <v>1</v>
      </c>
      <c r="M21" s="676">
        <v>254</v>
      </c>
      <c r="N21" s="676">
        <v>44</v>
      </c>
      <c r="O21" s="676">
        <v>11176</v>
      </c>
      <c r="P21" s="697">
        <v>1.6296296296296295</v>
      </c>
      <c r="Q21" s="677">
        <v>254</v>
      </c>
    </row>
    <row r="22" spans="1:17" ht="14.4" customHeight="1" x14ac:dyDescent="0.3">
      <c r="A22" s="672" t="s">
        <v>2733</v>
      </c>
      <c r="B22" s="673" t="s">
        <v>2734</v>
      </c>
      <c r="C22" s="673" t="s">
        <v>2102</v>
      </c>
      <c r="D22" s="673" t="s">
        <v>2759</v>
      </c>
      <c r="E22" s="673" t="s">
        <v>2760</v>
      </c>
      <c r="F22" s="676">
        <v>75</v>
      </c>
      <c r="G22" s="676">
        <v>16200</v>
      </c>
      <c r="H22" s="676">
        <v>0.81146062913243844</v>
      </c>
      <c r="I22" s="676">
        <v>216</v>
      </c>
      <c r="J22" s="676">
        <v>92</v>
      </c>
      <c r="K22" s="676">
        <v>19964</v>
      </c>
      <c r="L22" s="676">
        <v>1</v>
      </c>
      <c r="M22" s="676">
        <v>217</v>
      </c>
      <c r="N22" s="676">
        <v>183</v>
      </c>
      <c r="O22" s="676">
        <v>39711</v>
      </c>
      <c r="P22" s="697">
        <v>1.9891304347826086</v>
      </c>
      <c r="Q22" s="677">
        <v>217</v>
      </c>
    </row>
    <row r="23" spans="1:17" ht="14.4" customHeight="1" x14ac:dyDescent="0.3">
      <c r="A23" s="672" t="s">
        <v>2733</v>
      </c>
      <c r="B23" s="673" t="s">
        <v>2734</v>
      </c>
      <c r="C23" s="673" t="s">
        <v>2102</v>
      </c>
      <c r="D23" s="673" t="s">
        <v>2761</v>
      </c>
      <c r="E23" s="673" t="s">
        <v>2762</v>
      </c>
      <c r="F23" s="676">
        <v>1</v>
      </c>
      <c r="G23" s="676">
        <v>36</v>
      </c>
      <c r="H23" s="676">
        <v>0.97297297297297303</v>
      </c>
      <c r="I23" s="676">
        <v>36</v>
      </c>
      <c r="J23" s="676">
        <v>1</v>
      </c>
      <c r="K23" s="676">
        <v>37</v>
      </c>
      <c r="L23" s="676">
        <v>1</v>
      </c>
      <c r="M23" s="676">
        <v>37</v>
      </c>
      <c r="N23" s="676">
        <v>1</v>
      </c>
      <c r="O23" s="676">
        <v>37</v>
      </c>
      <c r="P23" s="697">
        <v>1</v>
      </c>
      <c r="Q23" s="677">
        <v>37</v>
      </c>
    </row>
    <row r="24" spans="1:17" ht="14.4" customHeight="1" x14ac:dyDescent="0.3">
      <c r="A24" s="672" t="s">
        <v>2733</v>
      </c>
      <c r="B24" s="673" t="s">
        <v>2734</v>
      </c>
      <c r="C24" s="673" t="s">
        <v>2102</v>
      </c>
      <c r="D24" s="673" t="s">
        <v>2763</v>
      </c>
      <c r="E24" s="673" t="s">
        <v>2764</v>
      </c>
      <c r="F24" s="676">
        <v>4</v>
      </c>
      <c r="G24" s="676">
        <v>200</v>
      </c>
      <c r="H24" s="676"/>
      <c r="I24" s="676">
        <v>50</v>
      </c>
      <c r="J24" s="676"/>
      <c r="K24" s="676"/>
      <c r="L24" s="676"/>
      <c r="M24" s="676"/>
      <c r="N24" s="676"/>
      <c r="O24" s="676"/>
      <c r="P24" s="697"/>
      <c r="Q24" s="677"/>
    </row>
    <row r="25" spans="1:17" ht="14.4" customHeight="1" x14ac:dyDescent="0.3">
      <c r="A25" s="672" t="s">
        <v>2733</v>
      </c>
      <c r="B25" s="673" t="s">
        <v>2734</v>
      </c>
      <c r="C25" s="673" t="s">
        <v>2102</v>
      </c>
      <c r="D25" s="673" t="s">
        <v>2765</v>
      </c>
      <c r="E25" s="673" t="s">
        <v>2766</v>
      </c>
      <c r="F25" s="676">
        <v>1</v>
      </c>
      <c r="G25" s="676">
        <v>230</v>
      </c>
      <c r="H25" s="676"/>
      <c r="I25" s="676">
        <v>230</v>
      </c>
      <c r="J25" s="676"/>
      <c r="K25" s="676"/>
      <c r="L25" s="676"/>
      <c r="M25" s="676"/>
      <c r="N25" s="676">
        <v>1</v>
      </c>
      <c r="O25" s="676">
        <v>233</v>
      </c>
      <c r="P25" s="697"/>
      <c r="Q25" s="677">
        <v>233</v>
      </c>
    </row>
    <row r="26" spans="1:17" ht="14.4" customHeight="1" x14ac:dyDescent="0.3">
      <c r="A26" s="672" t="s">
        <v>2733</v>
      </c>
      <c r="B26" s="673" t="s">
        <v>2734</v>
      </c>
      <c r="C26" s="673" t="s">
        <v>2102</v>
      </c>
      <c r="D26" s="673" t="s">
        <v>2767</v>
      </c>
      <c r="E26" s="673" t="s">
        <v>2768</v>
      </c>
      <c r="F26" s="676"/>
      <c r="G26" s="676"/>
      <c r="H26" s="676"/>
      <c r="I26" s="676"/>
      <c r="J26" s="676"/>
      <c r="K26" s="676"/>
      <c r="L26" s="676"/>
      <c r="M26" s="676"/>
      <c r="N26" s="676">
        <v>2</v>
      </c>
      <c r="O26" s="676">
        <v>774</v>
      </c>
      <c r="P26" s="697"/>
      <c r="Q26" s="677">
        <v>387</v>
      </c>
    </row>
    <row r="27" spans="1:17" ht="14.4" customHeight="1" x14ac:dyDescent="0.3">
      <c r="A27" s="672" t="s">
        <v>2733</v>
      </c>
      <c r="B27" s="673" t="s">
        <v>2734</v>
      </c>
      <c r="C27" s="673" t="s">
        <v>2102</v>
      </c>
      <c r="D27" s="673" t="s">
        <v>2769</v>
      </c>
      <c r="E27" s="673" t="s">
        <v>2770</v>
      </c>
      <c r="F27" s="676"/>
      <c r="G27" s="676"/>
      <c r="H27" s="676"/>
      <c r="I27" s="676"/>
      <c r="J27" s="676"/>
      <c r="K27" s="676"/>
      <c r="L27" s="676"/>
      <c r="M27" s="676"/>
      <c r="N27" s="676">
        <v>21</v>
      </c>
      <c r="O27" s="676">
        <v>5124</v>
      </c>
      <c r="P27" s="697"/>
      <c r="Q27" s="677">
        <v>244</v>
      </c>
    </row>
    <row r="28" spans="1:17" ht="14.4" customHeight="1" x14ac:dyDescent="0.3">
      <c r="A28" s="672" t="s">
        <v>2771</v>
      </c>
      <c r="B28" s="673" t="s">
        <v>2772</v>
      </c>
      <c r="C28" s="673" t="s">
        <v>2102</v>
      </c>
      <c r="D28" s="673" t="s">
        <v>2773</v>
      </c>
      <c r="E28" s="673" t="s">
        <v>2774</v>
      </c>
      <c r="F28" s="676">
        <v>56</v>
      </c>
      <c r="G28" s="676">
        <v>1512</v>
      </c>
      <c r="H28" s="676">
        <v>0.6588235294117647</v>
      </c>
      <c r="I28" s="676">
        <v>27</v>
      </c>
      <c r="J28" s="676">
        <v>85</v>
      </c>
      <c r="K28" s="676">
        <v>2295</v>
      </c>
      <c r="L28" s="676">
        <v>1</v>
      </c>
      <c r="M28" s="676">
        <v>27</v>
      </c>
      <c r="N28" s="676">
        <v>116</v>
      </c>
      <c r="O28" s="676">
        <v>3132</v>
      </c>
      <c r="P28" s="697">
        <v>1.3647058823529412</v>
      </c>
      <c r="Q28" s="677">
        <v>27</v>
      </c>
    </row>
    <row r="29" spans="1:17" ht="14.4" customHeight="1" x14ac:dyDescent="0.3">
      <c r="A29" s="672" t="s">
        <v>2771</v>
      </c>
      <c r="B29" s="673" t="s">
        <v>2772</v>
      </c>
      <c r="C29" s="673" t="s">
        <v>2102</v>
      </c>
      <c r="D29" s="673" t="s">
        <v>2775</v>
      </c>
      <c r="E29" s="673" t="s">
        <v>2776</v>
      </c>
      <c r="F29" s="676">
        <v>66</v>
      </c>
      <c r="G29" s="676">
        <v>3564</v>
      </c>
      <c r="H29" s="676">
        <v>0.65346534653465349</v>
      </c>
      <c r="I29" s="676">
        <v>54</v>
      </c>
      <c r="J29" s="676">
        <v>101</v>
      </c>
      <c r="K29" s="676">
        <v>5454</v>
      </c>
      <c r="L29" s="676">
        <v>1</v>
      </c>
      <c r="M29" s="676">
        <v>54</v>
      </c>
      <c r="N29" s="676">
        <v>150</v>
      </c>
      <c r="O29" s="676">
        <v>8100</v>
      </c>
      <c r="P29" s="697">
        <v>1.4851485148514851</v>
      </c>
      <c r="Q29" s="677">
        <v>54</v>
      </c>
    </row>
    <row r="30" spans="1:17" ht="14.4" customHeight="1" x14ac:dyDescent="0.3">
      <c r="A30" s="672" t="s">
        <v>2771</v>
      </c>
      <c r="B30" s="673" t="s">
        <v>2772</v>
      </c>
      <c r="C30" s="673" t="s">
        <v>2102</v>
      </c>
      <c r="D30" s="673" t="s">
        <v>2777</v>
      </c>
      <c r="E30" s="673" t="s">
        <v>2778</v>
      </c>
      <c r="F30" s="676">
        <v>286</v>
      </c>
      <c r="G30" s="676">
        <v>6864</v>
      </c>
      <c r="H30" s="676">
        <v>0.92556634304207119</v>
      </c>
      <c r="I30" s="676">
        <v>24</v>
      </c>
      <c r="J30" s="676">
        <v>309</v>
      </c>
      <c r="K30" s="676">
        <v>7416</v>
      </c>
      <c r="L30" s="676">
        <v>1</v>
      </c>
      <c r="M30" s="676">
        <v>24</v>
      </c>
      <c r="N30" s="676">
        <v>350</v>
      </c>
      <c r="O30" s="676">
        <v>8400</v>
      </c>
      <c r="P30" s="697">
        <v>1.1326860841423949</v>
      </c>
      <c r="Q30" s="677">
        <v>24</v>
      </c>
    </row>
    <row r="31" spans="1:17" ht="14.4" customHeight="1" x14ac:dyDescent="0.3">
      <c r="A31" s="672" t="s">
        <v>2771</v>
      </c>
      <c r="B31" s="673" t="s">
        <v>2772</v>
      </c>
      <c r="C31" s="673" t="s">
        <v>2102</v>
      </c>
      <c r="D31" s="673" t="s">
        <v>2779</v>
      </c>
      <c r="E31" s="673" t="s">
        <v>2780</v>
      </c>
      <c r="F31" s="676">
        <v>394</v>
      </c>
      <c r="G31" s="676">
        <v>10638</v>
      </c>
      <c r="H31" s="676">
        <v>0.89749430523917995</v>
      </c>
      <c r="I31" s="676">
        <v>27</v>
      </c>
      <c r="J31" s="676">
        <v>439</v>
      </c>
      <c r="K31" s="676">
        <v>11853</v>
      </c>
      <c r="L31" s="676">
        <v>1</v>
      </c>
      <c r="M31" s="676">
        <v>27</v>
      </c>
      <c r="N31" s="676">
        <v>466</v>
      </c>
      <c r="O31" s="676">
        <v>12582</v>
      </c>
      <c r="P31" s="697">
        <v>1.0615034168564921</v>
      </c>
      <c r="Q31" s="677">
        <v>27</v>
      </c>
    </row>
    <row r="32" spans="1:17" ht="14.4" customHeight="1" x14ac:dyDescent="0.3">
      <c r="A32" s="672" t="s">
        <v>2771</v>
      </c>
      <c r="B32" s="673" t="s">
        <v>2772</v>
      </c>
      <c r="C32" s="673" t="s">
        <v>2102</v>
      </c>
      <c r="D32" s="673" t="s">
        <v>2781</v>
      </c>
      <c r="E32" s="673" t="s">
        <v>2782</v>
      </c>
      <c r="F32" s="676">
        <v>3</v>
      </c>
      <c r="G32" s="676">
        <v>171</v>
      </c>
      <c r="H32" s="676"/>
      <c r="I32" s="676">
        <v>57</v>
      </c>
      <c r="J32" s="676"/>
      <c r="K32" s="676"/>
      <c r="L32" s="676"/>
      <c r="M32" s="676"/>
      <c r="N32" s="676"/>
      <c r="O32" s="676"/>
      <c r="P32" s="697"/>
      <c r="Q32" s="677"/>
    </row>
    <row r="33" spans="1:17" ht="14.4" customHeight="1" x14ac:dyDescent="0.3">
      <c r="A33" s="672" t="s">
        <v>2771</v>
      </c>
      <c r="B33" s="673" t="s">
        <v>2772</v>
      </c>
      <c r="C33" s="673" t="s">
        <v>2102</v>
      </c>
      <c r="D33" s="673" t="s">
        <v>2783</v>
      </c>
      <c r="E33" s="673" t="s">
        <v>2784</v>
      </c>
      <c r="F33" s="676">
        <v>65</v>
      </c>
      <c r="G33" s="676">
        <v>1755</v>
      </c>
      <c r="H33" s="676">
        <v>0.8904109589041096</v>
      </c>
      <c r="I33" s="676">
        <v>27</v>
      </c>
      <c r="J33" s="676">
        <v>73</v>
      </c>
      <c r="K33" s="676">
        <v>1971</v>
      </c>
      <c r="L33" s="676">
        <v>1</v>
      </c>
      <c r="M33" s="676">
        <v>27</v>
      </c>
      <c r="N33" s="676">
        <v>105</v>
      </c>
      <c r="O33" s="676">
        <v>2835</v>
      </c>
      <c r="P33" s="697">
        <v>1.4383561643835616</v>
      </c>
      <c r="Q33" s="677">
        <v>27</v>
      </c>
    </row>
    <row r="34" spans="1:17" ht="14.4" customHeight="1" x14ac:dyDescent="0.3">
      <c r="A34" s="672" t="s">
        <v>2771</v>
      </c>
      <c r="B34" s="673" t="s">
        <v>2772</v>
      </c>
      <c r="C34" s="673" t="s">
        <v>2102</v>
      </c>
      <c r="D34" s="673" t="s">
        <v>2785</v>
      </c>
      <c r="E34" s="673" t="s">
        <v>2786</v>
      </c>
      <c r="F34" s="676">
        <v>629</v>
      </c>
      <c r="G34" s="676">
        <v>13838</v>
      </c>
      <c r="H34" s="676">
        <v>0.56564748201438853</v>
      </c>
      <c r="I34" s="676">
        <v>22</v>
      </c>
      <c r="J34" s="676">
        <v>1112</v>
      </c>
      <c r="K34" s="676">
        <v>24464</v>
      </c>
      <c r="L34" s="676">
        <v>1</v>
      </c>
      <c r="M34" s="676">
        <v>22</v>
      </c>
      <c r="N34" s="676">
        <v>1750</v>
      </c>
      <c r="O34" s="676">
        <v>38500</v>
      </c>
      <c r="P34" s="697">
        <v>1.5737410071942446</v>
      </c>
      <c r="Q34" s="677">
        <v>22</v>
      </c>
    </row>
    <row r="35" spans="1:17" ht="14.4" customHeight="1" x14ac:dyDescent="0.3">
      <c r="A35" s="672" t="s">
        <v>2771</v>
      </c>
      <c r="B35" s="673" t="s">
        <v>2772</v>
      </c>
      <c r="C35" s="673" t="s">
        <v>2102</v>
      </c>
      <c r="D35" s="673" t="s">
        <v>2787</v>
      </c>
      <c r="E35" s="673" t="s">
        <v>2788</v>
      </c>
      <c r="F35" s="676">
        <v>1</v>
      </c>
      <c r="G35" s="676">
        <v>68</v>
      </c>
      <c r="H35" s="676">
        <v>0.5</v>
      </c>
      <c r="I35" s="676">
        <v>68</v>
      </c>
      <c r="J35" s="676">
        <v>2</v>
      </c>
      <c r="K35" s="676">
        <v>136</v>
      </c>
      <c r="L35" s="676">
        <v>1</v>
      </c>
      <c r="M35" s="676">
        <v>68</v>
      </c>
      <c r="N35" s="676">
        <v>2</v>
      </c>
      <c r="O35" s="676">
        <v>136</v>
      </c>
      <c r="P35" s="697">
        <v>1</v>
      </c>
      <c r="Q35" s="677">
        <v>68</v>
      </c>
    </row>
    <row r="36" spans="1:17" ht="14.4" customHeight="1" x14ac:dyDescent="0.3">
      <c r="A36" s="672" t="s">
        <v>2771</v>
      </c>
      <c r="B36" s="673" t="s">
        <v>2772</v>
      </c>
      <c r="C36" s="673" t="s">
        <v>2102</v>
      </c>
      <c r="D36" s="673" t="s">
        <v>2789</v>
      </c>
      <c r="E36" s="673" t="s">
        <v>2790</v>
      </c>
      <c r="F36" s="676">
        <v>2</v>
      </c>
      <c r="G36" s="676">
        <v>124</v>
      </c>
      <c r="H36" s="676">
        <v>2</v>
      </c>
      <c r="I36" s="676">
        <v>62</v>
      </c>
      <c r="J36" s="676">
        <v>1</v>
      </c>
      <c r="K36" s="676">
        <v>62</v>
      </c>
      <c r="L36" s="676">
        <v>1</v>
      </c>
      <c r="M36" s="676">
        <v>62</v>
      </c>
      <c r="N36" s="676"/>
      <c r="O36" s="676"/>
      <c r="P36" s="697"/>
      <c r="Q36" s="677"/>
    </row>
    <row r="37" spans="1:17" ht="14.4" customHeight="1" x14ac:dyDescent="0.3">
      <c r="A37" s="672" t="s">
        <v>2771</v>
      </c>
      <c r="B37" s="673" t="s">
        <v>2772</v>
      </c>
      <c r="C37" s="673" t="s">
        <v>2102</v>
      </c>
      <c r="D37" s="673" t="s">
        <v>2791</v>
      </c>
      <c r="E37" s="673" t="s">
        <v>2792</v>
      </c>
      <c r="F37" s="676">
        <v>503</v>
      </c>
      <c r="G37" s="676">
        <v>31186</v>
      </c>
      <c r="H37" s="676">
        <v>0.54673913043478262</v>
      </c>
      <c r="I37" s="676">
        <v>62</v>
      </c>
      <c r="J37" s="676">
        <v>920</v>
      </c>
      <c r="K37" s="676">
        <v>57040</v>
      </c>
      <c r="L37" s="676">
        <v>1</v>
      </c>
      <c r="M37" s="676">
        <v>62</v>
      </c>
      <c r="N37" s="676">
        <v>1587</v>
      </c>
      <c r="O37" s="676">
        <v>98394</v>
      </c>
      <c r="P37" s="697">
        <v>1.7250000000000001</v>
      </c>
      <c r="Q37" s="677">
        <v>62</v>
      </c>
    </row>
    <row r="38" spans="1:17" ht="14.4" customHeight="1" x14ac:dyDescent="0.3">
      <c r="A38" s="672" t="s">
        <v>2771</v>
      </c>
      <c r="B38" s="673" t="s">
        <v>2772</v>
      </c>
      <c r="C38" s="673" t="s">
        <v>2102</v>
      </c>
      <c r="D38" s="673" t="s">
        <v>2793</v>
      </c>
      <c r="E38" s="673" t="s">
        <v>2794</v>
      </c>
      <c r="F38" s="676"/>
      <c r="G38" s="676"/>
      <c r="H38" s="676"/>
      <c r="I38" s="676"/>
      <c r="J38" s="676"/>
      <c r="K38" s="676"/>
      <c r="L38" s="676"/>
      <c r="M38" s="676"/>
      <c r="N38" s="676">
        <v>1</v>
      </c>
      <c r="O38" s="676">
        <v>394</v>
      </c>
      <c r="P38" s="697"/>
      <c r="Q38" s="677">
        <v>394</v>
      </c>
    </row>
    <row r="39" spans="1:17" ht="14.4" customHeight="1" x14ac:dyDescent="0.3">
      <c r="A39" s="672" t="s">
        <v>2771</v>
      </c>
      <c r="B39" s="673" t="s">
        <v>2772</v>
      </c>
      <c r="C39" s="673" t="s">
        <v>2102</v>
      </c>
      <c r="D39" s="673" t="s">
        <v>2795</v>
      </c>
      <c r="E39" s="673" t="s">
        <v>2796</v>
      </c>
      <c r="F39" s="676">
        <v>37</v>
      </c>
      <c r="G39" s="676">
        <v>36519</v>
      </c>
      <c r="H39" s="676">
        <v>0.82139001349527663</v>
      </c>
      <c r="I39" s="676">
        <v>987</v>
      </c>
      <c r="J39" s="676">
        <v>45</v>
      </c>
      <c r="K39" s="676">
        <v>44460</v>
      </c>
      <c r="L39" s="676">
        <v>1</v>
      </c>
      <c r="M39" s="676">
        <v>988</v>
      </c>
      <c r="N39" s="676">
        <v>42</v>
      </c>
      <c r="O39" s="676">
        <v>41496</v>
      </c>
      <c r="P39" s="697">
        <v>0.93333333333333335</v>
      </c>
      <c r="Q39" s="677">
        <v>988</v>
      </c>
    </row>
    <row r="40" spans="1:17" ht="14.4" customHeight="1" x14ac:dyDescent="0.3">
      <c r="A40" s="672" t="s">
        <v>2771</v>
      </c>
      <c r="B40" s="673" t="s">
        <v>2772</v>
      </c>
      <c r="C40" s="673" t="s">
        <v>2102</v>
      </c>
      <c r="D40" s="673" t="s">
        <v>2797</v>
      </c>
      <c r="E40" s="673" t="s">
        <v>2798</v>
      </c>
      <c r="F40" s="676">
        <v>1</v>
      </c>
      <c r="G40" s="676">
        <v>191</v>
      </c>
      <c r="H40" s="676"/>
      <c r="I40" s="676">
        <v>191</v>
      </c>
      <c r="J40" s="676"/>
      <c r="K40" s="676"/>
      <c r="L40" s="676"/>
      <c r="M40" s="676"/>
      <c r="N40" s="676">
        <v>1</v>
      </c>
      <c r="O40" s="676">
        <v>191</v>
      </c>
      <c r="P40" s="697"/>
      <c r="Q40" s="677">
        <v>191</v>
      </c>
    </row>
    <row r="41" spans="1:17" ht="14.4" customHeight="1" x14ac:dyDescent="0.3">
      <c r="A41" s="672" t="s">
        <v>2771</v>
      </c>
      <c r="B41" s="673" t="s">
        <v>2772</v>
      </c>
      <c r="C41" s="673" t="s">
        <v>2102</v>
      </c>
      <c r="D41" s="673" t="s">
        <v>2799</v>
      </c>
      <c r="E41" s="673" t="s">
        <v>2800</v>
      </c>
      <c r="F41" s="676">
        <v>4</v>
      </c>
      <c r="G41" s="676">
        <v>328</v>
      </c>
      <c r="H41" s="676"/>
      <c r="I41" s="676">
        <v>82</v>
      </c>
      <c r="J41" s="676"/>
      <c r="K41" s="676"/>
      <c r="L41" s="676"/>
      <c r="M41" s="676"/>
      <c r="N41" s="676">
        <v>2</v>
      </c>
      <c r="O41" s="676">
        <v>164</v>
      </c>
      <c r="P41" s="697"/>
      <c r="Q41" s="677">
        <v>82</v>
      </c>
    </row>
    <row r="42" spans="1:17" ht="14.4" customHeight="1" x14ac:dyDescent="0.3">
      <c r="A42" s="672" t="s">
        <v>2771</v>
      </c>
      <c r="B42" s="673" t="s">
        <v>2772</v>
      </c>
      <c r="C42" s="673" t="s">
        <v>2102</v>
      </c>
      <c r="D42" s="673" t="s">
        <v>2801</v>
      </c>
      <c r="E42" s="673" t="s">
        <v>2802</v>
      </c>
      <c r="F42" s="676">
        <v>2</v>
      </c>
      <c r="G42" s="676">
        <v>126</v>
      </c>
      <c r="H42" s="676">
        <v>0.4</v>
      </c>
      <c r="I42" s="676">
        <v>63</v>
      </c>
      <c r="J42" s="676">
        <v>5</v>
      </c>
      <c r="K42" s="676">
        <v>315</v>
      </c>
      <c r="L42" s="676">
        <v>1</v>
      </c>
      <c r="M42" s="676">
        <v>63</v>
      </c>
      <c r="N42" s="676">
        <v>3</v>
      </c>
      <c r="O42" s="676">
        <v>189</v>
      </c>
      <c r="P42" s="697">
        <v>0.6</v>
      </c>
      <c r="Q42" s="677">
        <v>63</v>
      </c>
    </row>
    <row r="43" spans="1:17" ht="14.4" customHeight="1" x14ac:dyDescent="0.3">
      <c r="A43" s="672" t="s">
        <v>2771</v>
      </c>
      <c r="B43" s="673" t="s">
        <v>2772</v>
      </c>
      <c r="C43" s="673" t="s">
        <v>2102</v>
      </c>
      <c r="D43" s="673" t="s">
        <v>2803</v>
      </c>
      <c r="E43" s="673" t="s">
        <v>2804</v>
      </c>
      <c r="F43" s="676">
        <v>200</v>
      </c>
      <c r="G43" s="676">
        <v>3400</v>
      </c>
      <c r="H43" s="676">
        <v>1.0101010101010102</v>
      </c>
      <c r="I43" s="676">
        <v>17</v>
      </c>
      <c r="J43" s="676">
        <v>198</v>
      </c>
      <c r="K43" s="676">
        <v>3366</v>
      </c>
      <c r="L43" s="676">
        <v>1</v>
      </c>
      <c r="M43" s="676">
        <v>17</v>
      </c>
      <c r="N43" s="676">
        <v>260</v>
      </c>
      <c r="O43" s="676">
        <v>4420</v>
      </c>
      <c r="P43" s="697">
        <v>1.3131313131313131</v>
      </c>
      <c r="Q43" s="677">
        <v>17</v>
      </c>
    </row>
    <row r="44" spans="1:17" ht="14.4" customHeight="1" x14ac:dyDescent="0.3">
      <c r="A44" s="672" t="s">
        <v>2771</v>
      </c>
      <c r="B44" s="673" t="s">
        <v>2772</v>
      </c>
      <c r="C44" s="673" t="s">
        <v>2102</v>
      </c>
      <c r="D44" s="673" t="s">
        <v>2805</v>
      </c>
      <c r="E44" s="673" t="s">
        <v>2806</v>
      </c>
      <c r="F44" s="676"/>
      <c r="G44" s="676"/>
      <c r="H44" s="676"/>
      <c r="I44" s="676"/>
      <c r="J44" s="676">
        <v>1</v>
      </c>
      <c r="K44" s="676">
        <v>64</v>
      </c>
      <c r="L44" s="676">
        <v>1</v>
      </c>
      <c r="M44" s="676">
        <v>64</v>
      </c>
      <c r="N44" s="676"/>
      <c r="O44" s="676"/>
      <c r="P44" s="697"/>
      <c r="Q44" s="677"/>
    </row>
    <row r="45" spans="1:17" ht="14.4" customHeight="1" x14ac:dyDescent="0.3">
      <c r="A45" s="672" t="s">
        <v>2771</v>
      </c>
      <c r="B45" s="673" t="s">
        <v>2772</v>
      </c>
      <c r="C45" s="673" t="s">
        <v>2102</v>
      </c>
      <c r="D45" s="673" t="s">
        <v>2807</v>
      </c>
      <c r="E45" s="673" t="s">
        <v>2808</v>
      </c>
      <c r="F45" s="676"/>
      <c r="G45" s="676"/>
      <c r="H45" s="676"/>
      <c r="I45" s="676"/>
      <c r="J45" s="676">
        <v>2</v>
      </c>
      <c r="K45" s="676">
        <v>94</v>
      </c>
      <c r="L45" s="676">
        <v>1</v>
      </c>
      <c r="M45" s="676">
        <v>47</v>
      </c>
      <c r="N45" s="676">
        <v>2</v>
      </c>
      <c r="O45" s="676">
        <v>94</v>
      </c>
      <c r="P45" s="697">
        <v>1</v>
      </c>
      <c r="Q45" s="677">
        <v>47</v>
      </c>
    </row>
    <row r="46" spans="1:17" ht="14.4" customHeight="1" x14ac:dyDescent="0.3">
      <c r="A46" s="672" t="s">
        <v>2771</v>
      </c>
      <c r="B46" s="673" t="s">
        <v>2772</v>
      </c>
      <c r="C46" s="673" t="s">
        <v>2102</v>
      </c>
      <c r="D46" s="673" t="s">
        <v>2809</v>
      </c>
      <c r="E46" s="673" t="s">
        <v>2810</v>
      </c>
      <c r="F46" s="676"/>
      <c r="G46" s="676"/>
      <c r="H46" s="676"/>
      <c r="I46" s="676"/>
      <c r="J46" s="676">
        <v>1</v>
      </c>
      <c r="K46" s="676">
        <v>60</v>
      </c>
      <c r="L46" s="676">
        <v>1</v>
      </c>
      <c r="M46" s="676">
        <v>60</v>
      </c>
      <c r="N46" s="676">
        <v>1</v>
      </c>
      <c r="O46" s="676">
        <v>60</v>
      </c>
      <c r="P46" s="697">
        <v>1</v>
      </c>
      <c r="Q46" s="677">
        <v>60</v>
      </c>
    </row>
    <row r="47" spans="1:17" ht="14.4" customHeight="1" x14ac:dyDescent="0.3">
      <c r="A47" s="672" t="s">
        <v>2771</v>
      </c>
      <c r="B47" s="673" t="s">
        <v>2772</v>
      </c>
      <c r="C47" s="673" t="s">
        <v>2102</v>
      </c>
      <c r="D47" s="673" t="s">
        <v>2811</v>
      </c>
      <c r="E47" s="673" t="s">
        <v>2812</v>
      </c>
      <c r="F47" s="676">
        <v>1</v>
      </c>
      <c r="G47" s="676">
        <v>19</v>
      </c>
      <c r="H47" s="676"/>
      <c r="I47" s="676">
        <v>19</v>
      </c>
      <c r="J47" s="676"/>
      <c r="K47" s="676"/>
      <c r="L47" s="676"/>
      <c r="M47" s="676"/>
      <c r="N47" s="676"/>
      <c r="O47" s="676"/>
      <c r="P47" s="697"/>
      <c r="Q47" s="677"/>
    </row>
    <row r="48" spans="1:17" ht="14.4" customHeight="1" x14ac:dyDescent="0.3">
      <c r="A48" s="672" t="s">
        <v>2771</v>
      </c>
      <c r="B48" s="673" t="s">
        <v>2772</v>
      </c>
      <c r="C48" s="673" t="s">
        <v>2102</v>
      </c>
      <c r="D48" s="673" t="s">
        <v>2813</v>
      </c>
      <c r="E48" s="673" t="s">
        <v>2814</v>
      </c>
      <c r="F48" s="676"/>
      <c r="G48" s="676"/>
      <c r="H48" s="676"/>
      <c r="I48" s="676"/>
      <c r="J48" s="676">
        <v>3</v>
      </c>
      <c r="K48" s="676">
        <v>1392</v>
      </c>
      <c r="L48" s="676">
        <v>1</v>
      </c>
      <c r="M48" s="676">
        <v>464</v>
      </c>
      <c r="N48" s="676"/>
      <c r="O48" s="676"/>
      <c r="P48" s="697"/>
      <c r="Q48" s="677"/>
    </row>
    <row r="49" spans="1:17" ht="14.4" customHeight="1" x14ac:dyDescent="0.3">
      <c r="A49" s="672" t="s">
        <v>2771</v>
      </c>
      <c r="B49" s="673" t="s">
        <v>2772</v>
      </c>
      <c r="C49" s="673" t="s">
        <v>2102</v>
      </c>
      <c r="D49" s="673" t="s">
        <v>2815</v>
      </c>
      <c r="E49" s="673" t="s">
        <v>2816</v>
      </c>
      <c r="F49" s="676">
        <v>1</v>
      </c>
      <c r="G49" s="676">
        <v>312</v>
      </c>
      <c r="H49" s="676"/>
      <c r="I49" s="676">
        <v>312</v>
      </c>
      <c r="J49" s="676"/>
      <c r="K49" s="676"/>
      <c r="L49" s="676"/>
      <c r="M49" s="676"/>
      <c r="N49" s="676"/>
      <c r="O49" s="676"/>
      <c r="P49" s="697"/>
      <c r="Q49" s="677"/>
    </row>
    <row r="50" spans="1:17" ht="14.4" customHeight="1" x14ac:dyDescent="0.3">
      <c r="A50" s="672" t="s">
        <v>2771</v>
      </c>
      <c r="B50" s="673" t="s">
        <v>2772</v>
      </c>
      <c r="C50" s="673" t="s">
        <v>2102</v>
      </c>
      <c r="D50" s="673" t="s">
        <v>2817</v>
      </c>
      <c r="E50" s="673" t="s">
        <v>2818</v>
      </c>
      <c r="F50" s="676">
        <v>22</v>
      </c>
      <c r="G50" s="676">
        <v>18744</v>
      </c>
      <c r="H50" s="676">
        <v>1.0987104337631888</v>
      </c>
      <c r="I50" s="676">
        <v>852</v>
      </c>
      <c r="J50" s="676">
        <v>20</v>
      </c>
      <c r="K50" s="676">
        <v>17060</v>
      </c>
      <c r="L50" s="676">
        <v>1</v>
      </c>
      <c r="M50" s="676">
        <v>853</v>
      </c>
      <c r="N50" s="676">
        <v>33</v>
      </c>
      <c r="O50" s="676">
        <v>28149</v>
      </c>
      <c r="P50" s="697">
        <v>1.65</v>
      </c>
      <c r="Q50" s="677">
        <v>853</v>
      </c>
    </row>
    <row r="51" spans="1:17" ht="14.4" customHeight="1" x14ac:dyDescent="0.3">
      <c r="A51" s="672" t="s">
        <v>2771</v>
      </c>
      <c r="B51" s="673" t="s">
        <v>2772</v>
      </c>
      <c r="C51" s="673" t="s">
        <v>2102</v>
      </c>
      <c r="D51" s="673" t="s">
        <v>2819</v>
      </c>
      <c r="E51" s="673" t="s">
        <v>2820</v>
      </c>
      <c r="F51" s="676"/>
      <c r="G51" s="676"/>
      <c r="H51" s="676"/>
      <c r="I51" s="676"/>
      <c r="J51" s="676"/>
      <c r="K51" s="676"/>
      <c r="L51" s="676"/>
      <c r="M51" s="676"/>
      <c r="N51" s="676">
        <v>19</v>
      </c>
      <c r="O51" s="676">
        <v>3553</v>
      </c>
      <c r="P51" s="697"/>
      <c r="Q51" s="677">
        <v>187</v>
      </c>
    </row>
    <row r="52" spans="1:17" ht="14.4" customHeight="1" x14ac:dyDescent="0.3">
      <c r="A52" s="672" t="s">
        <v>2771</v>
      </c>
      <c r="B52" s="673" t="s">
        <v>2772</v>
      </c>
      <c r="C52" s="673" t="s">
        <v>2102</v>
      </c>
      <c r="D52" s="673" t="s">
        <v>2821</v>
      </c>
      <c r="E52" s="673" t="s">
        <v>2822</v>
      </c>
      <c r="F52" s="676">
        <v>1</v>
      </c>
      <c r="G52" s="676">
        <v>351</v>
      </c>
      <c r="H52" s="676"/>
      <c r="I52" s="676">
        <v>351</v>
      </c>
      <c r="J52" s="676"/>
      <c r="K52" s="676"/>
      <c r="L52" s="676"/>
      <c r="M52" s="676"/>
      <c r="N52" s="676">
        <v>1</v>
      </c>
      <c r="O52" s="676">
        <v>352</v>
      </c>
      <c r="P52" s="697"/>
      <c r="Q52" s="677">
        <v>352</v>
      </c>
    </row>
    <row r="53" spans="1:17" ht="14.4" customHeight="1" x14ac:dyDescent="0.3">
      <c r="A53" s="672" t="s">
        <v>2771</v>
      </c>
      <c r="B53" s="673" t="s">
        <v>2772</v>
      </c>
      <c r="C53" s="673" t="s">
        <v>2102</v>
      </c>
      <c r="D53" s="673" t="s">
        <v>2823</v>
      </c>
      <c r="E53" s="673" t="s">
        <v>2824</v>
      </c>
      <c r="F53" s="676"/>
      <c r="G53" s="676"/>
      <c r="H53" s="676"/>
      <c r="I53" s="676"/>
      <c r="J53" s="676"/>
      <c r="K53" s="676"/>
      <c r="L53" s="676"/>
      <c r="M53" s="676"/>
      <c r="N53" s="676">
        <v>1</v>
      </c>
      <c r="O53" s="676">
        <v>352</v>
      </c>
      <c r="P53" s="697"/>
      <c r="Q53" s="677">
        <v>352</v>
      </c>
    </row>
    <row r="54" spans="1:17" ht="14.4" customHeight="1" x14ac:dyDescent="0.3">
      <c r="A54" s="672" t="s">
        <v>2771</v>
      </c>
      <c r="B54" s="673" t="s">
        <v>2772</v>
      </c>
      <c r="C54" s="673" t="s">
        <v>2102</v>
      </c>
      <c r="D54" s="673" t="s">
        <v>2825</v>
      </c>
      <c r="E54" s="673" t="s">
        <v>2826</v>
      </c>
      <c r="F54" s="676">
        <v>1</v>
      </c>
      <c r="G54" s="676">
        <v>1216</v>
      </c>
      <c r="H54" s="676"/>
      <c r="I54" s="676">
        <v>1216</v>
      </c>
      <c r="J54" s="676"/>
      <c r="K54" s="676"/>
      <c r="L54" s="676"/>
      <c r="M54" s="676"/>
      <c r="N54" s="676">
        <v>1</v>
      </c>
      <c r="O54" s="676">
        <v>1222</v>
      </c>
      <c r="P54" s="697"/>
      <c r="Q54" s="677">
        <v>1222</v>
      </c>
    </row>
    <row r="55" spans="1:17" ht="14.4" customHeight="1" x14ac:dyDescent="0.3">
      <c r="A55" s="672" t="s">
        <v>2771</v>
      </c>
      <c r="B55" s="673" t="s">
        <v>2772</v>
      </c>
      <c r="C55" s="673" t="s">
        <v>2102</v>
      </c>
      <c r="D55" s="673" t="s">
        <v>2827</v>
      </c>
      <c r="E55" s="673" t="s">
        <v>2828</v>
      </c>
      <c r="F55" s="676">
        <v>102</v>
      </c>
      <c r="G55" s="676">
        <v>80172</v>
      </c>
      <c r="H55" s="676">
        <v>0.98903295049407236</v>
      </c>
      <c r="I55" s="676">
        <v>786</v>
      </c>
      <c r="J55" s="676">
        <v>103</v>
      </c>
      <c r="K55" s="676">
        <v>81061</v>
      </c>
      <c r="L55" s="676">
        <v>1</v>
      </c>
      <c r="M55" s="676">
        <v>787</v>
      </c>
      <c r="N55" s="676">
        <v>203</v>
      </c>
      <c r="O55" s="676">
        <v>159964</v>
      </c>
      <c r="P55" s="697">
        <v>1.9733780733028212</v>
      </c>
      <c r="Q55" s="677">
        <v>788</v>
      </c>
    </row>
    <row r="56" spans="1:17" ht="14.4" customHeight="1" x14ac:dyDescent="0.3">
      <c r="A56" s="672" t="s">
        <v>2771</v>
      </c>
      <c r="B56" s="673" t="s">
        <v>2772</v>
      </c>
      <c r="C56" s="673" t="s">
        <v>2102</v>
      </c>
      <c r="D56" s="673" t="s">
        <v>2829</v>
      </c>
      <c r="E56" s="673" t="s">
        <v>2830</v>
      </c>
      <c r="F56" s="676"/>
      <c r="G56" s="676"/>
      <c r="H56" s="676"/>
      <c r="I56" s="676"/>
      <c r="J56" s="676"/>
      <c r="K56" s="676"/>
      <c r="L56" s="676"/>
      <c r="M56" s="676"/>
      <c r="N56" s="676">
        <v>1</v>
      </c>
      <c r="O56" s="676">
        <v>189</v>
      </c>
      <c r="P56" s="697"/>
      <c r="Q56" s="677">
        <v>189</v>
      </c>
    </row>
    <row r="57" spans="1:17" ht="14.4" customHeight="1" x14ac:dyDescent="0.3">
      <c r="A57" s="672" t="s">
        <v>2771</v>
      </c>
      <c r="B57" s="673" t="s">
        <v>2772</v>
      </c>
      <c r="C57" s="673" t="s">
        <v>2102</v>
      </c>
      <c r="D57" s="673" t="s">
        <v>2831</v>
      </c>
      <c r="E57" s="673" t="s">
        <v>2832</v>
      </c>
      <c r="F57" s="676">
        <v>2</v>
      </c>
      <c r="G57" s="676">
        <v>456</v>
      </c>
      <c r="H57" s="676"/>
      <c r="I57" s="676">
        <v>228</v>
      </c>
      <c r="J57" s="676"/>
      <c r="K57" s="676"/>
      <c r="L57" s="676"/>
      <c r="M57" s="676"/>
      <c r="N57" s="676"/>
      <c r="O57" s="676"/>
      <c r="P57" s="697"/>
      <c r="Q57" s="677"/>
    </row>
    <row r="58" spans="1:17" ht="14.4" customHeight="1" x14ac:dyDescent="0.3">
      <c r="A58" s="672" t="s">
        <v>2771</v>
      </c>
      <c r="B58" s="673" t="s">
        <v>2772</v>
      </c>
      <c r="C58" s="673" t="s">
        <v>2102</v>
      </c>
      <c r="D58" s="673" t="s">
        <v>2833</v>
      </c>
      <c r="E58" s="673" t="s">
        <v>2834</v>
      </c>
      <c r="F58" s="676">
        <v>3</v>
      </c>
      <c r="G58" s="676">
        <v>396</v>
      </c>
      <c r="H58" s="676">
        <v>1.4887218045112782</v>
      </c>
      <c r="I58" s="676">
        <v>132</v>
      </c>
      <c r="J58" s="676">
        <v>2</v>
      </c>
      <c r="K58" s="676">
        <v>266</v>
      </c>
      <c r="L58" s="676">
        <v>1</v>
      </c>
      <c r="M58" s="676">
        <v>133</v>
      </c>
      <c r="N58" s="676"/>
      <c r="O58" s="676"/>
      <c r="P58" s="697"/>
      <c r="Q58" s="677"/>
    </row>
    <row r="59" spans="1:17" ht="14.4" customHeight="1" x14ac:dyDescent="0.3">
      <c r="A59" s="672" t="s">
        <v>2771</v>
      </c>
      <c r="B59" s="673" t="s">
        <v>2772</v>
      </c>
      <c r="C59" s="673" t="s">
        <v>2102</v>
      </c>
      <c r="D59" s="673" t="s">
        <v>2835</v>
      </c>
      <c r="E59" s="673" t="s">
        <v>2836</v>
      </c>
      <c r="F59" s="676">
        <v>3</v>
      </c>
      <c r="G59" s="676">
        <v>267</v>
      </c>
      <c r="H59" s="676">
        <v>1</v>
      </c>
      <c r="I59" s="676">
        <v>89</v>
      </c>
      <c r="J59" s="676">
        <v>3</v>
      </c>
      <c r="K59" s="676">
        <v>267</v>
      </c>
      <c r="L59" s="676">
        <v>1</v>
      </c>
      <c r="M59" s="676">
        <v>89</v>
      </c>
      <c r="N59" s="676">
        <v>3</v>
      </c>
      <c r="O59" s="676">
        <v>267</v>
      </c>
      <c r="P59" s="697">
        <v>1</v>
      </c>
      <c r="Q59" s="677">
        <v>89</v>
      </c>
    </row>
    <row r="60" spans="1:17" ht="14.4" customHeight="1" x14ac:dyDescent="0.3">
      <c r="A60" s="672" t="s">
        <v>2771</v>
      </c>
      <c r="B60" s="673" t="s">
        <v>2772</v>
      </c>
      <c r="C60" s="673" t="s">
        <v>2102</v>
      </c>
      <c r="D60" s="673" t="s">
        <v>2837</v>
      </c>
      <c r="E60" s="673" t="s">
        <v>2838</v>
      </c>
      <c r="F60" s="676">
        <v>653</v>
      </c>
      <c r="G60" s="676">
        <v>19590</v>
      </c>
      <c r="H60" s="676">
        <v>0.5856502242152466</v>
      </c>
      <c r="I60" s="676">
        <v>30</v>
      </c>
      <c r="J60" s="676">
        <v>1115</v>
      </c>
      <c r="K60" s="676">
        <v>33450</v>
      </c>
      <c r="L60" s="676">
        <v>1</v>
      </c>
      <c r="M60" s="676">
        <v>30</v>
      </c>
      <c r="N60" s="676">
        <v>1790</v>
      </c>
      <c r="O60" s="676">
        <v>53700</v>
      </c>
      <c r="P60" s="697">
        <v>1.6053811659192825</v>
      </c>
      <c r="Q60" s="677">
        <v>30</v>
      </c>
    </row>
    <row r="61" spans="1:17" ht="14.4" customHeight="1" x14ac:dyDescent="0.3">
      <c r="A61" s="672" t="s">
        <v>2771</v>
      </c>
      <c r="B61" s="673" t="s">
        <v>2772</v>
      </c>
      <c r="C61" s="673" t="s">
        <v>2102</v>
      </c>
      <c r="D61" s="673" t="s">
        <v>2839</v>
      </c>
      <c r="E61" s="673" t="s">
        <v>2840</v>
      </c>
      <c r="F61" s="676"/>
      <c r="G61" s="676"/>
      <c r="H61" s="676"/>
      <c r="I61" s="676"/>
      <c r="J61" s="676">
        <v>1</v>
      </c>
      <c r="K61" s="676">
        <v>50</v>
      </c>
      <c r="L61" s="676">
        <v>1</v>
      </c>
      <c r="M61" s="676">
        <v>50</v>
      </c>
      <c r="N61" s="676">
        <v>1</v>
      </c>
      <c r="O61" s="676">
        <v>50</v>
      </c>
      <c r="P61" s="697">
        <v>1</v>
      </c>
      <c r="Q61" s="677">
        <v>50</v>
      </c>
    </row>
    <row r="62" spans="1:17" ht="14.4" customHeight="1" x14ac:dyDescent="0.3">
      <c r="A62" s="672" t="s">
        <v>2771</v>
      </c>
      <c r="B62" s="673" t="s">
        <v>2772</v>
      </c>
      <c r="C62" s="673" t="s">
        <v>2102</v>
      </c>
      <c r="D62" s="673" t="s">
        <v>2841</v>
      </c>
      <c r="E62" s="673" t="s">
        <v>2842</v>
      </c>
      <c r="F62" s="676">
        <v>110</v>
      </c>
      <c r="G62" s="676">
        <v>1320</v>
      </c>
      <c r="H62" s="676">
        <v>0.61452513966480449</v>
      </c>
      <c r="I62" s="676">
        <v>12</v>
      </c>
      <c r="J62" s="676">
        <v>179</v>
      </c>
      <c r="K62" s="676">
        <v>2148</v>
      </c>
      <c r="L62" s="676">
        <v>1</v>
      </c>
      <c r="M62" s="676">
        <v>12</v>
      </c>
      <c r="N62" s="676">
        <v>185</v>
      </c>
      <c r="O62" s="676">
        <v>2220</v>
      </c>
      <c r="P62" s="697">
        <v>1.0335195530726258</v>
      </c>
      <c r="Q62" s="677">
        <v>12</v>
      </c>
    </row>
    <row r="63" spans="1:17" ht="14.4" customHeight="1" x14ac:dyDescent="0.3">
      <c r="A63" s="672" t="s">
        <v>2771</v>
      </c>
      <c r="B63" s="673" t="s">
        <v>2772</v>
      </c>
      <c r="C63" s="673" t="s">
        <v>2102</v>
      </c>
      <c r="D63" s="673" t="s">
        <v>2843</v>
      </c>
      <c r="E63" s="673" t="s">
        <v>2844</v>
      </c>
      <c r="F63" s="676">
        <v>4</v>
      </c>
      <c r="G63" s="676">
        <v>728</v>
      </c>
      <c r="H63" s="676">
        <v>0.66302367941712204</v>
      </c>
      <c r="I63" s="676">
        <v>182</v>
      </c>
      <c r="J63" s="676">
        <v>6</v>
      </c>
      <c r="K63" s="676">
        <v>1098</v>
      </c>
      <c r="L63" s="676">
        <v>1</v>
      </c>
      <c r="M63" s="676">
        <v>183</v>
      </c>
      <c r="N63" s="676">
        <v>3</v>
      </c>
      <c r="O63" s="676">
        <v>549</v>
      </c>
      <c r="P63" s="697">
        <v>0.5</v>
      </c>
      <c r="Q63" s="677">
        <v>183</v>
      </c>
    </row>
    <row r="64" spans="1:17" ht="14.4" customHeight="1" x14ac:dyDescent="0.3">
      <c r="A64" s="672" t="s">
        <v>2771</v>
      </c>
      <c r="B64" s="673" t="s">
        <v>2772</v>
      </c>
      <c r="C64" s="673" t="s">
        <v>2102</v>
      </c>
      <c r="D64" s="673" t="s">
        <v>2845</v>
      </c>
      <c r="E64" s="673" t="s">
        <v>2846</v>
      </c>
      <c r="F64" s="676">
        <v>1</v>
      </c>
      <c r="G64" s="676">
        <v>72</v>
      </c>
      <c r="H64" s="676">
        <v>0.98630136986301364</v>
      </c>
      <c r="I64" s="676">
        <v>72</v>
      </c>
      <c r="J64" s="676">
        <v>1</v>
      </c>
      <c r="K64" s="676">
        <v>73</v>
      </c>
      <c r="L64" s="676">
        <v>1</v>
      </c>
      <c r="M64" s="676">
        <v>73</v>
      </c>
      <c r="N64" s="676">
        <v>5</v>
      </c>
      <c r="O64" s="676">
        <v>365</v>
      </c>
      <c r="P64" s="697">
        <v>5</v>
      </c>
      <c r="Q64" s="677">
        <v>73</v>
      </c>
    </row>
    <row r="65" spans="1:17" ht="14.4" customHeight="1" x14ac:dyDescent="0.3">
      <c r="A65" s="672" t="s">
        <v>2771</v>
      </c>
      <c r="B65" s="673" t="s">
        <v>2772</v>
      </c>
      <c r="C65" s="673" t="s">
        <v>2102</v>
      </c>
      <c r="D65" s="673" t="s">
        <v>2847</v>
      </c>
      <c r="E65" s="673" t="s">
        <v>2848</v>
      </c>
      <c r="F65" s="676">
        <v>3</v>
      </c>
      <c r="G65" s="676">
        <v>549</v>
      </c>
      <c r="H65" s="676">
        <v>0.99456521739130432</v>
      </c>
      <c r="I65" s="676">
        <v>183</v>
      </c>
      <c r="J65" s="676">
        <v>3</v>
      </c>
      <c r="K65" s="676">
        <v>552</v>
      </c>
      <c r="L65" s="676">
        <v>1</v>
      </c>
      <c r="M65" s="676">
        <v>184</v>
      </c>
      <c r="N65" s="676">
        <v>1</v>
      </c>
      <c r="O65" s="676">
        <v>184</v>
      </c>
      <c r="P65" s="697">
        <v>0.33333333333333331</v>
      </c>
      <c r="Q65" s="677">
        <v>184</v>
      </c>
    </row>
    <row r="66" spans="1:17" ht="14.4" customHeight="1" x14ac:dyDescent="0.3">
      <c r="A66" s="672" t="s">
        <v>2771</v>
      </c>
      <c r="B66" s="673" t="s">
        <v>2772</v>
      </c>
      <c r="C66" s="673" t="s">
        <v>2102</v>
      </c>
      <c r="D66" s="673" t="s">
        <v>2849</v>
      </c>
      <c r="E66" s="673" t="s">
        <v>2850</v>
      </c>
      <c r="F66" s="676">
        <v>553</v>
      </c>
      <c r="G66" s="676">
        <v>81844</v>
      </c>
      <c r="H66" s="676">
        <v>1.0190882942560795</v>
      </c>
      <c r="I66" s="676">
        <v>148</v>
      </c>
      <c r="J66" s="676">
        <v>539</v>
      </c>
      <c r="K66" s="676">
        <v>80311</v>
      </c>
      <c r="L66" s="676">
        <v>1</v>
      </c>
      <c r="M66" s="676">
        <v>149</v>
      </c>
      <c r="N66" s="676">
        <v>630</v>
      </c>
      <c r="O66" s="676">
        <v>93870</v>
      </c>
      <c r="P66" s="697">
        <v>1.1688311688311688</v>
      </c>
      <c r="Q66" s="677">
        <v>149</v>
      </c>
    </row>
    <row r="67" spans="1:17" ht="14.4" customHeight="1" x14ac:dyDescent="0.3">
      <c r="A67" s="672" t="s">
        <v>2771</v>
      </c>
      <c r="B67" s="673" t="s">
        <v>2772</v>
      </c>
      <c r="C67" s="673" t="s">
        <v>2102</v>
      </c>
      <c r="D67" s="673" t="s">
        <v>2851</v>
      </c>
      <c r="E67" s="673" t="s">
        <v>2852</v>
      </c>
      <c r="F67" s="676">
        <v>954</v>
      </c>
      <c r="G67" s="676">
        <v>28620</v>
      </c>
      <c r="H67" s="676">
        <v>0.81399317406143346</v>
      </c>
      <c r="I67" s="676">
        <v>30</v>
      </c>
      <c r="J67" s="676">
        <v>1172</v>
      </c>
      <c r="K67" s="676">
        <v>35160</v>
      </c>
      <c r="L67" s="676">
        <v>1</v>
      </c>
      <c r="M67" s="676">
        <v>30</v>
      </c>
      <c r="N67" s="676">
        <v>1825</v>
      </c>
      <c r="O67" s="676">
        <v>54750</v>
      </c>
      <c r="P67" s="697">
        <v>1.5571672354948805</v>
      </c>
      <c r="Q67" s="677">
        <v>30</v>
      </c>
    </row>
    <row r="68" spans="1:17" ht="14.4" customHeight="1" x14ac:dyDescent="0.3">
      <c r="A68" s="672" t="s">
        <v>2771</v>
      </c>
      <c r="B68" s="673" t="s">
        <v>2772</v>
      </c>
      <c r="C68" s="673" t="s">
        <v>2102</v>
      </c>
      <c r="D68" s="673" t="s">
        <v>2853</v>
      </c>
      <c r="E68" s="673" t="s">
        <v>2854</v>
      </c>
      <c r="F68" s="676">
        <v>45</v>
      </c>
      <c r="G68" s="676">
        <v>1395</v>
      </c>
      <c r="H68" s="676">
        <v>0.66176470588235292</v>
      </c>
      <c r="I68" s="676">
        <v>31</v>
      </c>
      <c r="J68" s="676">
        <v>68</v>
      </c>
      <c r="K68" s="676">
        <v>2108</v>
      </c>
      <c r="L68" s="676">
        <v>1</v>
      </c>
      <c r="M68" s="676">
        <v>31</v>
      </c>
      <c r="N68" s="676">
        <v>90</v>
      </c>
      <c r="O68" s="676">
        <v>2790</v>
      </c>
      <c r="P68" s="697">
        <v>1.3235294117647058</v>
      </c>
      <c r="Q68" s="677">
        <v>31</v>
      </c>
    </row>
    <row r="69" spans="1:17" ht="14.4" customHeight="1" x14ac:dyDescent="0.3">
      <c r="A69" s="672" t="s">
        <v>2771</v>
      </c>
      <c r="B69" s="673" t="s">
        <v>2772</v>
      </c>
      <c r="C69" s="673" t="s">
        <v>2102</v>
      </c>
      <c r="D69" s="673" t="s">
        <v>2855</v>
      </c>
      <c r="E69" s="673" t="s">
        <v>2856</v>
      </c>
      <c r="F69" s="676">
        <v>51</v>
      </c>
      <c r="G69" s="676">
        <v>1377</v>
      </c>
      <c r="H69" s="676">
        <v>0.62195121951219512</v>
      </c>
      <c r="I69" s="676">
        <v>27</v>
      </c>
      <c r="J69" s="676">
        <v>82</v>
      </c>
      <c r="K69" s="676">
        <v>2214</v>
      </c>
      <c r="L69" s="676">
        <v>1</v>
      </c>
      <c r="M69" s="676">
        <v>27</v>
      </c>
      <c r="N69" s="676">
        <v>111</v>
      </c>
      <c r="O69" s="676">
        <v>2997</v>
      </c>
      <c r="P69" s="697">
        <v>1.3536585365853659</v>
      </c>
      <c r="Q69" s="677">
        <v>27</v>
      </c>
    </row>
    <row r="70" spans="1:17" ht="14.4" customHeight="1" x14ac:dyDescent="0.3">
      <c r="A70" s="672" t="s">
        <v>2771</v>
      </c>
      <c r="B70" s="673" t="s">
        <v>2772</v>
      </c>
      <c r="C70" s="673" t="s">
        <v>2102</v>
      </c>
      <c r="D70" s="673" t="s">
        <v>2857</v>
      </c>
      <c r="E70" s="673" t="s">
        <v>2858</v>
      </c>
      <c r="F70" s="676"/>
      <c r="G70" s="676"/>
      <c r="H70" s="676"/>
      <c r="I70" s="676"/>
      <c r="J70" s="676"/>
      <c r="K70" s="676"/>
      <c r="L70" s="676"/>
      <c r="M70" s="676"/>
      <c r="N70" s="676">
        <v>1</v>
      </c>
      <c r="O70" s="676">
        <v>256</v>
      </c>
      <c r="P70" s="697"/>
      <c r="Q70" s="677">
        <v>256</v>
      </c>
    </row>
    <row r="71" spans="1:17" ht="14.4" customHeight="1" x14ac:dyDescent="0.3">
      <c r="A71" s="672" t="s">
        <v>2771</v>
      </c>
      <c r="B71" s="673" t="s">
        <v>2772</v>
      </c>
      <c r="C71" s="673" t="s">
        <v>2102</v>
      </c>
      <c r="D71" s="673" t="s">
        <v>2859</v>
      </c>
      <c r="E71" s="673" t="s">
        <v>2860</v>
      </c>
      <c r="F71" s="676">
        <v>1</v>
      </c>
      <c r="G71" s="676">
        <v>22</v>
      </c>
      <c r="H71" s="676">
        <v>1</v>
      </c>
      <c r="I71" s="676">
        <v>22</v>
      </c>
      <c r="J71" s="676">
        <v>1</v>
      </c>
      <c r="K71" s="676">
        <v>22</v>
      </c>
      <c r="L71" s="676">
        <v>1</v>
      </c>
      <c r="M71" s="676">
        <v>22</v>
      </c>
      <c r="N71" s="676">
        <v>6</v>
      </c>
      <c r="O71" s="676">
        <v>132</v>
      </c>
      <c r="P71" s="697">
        <v>6</v>
      </c>
      <c r="Q71" s="677">
        <v>22</v>
      </c>
    </row>
    <row r="72" spans="1:17" ht="14.4" customHeight="1" x14ac:dyDescent="0.3">
      <c r="A72" s="672" t="s">
        <v>2771</v>
      </c>
      <c r="B72" s="673" t="s">
        <v>2772</v>
      </c>
      <c r="C72" s="673" t="s">
        <v>2102</v>
      </c>
      <c r="D72" s="673" t="s">
        <v>2861</v>
      </c>
      <c r="E72" s="673" t="s">
        <v>2862</v>
      </c>
      <c r="F72" s="676">
        <v>402</v>
      </c>
      <c r="G72" s="676">
        <v>10050</v>
      </c>
      <c r="H72" s="676">
        <v>0.90337078651685399</v>
      </c>
      <c r="I72" s="676">
        <v>25</v>
      </c>
      <c r="J72" s="676">
        <v>445</v>
      </c>
      <c r="K72" s="676">
        <v>11125</v>
      </c>
      <c r="L72" s="676">
        <v>1</v>
      </c>
      <c r="M72" s="676">
        <v>25</v>
      </c>
      <c r="N72" s="676">
        <v>471</v>
      </c>
      <c r="O72" s="676">
        <v>11775</v>
      </c>
      <c r="P72" s="697">
        <v>1.0584269662921348</v>
      </c>
      <c r="Q72" s="677">
        <v>25</v>
      </c>
    </row>
    <row r="73" spans="1:17" ht="14.4" customHeight="1" x14ac:dyDescent="0.3">
      <c r="A73" s="672" t="s">
        <v>2771</v>
      </c>
      <c r="B73" s="673" t="s">
        <v>2772</v>
      </c>
      <c r="C73" s="673" t="s">
        <v>2102</v>
      </c>
      <c r="D73" s="673" t="s">
        <v>2863</v>
      </c>
      <c r="E73" s="673" t="s">
        <v>2864</v>
      </c>
      <c r="F73" s="676">
        <v>6</v>
      </c>
      <c r="G73" s="676">
        <v>198</v>
      </c>
      <c r="H73" s="676">
        <v>1.5</v>
      </c>
      <c r="I73" s="676">
        <v>33</v>
      </c>
      <c r="J73" s="676">
        <v>4</v>
      </c>
      <c r="K73" s="676">
        <v>132</v>
      </c>
      <c r="L73" s="676">
        <v>1</v>
      </c>
      <c r="M73" s="676">
        <v>33</v>
      </c>
      <c r="N73" s="676">
        <v>9</v>
      </c>
      <c r="O73" s="676">
        <v>297</v>
      </c>
      <c r="P73" s="697">
        <v>2.25</v>
      </c>
      <c r="Q73" s="677">
        <v>33</v>
      </c>
    </row>
    <row r="74" spans="1:17" ht="14.4" customHeight="1" x14ac:dyDescent="0.3">
      <c r="A74" s="672" t="s">
        <v>2771</v>
      </c>
      <c r="B74" s="673" t="s">
        <v>2772</v>
      </c>
      <c r="C74" s="673" t="s">
        <v>2102</v>
      </c>
      <c r="D74" s="673" t="s">
        <v>2865</v>
      </c>
      <c r="E74" s="673" t="s">
        <v>2866</v>
      </c>
      <c r="F74" s="676"/>
      <c r="G74" s="676"/>
      <c r="H74" s="676"/>
      <c r="I74" s="676"/>
      <c r="J74" s="676"/>
      <c r="K74" s="676"/>
      <c r="L74" s="676"/>
      <c r="M74" s="676"/>
      <c r="N74" s="676">
        <v>2</v>
      </c>
      <c r="O74" s="676">
        <v>60</v>
      </c>
      <c r="P74" s="697"/>
      <c r="Q74" s="677">
        <v>30</v>
      </c>
    </row>
    <row r="75" spans="1:17" ht="14.4" customHeight="1" x14ac:dyDescent="0.3">
      <c r="A75" s="672" t="s">
        <v>2771</v>
      </c>
      <c r="B75" s="673" t="s">
        <v>2772</v>
      </c>
      <c r="C75" s="673" t="s">
        <v>2102</v>
      </c>
      <c r="D75" s="673" t="s">
        <v>2867</v>
      </c>
      <c r="E75" s="673" t="s">
        <v>2868</v>
      </c>
      <c r="F75" s="676">
        <v>103</v>
      </c>
      <c r="G75" s="676">
        <v>2678</v>
      </c>
      <c r="H75" s="676">
        <v>0.77443609022556392</v>
      </c>
      <c r="I75" s="676">
        <v>26</v>
      </c>
      <c r="J75" s="676">
        <v>133</v>
      </c>
      <c r="K75" s="676">
        <v>3458</v>
      </c>
      <c r="L75" s="676">
        <v>1</v>
      </c>
      <c r="M75" s="676">
        <v>26</v>
      </c>
      <c r="N75" s="676">
        <v>202</v>
      </c>
      <c r="O75" s="676">
        <v>5252</v>
      </c>
      <c r="P75" s="697">
        <v>1.518796992481203</v>
      </c>
      <c r="Q75" s="677">
        <v>26</v>
      </c>
    </row>
    <row r="76" spans="1:17" ht="14.4" customHeight="1" x14ac:dyDescent="0.3">
      <c r="A76" s="672" t="s">
        <v>2771</v>
      </c>
      <c r="B76" s="673" t="s">
        <v>2772</v>
      </c>
      <c r="C76" s="673" t="s">
        <v>2102</v>
      </c>
      <c r="D76" s="673" t="s">
        <v>2869</v>
      </c>
      <c r="E76" s="673" t="s">
        <v>2870</v>
      </c>
      <c r="F76" s="676">
        <v>28</v>
      </c>
      <c r="G76" s="676">
        <v>2352</v>
      </c>
      <c r="H76" s="676">
        <v>0.5957446808510638</v>
      </c>
      <c r="I76" s="676">
        <v>84</v>
      </c>
      <c r="J76" s="676">
        <v>47</v>
      </c>
      <c r="K76" s="676">
        <v>3948</v>
      </c>
      <c r="L76" s="676">
        <v>1</v>
      </c>
      <c r="M76" s="676">
        <v>84</v>
      </c>
      <c r="N76" s="676">
        <v>74</v>
      </c>
      <c r="O76" s="676">
        <v>6216</v>
      </c>
      <c r="P76" s="697">
        <v>1.574468085106383</v>
      </c>
      <c r="Q76" s="677">
        <v>84</v>
      </c>
    </row>
    <row r="77" spans="1:17" ht="14.4" customHeight="1" x14ac:dyDescent="0.3">
      <c r="A77" s="672" t="s">
        <v>2771</v>
      </c>
      <c r="B77" s="673" t="s">
        <v>2772</v>
      </c>
      <c r="C77" s="673" t="s">
        <v>2102</v>
      </c>
      <c r="D77" s="673" t="s">
        <v>2871</v>
      </c>
      <c r="E77" s="673" t="s">
        <v>2872</v>
      </c>
      <c r="F77" s="676">
        <v>5</v>
      </c>
      <c r="G77" s="676">
        <v>875</v>
      </c>
      <c r="H77" s="676">
        <v>0.71022727272727271</v>
      </c>
      <c r="I77" s="676">
        <v>175</v>
      </c>
      <c r="J77" s="676">
        <v>7</v>
      </c>
      <c r="K77" s="676">
        <v>1232</v>
      </c>
      <c r="L77" s="676">
        <v>1</v>
      </c>
      <c r="M77" s="676">
        <v>176</v>
      </c>
      <c r="N77" s="676">
        <v>6</v>
      </c>
      <c r="O77" s="676">
        <v>1056</v>
      </c>
      <c r="P77" s="697">
        <v>0.8571428571428571</v>
      </c>
      <c r="Q77" s="677">
        <v>176</v>
      </c>
    </row>
    <row r="78" spans="1:17" ht="14.4" customHeight="1" x14ac:dyDescent="0.3">
      <c r="A78" s="672" t="s">
        <v>2771</v>
      </c>
      <c r="B78" s="673" t="s">
        <v>2772</v>
      </c>
      <c r="C78" s="673" t="s">
        <v>2102</v>
      </c>
      <c r="D78" s="673" t="s">
        <v>2873</v>
      </c>
      <c r="E78" s="673" t="s">
        <v>2874</v>
      </c>
      <c r="F78" s="676">
        <v>2</v>
      </c>
      <c r="G78" s="676">
        <v>504</v>
      </c>
      <c r="H78" s="676"/>
      <c r="I78" s="676">
        <v>252</v>
      </c>
      <c r="J78" s="676"/>
      <c r="K78" s="676"/>
      <c r="L78" s="676"/>
      <c r="M78" s="676"/>
      <c r="N78" s="676"/>
      <c r="O78" s="676"/>
      <c r="P78" s="697"/>
      <c r="Q78" s="677"/>
    </row>
    <row r="79" spans="1:17" ht="14.4" customHeight="1" x14ac:dyDescent="0.3">
      <c r="A79" s="672" t="s">
        <v>2771</v>
      </c>
      <c r="B79" s="673" t="s">
        <v>2772</v>
      </c>
      <c r="C79" s="673" t="s">
        <v>2102</v>
      </c>
      <c r="D79" s="673" t="s">
        <v>2875</v>
      </c>
      <c r="E79" s="673" t="s">
        <v>2876</v>
      </c>
      <c r="F79" s="676">
        <v>55</v>
      </c>
      <c r="G79" s="676">
        <v>825</v>
      </c>
      <c r="H79" s="676">
        <v>1.0185185185185186</v>
      </c>
      <c r="I79" s="676">
        <v>15</v>
      </c>
      <c r="J79" s="676">
        <v>54</v>
      </c>
      <c r="K79" s="676">
        <v>810</v>
      </c>
      <c r="L79" s="676">
        <v>1</v>
      </c>
      <c r="M79" s="676">
        <v>15</v>
      </c>
      <c r="N79" s="676">
        <v>60</v>
      </c>
      <c r="O79" s="676">
        <v>900</v>
      </c>
      <c r="P79" s="697">
        <v>1.1111111111111112</v>
      </c>
      <c r="Q79" s="677">
        <v>15</v>
      </c>
    </row>
    <row r="80" spans="1:17" ht="14.4" customHeight="1" x14ac:dyDescent="0.3">
      <c r="A80" s="672" t="s">
        <v>2771</v>
      </c>
      <c r="B80" s="673" t="s">
        <v>2772</v>
      </c>
      <c r="C80" s="673" t="s">
        <v>2102</v>
      </c>
      <c r="D80" s="673" t="s">
        <v>2877</v>
      </c>
      <c r="E80" s="673" t="s">
        <v>2878</v>
      </c>
      <c r="F80" s="676">
        <v>42</v>
      </c>
      <c r="G80" s="676">
        <v>966</v>
      </c>
      <c r="H80" s="676">
        <v>2.1</v>
      </c>
      <c r="I80" s="676">
        <v>23</v>
      </c>
      <c r="J80" s="676">
        <v>20</v>
      </c>
      <c r="K80" s="676">
        <v>460</v>
      </c>
      <c r="L80" s="676">
        <v>1</v>
      </c>
      <c r="M80" s="676">
        <v>23</v>
      </c>
      <c r="N80" s="676">
        <v>56</v>
      </c>
      <c r="O80" s="676">
        <v>1288</v>
      </c>
      <c r="P80" s="697">
        <v>2.8</v>
      </c>
      <c r="Q80" s="677">
        <v>23</v>
      </c>
    </row>
    <row r="81" spans="1:17" ht="14.4" customHeight="1" x14ac:dyDescent="0.3">
      <c r="A81" s="672" t="s">
        <v>2771</v>
      </c>
      <c r="B81" s="673" t="s">
        <v>2772</v>
      </c>
      <c r="C81" s="673" t="s">
        <v>2102</v>
      </c>
      <c r="D81" s="673" t="s">
        <v>2879</v>
      </c>
      <c r="E81" s="673" t="s">
        <v>2880</v>
      </c>
      <c r="F81" s="676">
        <v>2</v>
      </c>
      <c r="G81" s="676">
        <v>502</v>
      </c>
      <c r="H81" s="676"/>
      <c r="I81" s="676">
        <v>251</v>
      </c>
      <c r="J81" s="676"/>
      <c r="K81" s="676"/>
      <c r="L81" s="676"/>
      <c r="M81" s="676"/>
      <c r="N81" s="676"/>
      <c r="O81" s="676"/>
      <c r="P81" s="697"/>
      <c r="Q81" s="677"/>
    </row>
    <row r="82" spans="1:17" ht="14.4" customHeight="1" x14ac:dyDescent="0.3">
      <c r="A82" s="672" t="s">
        <v>2771</v>
      </c>
      <c r="B82" s="673" t="s">
        <v>2772</v>
      </c>
      <c r="C82" s="673" t="s">
        <v>2102</v>
      </c>
      <c r="D82" s="673" t="s">
        <v>2881</v>
      </c>
      <c r="E82" s="673" t="s">
        <v>2882</v>
      </c>
      <c r="F82" s="676">
        <v>44</v>
      </c>
      <c r="G82" s="676">
        <v>1628</v>
      </c>
      <c r="H82" s="676">
        <v>0.4631578947368421</v>
      </c>
      <c r="I82" s="676">
        <v>37</v>
      </c>
      <c r="J82" s="676">
        <v>95</v>
      </c>
      <c r="K82" s="676">
        <v>3515</v>
      </c>
      <c r="L82" s="676">
        <v>1</v>
      </c>
      <c r="M82" s="676">
        <v>37</v>
      </c>
      <c r="N82" s="676">
        <v>151</v>
      </c>
      <c r="O82" s="676">
        <v>5587</v>
      </c>
      <c r="P82" s="697">
        <v>1.5894736842105264</v>
      </c>
      <c r="Q82" s="677">
        <v>37</v>
      </c>
    </row>
    <row r="83" spans="1:17" ht="14.4" customHeight="1" x14ac:dyDescent="0.3">
      <c r="A83" s="672" t="s">
        <v>2771</v>
      </c>
      <c r="B83" s="673" t="s">
        <v>2772</v>
      </c>
      <c r="C83" s="673" t="s">
        <v>2102</v>
      </c>
      <c r="D83" s="673" t="s">
        <v>2883</v>
      </c>
      <c r="E83" s="673" t="s">
        <v>2884</v>
      </c>
      <c r="F83" s="676">
        <v>869</v>
      </c>
      <c r="G83" s="676">
        <v>19987</v>
      </c>
      <c r="H83" s="676">
        <v>0.78217821782178221</v>
      </c>
      <c r="I83" s="676">
        <v>23</v>
      </c>
      <c r="J83" s="676">
        <v>1111</v>
      </c>
      <c r="K83" s="676">
        <v>25553</v>
      </c>
      <c r="L83" s="676">
        <v>1</v>
      </c>
      <c r="M83" s="676">
        <v>23</v>
      </c>
      <c r="N83" s="676">
        <v>1763</v>
      </c>
      <c r="O83" s="676">
        <v>40549</v>
      </c>
      <c r="P83" s="697">
        <v>1.5868586858685869</v>
      </c>
      <c r="Q83" s="677">
        <v>23</v>
      </c>
    </row>
    <row r="84" spans="1:17" ht="14.4" customHeight="1" x14ac:dyDescent="0.3">
      <c r="A84" s="672" t="s">
        <v>2771</v>
      </c>
      <c r="B84" s="673" t="s">
        <v>2772</v>
      </c>
      <c r="C84" s="673" t="s">
        <v>2102</v>
      </c>
      <c r="D84" s="673" t="s">
        <v>2885</v>
      </c>
      <c r="E84" s="673" t="s">
        <v>2886</v>
      </c>
      <c r="F84" s="676"/>
      <c r="G84" s="676"/>
      <c r="H84" s="676"/>
      <c r="I84" s="676"/>
      <c r="J84" s="676"/>
      <c r="K84" s="676"/>
      <c r="L84" s="676"/>
      <c r="M84" s="676"/>
      <c r="N84" s="676">
        <v>1</v>
      </c>
      <c r="O84" s="676">
        <v>171</v>
      </c>
      <c r="P84" s="697"/>
      <c r="Q84" s="677">
        <v>171</v>
      </c>
    </row>
    <row r="85" spans="1:17" ht="14.4" customHeight="1" x14ac:dyDescent="0.3">
      <c r="A85" s="672" t="s">
        <v>2771</v>
      </c>
      <c r="B85" s="673" t="s">
        <v>2772</v>
      </c>
      <c r="C85" s="673" t="s">
        <v>2102</v>
      </c>
      <c r="D85" s="673" t="s">
        <v>2887</v>
      </c>
      <c r="E85" s="673" t="s">
        <v>2888</v>
      </c>
      <c r="F85" s="676">
        <v>1</v>
      </c>
      <c r="G85" s="676">
        <v>331</v>
      </c>
      <c r="H85" s="676"/>
      <c r="I85" s="676">
        <v>331</v>
      </c>
      <c r="J85" s="676"/>
      <c r="K85" s="676"/>
      <c r="L85" s="676"/>
      <c r="M85" s="676"/>
      <c r="N85" s="676">
        <v>1</v>
      </c>
      <c r="O85" s="676">
        <v>331</v>
      </c>
      <c r="P85" s="697"/>
      <c r="Q85" s="677">
        <v>331</v>
      </c>
    </row>
    <row r="86" spans="1:17" ht="14.4" customHeight="1" x14ac:dyDescent="0.3">
      <c r="A86" s="672" t="s">
        <v>2771</v>
      </c>
      <c r="B86" s="673" t="s">
        <v>2772</v>
      </c>
      <c r="C86" s="673" t="s">
        <v>2102</v>
      </c>
      <c r="D86" s="673" t="s">
        <v>2889</v>
      </c>
      <c r="E86" s="673" t="s">
        <v>2890</v>
      </c>
      <c r="F86" s="676">
        <v>54</v>
      </c>
      <c r="G86" s="676">
        <v>1566</v>
      </c>
      <c r="H86" s="676">
        <v>1.5</v>
      </c>
      <c r="I86" s="676">
        <v>29</v>
      </c>
      <c r="J86" s="676">
        <v>36</v>
      </c>
      <c r="K86" s="676">
        <v>1044</v>
      </c>
      <c r="L86" s="676">
        <v>1</v>
      </c>
      <c r="M86" s="676">
        <v>29</v>
      </c>
      <c r="N86" s="676">
        <v>56</v>
      </c>
      <c r="O86" s="676">
        <v>1624</v>
      </c>
      <c r="P86" s="697">
        <v>1.5555555555555556</v>
      </c>
      <c r="Q86" s="677">
        <v>29</v>
      </c>
    </row>
    <row r="87" spans="1:17" ht="14.4" customHeight="1" x14ac:dyDescent="0.3">
      <c r="A87" s="672" t="s">
        <v>2771</v>
      </c>
      <c r="B87" s="673" t="s">
        <v>2772</v>
      </c>
      <c r="C87" s="673" t="s">
        <v>2102</v>
      </c>
      <c r="D87" s="673" t="s">
        <v>2891</v>
      </c>
      <c r="E87" s="673" t="s">
        <v>2892</v>
      </c>
      <c r="F87" s="676">
        <v>187</v>
      </c>
      <c r="G87" s="676">
        <v>33099</v>
      </c>
      <c r="H87" s="676">
        <v>0.95850225877447004</v>
      </c>
      <c r="I87" s="676">
        <v>177</v>
      </c>
      <c r="J87" s="676">
        <v>194</v>
      </c>
      <c r="K87" s="676">
        <v>34532</v>
      </c>
      <c r="L87" s="676">
        <v>1</v>
      </c>
      <c r="M87" s="676">
        <v>178</v>
      </c>
      <c r="N87" s="676">
        <v>238</v>
      </c>
      <c r="O87" s="676">
        <v>42364</v>
      </c>
      <c r="P87" s="697">
        <v>1.2268041237113403</v>
      </c>
      <c r="Q87" s="677">
        <v>178</v>
      </c>
    </row>
    <row r="88" spans="1:17" ht="14.4" customHeight="1" x14ac:dyDescent="0.3">
      <c r="A88" s="672" t="s">
        <v>2771</v>
      </c>
      <c r="B88" s="673" t="s">
        <v>2772</v>
      </c>
      <c r="C88" s="673" t="s">
        <v>2102</v>
      </c>
      <c r="D88" s="673" t="s">
        <v>2893</v>
      </c>
      <c r="E88" s="673" t="s">
        <v>2894</v>
      </c>
      <c r="F88" s="676">
        <v>1</v>
      </c>
      <c r="G88" s="676">
        <v>15</v>
      </c>
      <c r="H88" s="676"/>
      <c r="I88" s="676">
        <v>15</v>
      </c>
      <c r="J88" s="676"/>
      <c r="K88" s="676"/>
      <c r="L88" s="676"/>
      <c r="M88" s="676"/>
      <c r="N88" s="676"/>
      <c r="O88" s="676"/>
      <c r="P88" s="697"/>
      <c r="Q88" s="677"/>
    </row>
    <row r="89" spans="1:17" ht="14.4" customHeight="1" x14ac:dyDescent="0.3">
      <c r="A89" s="672" t="s">
        <v>2771</v>
      </c>
      <c r="B89" s="673" t="s">
        <v>2772</v>
      </c>
      <c r="C89" s="673" t="s">
        <v>2102</v>
      </c>
      <c r="D89" s="673" t="s">
        <v>2895</v>
      </c>
      <c r="E89" s="673" t="s">
        <v>2896</v>
      </c>
      <c r="F89" s="676">
        <v>95</v>
      </c>
      <c r="G89" s="676">
        <v>1805</v>
      </c>
      <c r="H89" s="676">
        <v>1.8269230769230769</v>
      </c>
      <c r="I89" s="676">
        <v>19</v>
      </c>
      <c r="J89" s="676">
        <v>52</v>
      </c>
      <c r="K89" s="676">
        <v>988</v>
      </c>
      <c r="L89" s="676">
        <v>1</v>
      </c>
      <c r="M89" s="676">
        <v>19</v>
      </c>
      <c r="N89" s="676">
        <v>66</v>
      </c>
      <c r="O89" s="676">
        <v>1254</v>
      </c>
      <c r="P89" s="697">
        <v>1.2692307692307692</v>
      </c>
      <c r="Q89" s="677">
        <v>19</v>
      </c>
    </row>
    <row r="90" spans="1:17" ht="14.4" customHeight="1" x14ac:dyDescent="0.3">
      <c r="A90" s="672" t="s">
        <v>2771</v>
      </c>
      <c r="B90" s="673" t="s">
        <v>2772</v>
      </c>
      <c r="C90" s="673" t="s">
        <v>2102</v>
      </c>
      <c r="D90" s="673" t="s">
        <v>2897</v>
      </c>
      <c r="E90" s="673" t="s">
        <v>2898</v>
      </c>
      <c r="F90" s="676">
        <v>263</v>
      </c>
      <c r="G90" s="676">
        <v>5260</v>
      </c>
      <c r="H90" s="676">
        <v>0.91637630662020908</v>
      </c>
      <c r="I90" s="676">
        <v>20</v>
      </c>
      <c r="J90" s="676">
        <v>287</v>
      </c>
      <c r="K90" s="676">
        <v>5740</v>
      </c>
      <c r="L90" s="676">
        <v>1</v>
      </c>
      <c r="M90" s="676">
        <v>20</v>
      </c>
      <c r="N90" s="676">
        <v>387</v>
      </c>
      <c r="O90" s="676">
        <v>7740</v>
      </c>
      <c r="P90" s="697">
        <v>1.3484320557491289</v>
      </c>
      <c r="Q90" s="677">
        <v>20</v>
      </c>
    </row>
    <row r="91" spans="1:17" ht="14.4" customHeight="1" x14ac:dyDescent="0.3">
      <c r="A91" s="672" t="s">
        <v>2771</v>
      </c>
      <c r="B91" s="673" t="s">
        <v>2772</v>
      </c>
      <c r="C91" s="673" t="s">
        <v>2102</v>
      </c>
      <c r="D91" s="673" t="s">
        <v>2899</v>
      </c>
      <c r="E91" s="673" t="s">
        <v>2900</v>
      </c>
      <c r="F91" s="676">
        <v>1</v>
      </c>
      <c r="G91" s="676">
        <v>187</v>
      </c>
      <c r="H91" s="676"/>
      <c r="I91" s="676">
        <v>187</v>
      </c>
      <c r="J91" s="676"/>
      <c r="K91" s="676"/>
      <c r="L91" s="676"/>
      <c r="M91" s="676"/>
      <c r="N91" s="676"/>
      <c r="O91" s="676"/>
      <c r="P91" s="697"/>
      <c r="Q91" s="677"/>
    </row>
    <row r="92" spans="1:17" ht="14.4" customHeight="1" x14ac:dyDescent="0.3">
      <c r="A92" s="672" t="s">
        <v>2771</v>
      </c>
      <c r="B92" s="673" t="s">
        <v>2772</v>
      </c>
      <c r="C92" s="673" t="s">
        <v>2102</v>
      </c>
      <c r="D92" s="673" t="s">
        <v>2901</v>
      </c>
      <c r="E92" s="673" t="s">
        <v>2902</v>
      </c>
      <c r="F92" s="676"/>
      <c r="G92" s="676"/>
      <c r="H92" s="676"/>
      <c r="I92" s="676"/>
      <c r="J92" s="676"/>
      <c r="K92" s="676"/>
      <c r="L92" s="676"/>
      <c r="M92" s="676"/>
      <c r="N92" s="676">
        <v>1</v>
      </c>
      <c r="O92" s="676">
        <v>174</v>
      </c>
      <c r="P92" s="697"/>
      <c r="Q92" s="677">
        <v>174</v>
      </c>
    </row>
    <row r="93" spans="1:17" ht="14.4" customHeight="1" x14ac:dyDescent="0.3">
      <c r="A93" s="672" t="s">
        <v>2771</v>
      </c>
      <c r="B93" s="673" t="s">
        <v>2772</v>
      </c>
      <c r="C93" s="673" t="s">
        <v>2102</v>
      </c>
      <c r="D93" s="673" t="s">
        <v>2903</v>
      </c>
      <c r="E93" s="673" t="s">
        <v>2904</v>
      </c>
      <c r="F93" s="676">
        <v>19</v>
      </c>
      <c r="G93" s="676">
        <v>1596</v>
      </c>
      <c r="H93" s="676">
        <v>0.39583333333333331</v>
      </c>
      <c r="I93" s="676">
        <v>84</v>
      </c>
      <c r="J93" s="676">
        <v>48</v>
      </c>
      <c r="K93" s="676">
        <v>4032</v>
      </c>
      <c r="L93" s="676">
        <v>1</v>
      </c>
      <c r="M93" s="676">
        <v>84</v>
      </c>
      <c r="N93" s="676">
        <v>87</v>
      </c>
      <c r="O93" s="676">
        <v>7308</v>
      </c>
      <c r="P93" s="697">
        <v>1.8125</v>
      </c>
      <c r="Q93" s="677">
        <v>84</v>
      </c>
    </row>
    <row r="94" spans="1:17" ht="14.4" customHeight="1" x14ac:dyDescent="0.3">
      <c r="A94" s="672" t="s">
        <v>2771</v>
      </c>
      <c r="B94" s="673" t="s">
        <v>2772</v>
      </c>
      <c r="C94" s="673" t="s">
        <v>2102</v>
      </c>
      <c r="D94" s="673" t="s">
        <v>2905</v>
      </c>
      <c r="E94" s="673" t="s">
        <v>2906</v>
      </c>
      <c r="F94" s="676">
        <v>1</v>
      </c>
      <c r="G94" s="676">
        <v>78</v>
      </c>
      <c r="H94" s="676"/>
      <c r="I94" s="676">
        <v>78</v>
      </c>
      <c r="J94" s="676"/>
      <c r="K94" s="676"/>
      <c r="L94" s="676"/>
      <c r="M94" s="676"/>
      <c r="N94" s="676"/>
      <c r="O94" s="676"/>
      <c r="P94" s="697"/>
      <c r="Q94" s="677"/>
    </row>
    <row r="95" spans="1:17" ht="14.4" customHeight="1" x14ac:dyDescent="0.3">
      <c r="A95" s="672" t="s">
        <v>2771</v>
      </c>
      <c r="B95" s="673" t="s">
        <v>2772</v>
      </c>
      <c r="C95" s="673" t="s">
        <v>2102</v>
      </c>
      <c r="D95" s="673" t="s">
        <v>2907</v>
      </c>
      <c r="E95" s="673" t="s">
        <v>2908</v>
      </c>
      <c r="F95" s="676">
        <v>3</v>
      </c>
      <c r="G95" s="676">
        <v>900</v>
      </c>
      <c r="H95" s="676"/>
      <c r="I95" s="676">
        <v>300</v>
      </c>
      <c r="J95" s="676"/>
      <c r="K95" s="676"/>
      <c r="L95" s="676"/>
      <c r="M95" s="676"/>
      <c r="N95" s="676">
        <v>2</v>
      </c>
      <c r="O95" s="676">
        <v>602</v>
      </c>
      <c r="P95" s="697"/>
      <c r="Q95" s="677">
        <v>301</v>
      </c>
    </row>
    <row r="96" spans="1:17" ht="14.4" customHeight="1" x14ac:dyDescent="0.3">
      <c r="A96" s="672" t="s">
        <v>2771</v>
      </c>
      <c r="B96" s="673" t="s">
        <v>2772</v>
      </c>
      <c r="C96" s="673" t="s">
        <v>2102</v>
      </c>
      <c r="D96" s="673" t="s">
        <v>2909</v>
      </c>
      <c r="E96" s="673" t="s">
        <v>2910</v>
      </c>
      <c r="F96" s="676">
        <v>1</v>
      </c>
      <c r="G96" s="676">
        <v>21</v>
      </c>
      <c r="H96" s="676">
        <v>1</v>
      </c>
      <c r="I96" s="676">
        <v>21</v>
      </c>
      <c r="J96" s="676">
        <v>1</v>
      </c>
      <c r="K96" s="676">
        <v>21</v>
      </c>
      <c r="L96" s="676">
        <v>1</v>
      </c>
      <c r="M96" s="676">
        <v>21</v>
      </c>
      <c r="N96" s="676">
        <v>1</v>
      </c>
      <c r="O96" s="676">
        <v>21</v>
      </c>
      <c r="P96" s="697">
        <v>1</v>
      </c>
      <c r="Q96" s="677">
        <v>21</v>
      </c>
    </row>
    <row r="97" spans="1:17" ht="14.4" customHeight="1" x14ac:dyDescent="0.3">
      <c r="A97" s="672" t="s">
        <v>2771</v>
      </c>
      <c r="B97" s="673" t="s">
        <v>2772</v>
      </c>
      <c r="C97" s="673" t="s">
        <v>2102</v>
      </c>
      <c r="D97" s="673" t="s">
        <v>2911</v>
      </c>
      <c r="E97" s="673" t="s">
        <v>2912</v>
      </c>
      <c r="F97" s="676">
        <v>41</v>
      </c>
      <c r="G97" s="676">
        <v>902</v>
      </c>
      <c r="H97" s="676">
        <v>2.4117647058823528</v>
      </c>
      <c r="I97" s="676">
        <v>22</v>
      </c>
      <c r="J97" s="676">
        <v>17</v>
      </c>
      <c r="K97" s="676">
        <v>374</v>
      </c>
      <c r="L97" s="676">
        <v>1</v>
      </c>
      <c r="M97" s="676">
        <v>22</v>
      </c>
      <c r="N97" s="676">
        <v>41</v>
      </c>
      <c r="O97" s="676">
        <v>902</v>
      </c>
      <c r="P97" s="697">
        <v>2.4117647058823528</v>
      </c>
      <c r="Q97" s="677">
        <v>22</v>
      </c>
    </row>
    <row r="98" spans="1:17" ht="14.4" customHeight="1" x14ac:dyDescent="0.3">
      <c r="A98" s="672" t="s">
        <v>2771</v>
      </c>
      <c r="B98" s="673" t="s">
        <v>2772</v>
      </c>
      <c r="C98" s="673" t="s">
        <v>2102</v>
      </c>
      <c r="D98" s="673" t="s">
        <v>2913</v>
      </c>
      <c r="E98" s="673" t="s">
        <v>2914</v>
      </c>
      <c r="F98" s="676">
        <v>1</v>
      </c>
      <c r="G98" s="676">
        <v>495</v>
      </c>
      <c r="H98" s="676"/>
      <c r="I98" s="676">
        <v>495</v>
      </c>
      <c r="J98" s="676"/>
      <c r="K98" s="676"/>
      <c r="L98" s="676"/>
      <c r="M98" s="676"/>
      <c r="N98" s="676">
        <v>2</v>
      </c>
      <c r="O98" s="676">
        <v>990</v>
      </c>
      <c r="P98" s="697"/>
      <c r="Q98" s="677">
        <v>495</v>
      </c>
    </row>
    <row r="99" spans="1:17" ht="14.4" customHeight="1" x14ac:dyDescent="0.3">
      <c r="A99" s="672" t="s">
        <v>2771</v>
      </c>
      <c r="B99" s="673" t="s">
        <v>2772</v>
      </c>
      <c r="C99" s="673" t="s">
        <v>2102</v>
      </c>
      <c r="D99" s="673" t="s">
        <v>2915</v>
      </c>
      <c r="E99" s="673" t="s">
        <v>2916</v>
      </c>
      <c r="F99" s="676"/>
      <c r="G99" s="676"/>
      <c r="H99" s="676"/>
      <c r="I99" s="676"/>
      <c r="J99" s="676">
        <v>3</v>
      </c>
      <c r="K99" s="676">
        <v>504</v>
      </c>
      <c r="L99" s="676">
        <v>1</v>
      </c>
      <c r="M99" s="676">
        <v>168</v>
      </c>
      <c r="N99" s="676"/>
      <c r="O99" s="676"/>
      <c r="P99" s="697"/>
      <c r="Q99" s="677"/>
    </row>
    <row r="100" spans="1:17" ht="14.4" customHeight="1" x14ac:dyDescent="0.3">
      <c r="A100" s="672" t="s">
        <v>2771</v>
      </c>
      <c r="B100" s="673" t="s">
        <v>2772</v>
      </c>
      <c r="C100" s="673" t="s">
        <v>2102</v>
      </c>
      <c r="D100" s="673" t="s">
        <v>2917</v>
      </c>
      <c r="E100" s="673" t="s">
        <v>2918</v>
      </c>
      <c r="F100" s="676"/>
      <c r="G100" s="676"/>
      <c r="H100" s="676"/>
      <c r="I100" s="676"/>
      <c r="J100" s="676"/>
      <c r="K100" s="676"/>
      <c r="L100" s="676"/>
      <c r="M100" s="676"/>
      <c r="N100" s="676">
        <v>1</v>
      </c>
      <c r="O100" s="676">
        <v>127</v>
      </c>
      <c r="P100" s="697"/>
      <c r="Q100" s="677">
        <v>127</v>
      </c>
    </row>
    <row r="101" spans="1:17" ht="14.4" customHeight="1" x14ac:dyDescent="0.3">
      <c r="A101" s="672" t="s">
        <v>2771</v>
      </c>
      <c r="B101" s="673" t="s">
        <v>2772</v>
      </c>
      <c r="C101" s="673" t="s">
        <v>2102</v>
      </c>
      <c r="D101" s="673" t="s">
        <v>2919</v>
      </c>
      <c r="E101" s="673" t="s">
        <v>2920</v>
      </c>
      <c r="F101" s="676">
        <v>1</v>
      </c>
      <c r="G101" s="676">
        <v>310</v>
      </c>
      <c r="H101" s="676"/>
      <c r="I101" s="676">
        <v>310</v>
      </c>
      <c r="J101" s="676"/>
      <c r="K101" s="676"/>
      <c r="L101" s="676"/>
      <c r="M101" s="676"/>
      <c r="N101" s="676"/>
      <c r="O101" s="676"/>
      <c r="P101" s="697"/>
      <c r="Q101" s="677"/>
    </row>
    <row r="102" spans="1:17" ht="14.4" customHeight="1" x14ac:dyDescent="0.3">
      <c r="A102" s="672" t="s">
        <v>2771</v>
      </c>
      <c r="B102" s="673" t="s">
        <v>2772</v>
      </c>
      <c r="C102" s="673" t="s">
        <v>2102</v>
      </c>
      <c r="D102" s="673" t="s">
        <v>2921</v>
      </c>
      <c r="E102" s="673" t="s">
        <v>2922</v>
      </c>
      <c r="F102" s="676">
        <v>2</v>
      </c>
      <c r="G102" s="676">
        <v>46</v>
      </c>
      <c r="H102" s="676">
        <v>1</v>
      </c>
      <c r="I102" s="676">
        <v>23</v>
      </c>
      <c r="J102" s="676">
        <v>2</v>
      </c>
      <c r="K102" s="676">
        <v>46</v>
      </c>
      <c r="L102" s="676">
        <v>1</v>
      </c>
      <c r="M102" s="676">
        <v>23</v>
      </c>
      <c r="N102" s="676">
        <v>1</v>
      </c>
      <c r="O102" s="676">
        <v>23</v>
      </c>
      <c r="P102" s="697">
        <v>0.5</v>
      </c>
      <c r="Q102" s="677">
        <v>23</v>
      </c>
    </row>
    <row r="103" spans="1:17" ht="14.4" customHeight="1" x14ac:dyDescent="0.3">
      <c r="A103" s="672" t="s">
        <v>2771</v>
      </c>
      <c r="B103" s="673" t="s">
        <v>2772</v>
      </c>
      <c r="C103" s="673" t="s">
        <v>2102</v>
      </c>
      <c r="D103" s="673" t="s">
        <v>2923</v>
      </c>
      <c r="E103" s="673" t="s">
        <v>2924</v>
      </c>
      <c r="F103" s="676">
        <v>3</v>
      </c>
      <c r="G103" s="676">
        <v>396</v>
      </c>
      <c r="H103" s="676">
        <v>2.9774436090225564</v>
      </c>
      <c r="I103" s="676">
        <v>132</v>
      </c>
      <c r="J103" s="676">
        <v>1</v>
      </c>
      <c r="K103" s="676">
        <v>133</v>
      </c>
      <c r="L103" s="676">
        <v>1</v>
      </c>
      <c r="M103" s="676">
        <v>133</v>
      </c>
      <c r="N103" s="676"/>
      <c r="O103" s="676"/>
      <c r="P103" s="697"/>
      <c r="Q103" s="677"/>
    </row>
    <row r="104" spans="1:17" ht="14.4" customHeight="1" x14ac:dyDescent="0.3">
      <c r="A104" s="672" t="s">
        <v>2771</v>
      </c>
      <c r="B104" s="673" t="s">
        <v>2772</v>
      </c>
      <c r="C104" s="673" t="s">
        <v>2102</v>
      </c>
      <c r="D104" s="673" t="s">
        <v>2925</v>
      </c>
      <c r="E104" s="673" t="s">
        <v>2926</v>
      </c>
      <c r="F104" s="676">
        <v>17</v>
      </c>
      <c r="G104" s="676">
        <v>4981</v>
      </c>
      <c r="H104" s="676">
        <v>0.51339929911358484</v>
      </c>
      <c r="I104" s="676">
        <v>293</v>
      </c>
      <c r="J104" s="676">
        <v>33</v>
      </c>
      <c r="K104" s="676">
        <v>9702</v>
      </c>
      <c r="L104" s="676">
        <v>1</v>
      </c>
      <c r="M104" s="676">
        <v>294</v>
      </c>
      <c r="N104" s="676">
        <v>36</v>
      </c>
      <c r="O104" s="676">
        <v>10584</v>
      </c>
      <c r="P104" s="697">
        <v>1.0909090909090908</v>
      </c>
      <c r="Q104" s="677">
        <v>294</v>
      </c>
    </row>
    <row r="105" spans="1:17" ht="14.4" customHeight="1" x14ac:dyDescent="0.3">
      <c r="A105" s="672" t="s">
        <v>2771</v>
      </c>
      <c r="B105" s="673" t="s">
        <v>2772</v>
      </c>
      <c r="C105" s="673" t="s">
        <v>2102</v>
      </c>
      <c r="D105" s="673" t="s">
        <v>2927</v>
      </c>
      <c r="E105" s="673" t="s">
        <v>2928</v>
      </c>
      <c r="F105" s="676">
        <v>1</v>
      </c>
      <c r="G105" s="676">
        <v>45</v>
      </c>
      <c r="H105" s="676"/>
      <c r="I105" s="676">
        <v>45</v>
      </c>
      <c r="J105" s="676"/>
      <c r="K105" s="676"/>
      <c r="L105" s="676"/>
      <c r="M105" s="676"/>
      <c r="N105" s="676"/>
      <c r="O105" s="676"/>
      <c r="P105" s="697"/>
      <c r="Q105" s="677"/>
    </row>
    <row r="106" spans="1:17" ht="14.4" customHeight="1" x14ac:dyDescent="0.3">
      <c r="A106" s="672" t="s">
        <v>2771</v>
      </c>
      <c r="B106" s="673" t="s">
        <v>2772</v>
      </c>
      <c r="C106" s="673" t="s">
        <v>2102</v>
      </c>
      <c r="D106" s="673" t="s">
        <v>2929</v>
      </c>
      <c r="E106" s="673" t="s">
        <v>2930</v>
      </c>
      <c r="F106" s="676"/>
      <c r="G106" s="676"/>
      <c r="H106" s="676"/>
      <c r="I106" s="676"/>
      <c r="J106" s="676"/>
      <c r="K106" s="676"/>
      <c r="L106" s="676"/>
      <c r="M106" s="676"/>
      <c r="N106" s="676">
        <v>3</v>
      </c>
      <c r="O106" s="676">
        <v>1584</v>
      </c>
      <c r="P106" s="697"/>
      <c r="Q106" s="677">
        <v>528</v>
      </c>
    </row>
    <row r="107" spans="1:17" ht="14.4" customHeight="1" x14ac:dyDescent="0.3">
      <c r="A107" s="672" t="s">
        <v>2771</v>
      </c>
      <c r="B107" s="673" t="s">
        <v>2772</v>
      </c>
      <c r="C107" s="673" t="s">
        <v>2102</v>
      </c>
      <c r="D107" s="673" t="s">
        <v>2931</v>
      </c>
      <c r="E107" s="673" t="s">
        <v>2932</v>
      </c>
      <c r="F107" s="676">
        <v>4</v>
      </c>
      <c r="G107" s="676">
        <v>124</v>
      </c>
      <c r="H107" s="676"/>
      <c r="I107" s="676">
        <v>31</v>
      </c>
      <c r="J107" s="676"/>
      <c r="K107" s="676"/>
      <c r="L107" s="676"/>
      <c r="M107" s="676"/>
      <c r="N107" s="676">
        <v>1</v>
      </c>
      <c r="O107" s="676">
        <v>31</v>
      </c>
      <c r="P107" s="697"/>
      <c r="Q107" s="677">
        <v>31</v>
      </c>
    </row>
    <row r="108" spans="1:17" ht="14.4" customHeight="1" x14ac:dyDescent="0.3">
      <c r="A108" s="672" t="s">
        <v>2771</v>
      </c>
      <c r="B108" s="673" t="s">
        <v>2772</v>
      </c>
      <c r="C108" s="673" t="s">
        <v>2102</v>
      </c>
      <c r="D108" s="673" t="s">
        <v>2933</v>
      </c>
      <c r="E108" s="673" t="s">
        <v>2934</v>
      </c>
      <c r="F108" s="676"/>
      <c r="G108" s="676"/>
      <c r="H108" s="676"/>
      <c r="I108" s="676"/>
      <c r="J108" s="676"/>
      <c r="K108" s="676"/>
      <c r="L108" s="676"/>
      <c r="M108" s="676"/>
      <c r="N108" s="676">
        <v>1</v>
      </c>
      <c r="O108" s="676">
        <v>26</v>
      </c>
      <c r="P108" s="697"/>
      <c r="Q108" s="677">
        <v>26</v>
      </c>
    </row>
    <row r="109" spans="1:17" ht="14.4" customHeight="1" x14ac:dyDescent="0.3">
      <c r="A109" s="672" t="s">
        <v>2771</v>
      </c>
      <c r="B109" s="673" t="s">
        <v>2772</v>
      </c>
      <c r="C109" s="673" t="s">
        <v>2102</v>
      </c>
      <c r="D109" s="673" t="s">
        <v>2935</v>
      </c>
      <c r="E109" s="673" t="s">
        <v>2936</v>
      </c>
      <c r="F109" s="676"/>
      <c r="G109" s="676"/>
      <c r="H109" s="676"/>
      <c r="I109" s="676"/>
      <c r="J109" s="676"/>
      <c r="K109" s="676"/>
      <c r="L109" s="676"/>
      <c r="M109" s="676"/>
      <c r="N109" s="676">
        <v>1</v>
      </c>
      <c r="O109" s="676">
        <v>407</v>
      </c>
      <c r="P109" s="697"/>
      <c r="Q109" s="677">
        <v>407</v>
      </c>
    </row>
    <row r="110" spans="1:17" ht="14.4" customHeight="1" x14ac:dyDescent="0.3">
      <c r="A110" s="672" t="s">
        <v>2771</v>
      </c>
      <c r="B110" s="673" t="s">
        <v>2772</v>
      </c>
      <c r="C110" s="673" t="s">
        <v>2102</v>
      </c>
      <c r="D110" s="673" t="s">
        <v>2937</v>
      </c>
      <c r="E110" s="673" t="s">
        <v>2938</v>
      </c>
      <c r="F110" s="676"/>
      <c r="G110" s="676"/>
      <c r="H110" s="676"/>
      <c r="I110" s="676"/>
      <c r="J110" s="676"/>
      <c r="K110" s="676"/>
      <c r="L110" s="676"/>
      <c r="M110" s="676"/>
      <c r="N110" s="676">
        <v>1</v>
      </c>
      <c r="O110" s="676">
        <v>190</v>
      </c>
      <c r="P110" s="697"/>
      <c r="Q110" s="677">
        <v>190</v>
      </c>
    </row>
    <row r="111" spans="1:17" ht="14.4" customHeight="1" x14ac:dyDescent="0.3">
      <c r="A111" s="672" t="s">
        <v>2771</v>
      </c>
      <c r="B111" s="673" t="s">
        <v>2772</v>
      </c>
      <c r="C111" s="673" t="s">
        <v>2102</v>
      </c>
      <c r="D111" s="673" t="s">
        <v>2939</v>
      </c>
      <c r="E111" s="673" t="s">
        <v>2940</v>
      </c>
      <c r="F111" s="676"/>
      <c r="G111" s="676"/>
      <c r="H111" s="676"/>
      <c r="I111" s="676"/>
      <c r="J111" s="676">
        <v>3</v>
      </c>
      <c r="K111" s="676">
        <v>822</v>
      </c>
      <c r="L111" s="676">
        <v>1</v>
      </c>
      <c r="M111" s="676">
        <v>274</v>
      </c>
      <c r="N111" s="676">
        <v>3</v>
      </c>
      <c r="O111" s="676">
        <v>822</v>
      </c>
      <c r="P111" s="697">
        <v>1</v>
      </c>
      <c r="Q111" s="677">
        <v>274</v>
      </c>
    </row>
    <row r="112" spans="1:17" ht="14.4" customHeight="1" x14ac:dyDescent="0.3">
      <c r="A112" s="672" t="s">
        <v>2771</v>
      </c>
      <c r="B112" s="673" t="s">
        <v>2772</v>
      </c>
      <c r="C112" s="673" t="s">
        <v>2102</v>
      </c>
      <c r="D112" s="673" t="s">
        <v>2941</v>
      </c>
      <c r="E112" s="673" t="s">
        <v>2942</v>
      </c>
      <c r="F112" s="676"/>
      <c r="G112" s="676"/>
      <c r="H112" s="676"/>
      <c r="I112" s="676"/>
      <c r="J112" s="676">
        <v>4</v>
      </c>
      <c r="K112" s="676">
        <v>532</v>
      </c>
      <c r="L112" s="676">
        <v>1</v>
      </c>
      <c r="M112" s="676">
        <v>133</v>
      </c>
      <c r="N112" s="676">
        <v>3</v>
      </c>
      <c r="O112" s="676">
        <v>399</v>
      </c>
      <c r="P112" s="697">
        <v>0.75</v>
      </c>
      <c r="Q112" s="677">
        <v>133</v>
      </c>
    </row>
    <row r="113" spans="1:17" ht="14.4" customHeight="1" x14ac:dyDescent="0.3">
      <c r="A113" s="672" t="s">
        <v>2771</v>
      </c>
      <c r="B113" s="673" t="s">
        <v>2772</v>
      </c>
      <c r="C113" s="673" t="s">
        <v>2102</v>
      </c>
      <c r="D113" s="673" t="s">
        <v>2943</v>
      </c>
      <c r="E113" s="673" t="s">
        <v>2944</v>
      </c>
      <c r="F113" s="676"/>
      <c r="G113" s="676"/>
      <c r="H113" s="676"/>
      <c r="I113" s="676"/>
      <c r="J113" s="676">
        <v>80</v>
      </c>
      <c r="K113" s="676">
        <v>2960</v>
      </c>
      <c r="L113" s="676">
        <v>1</v>
      </c>
      <c r="M113" s="676">
        <v>37</v>
      </c>
      <c r="N113" s="676">
        <v>126</v>
      </c>
      <c r="O113" s="676">
        <v>4662</v>
      </c>
      <c r="P113" s="697">
        <v>1.575</v>
      </c>
      <c r="Q113" s="677">
        <v>37</v>
      </c>
    </row>
    <row r="114" spans="1:17" ht="14.4" customHeight="1" x14ac:dyDescent="0.3">
      <c r="A114" s="672" t="s">
        <v>2771</v>
      </c>
      <c r="B114" s="673" t="s">
        <v>2772</v>
      </c>
      <c r="C114" s="673" t="s">
        <v>2102</v>
      </c>
      <c r="D114" s="673" t="s">
        <v>2945</v>
      </c>
      <c r="E114" s="673" t="s">
        <v>2946</v>
      </c>
      <c r="F114" s="676"/>
      <c r="G114" s="676"/>
      <c r="H114" s="676"/>
      <c r="I114" s="676"/>
      <c r="J114" s="676"/>
      <c r="K114" s="676"/>
      <c r="L114" s="676"/>
      <c r="M114" s="676"/>
      <c r="N114" s="676">
        <v>1</v>
      </c>
      <c r="O114" s="676">
        <v>232</v>
      </c>
      <c r="P114" s="697"/>
      <c r="Q114" s="677">
        <v>232</v>
      </c>
    </row>
    <row r="115" spans="1:17" ht="14.4" customHeight="1" x14ac:dyDescent="0.3">
      <c r="A115" s="672" t="s">
        <v>2771</v>
      </c>
      <c r="B115" s="673" t="s">
        <v>2772</v>
      </c>
      <c r="C115" s="673" t="s">
        <v>2102</v>
      </c>
      <c r="D115" s="673" t="s">
        <v>2947</v>
      </c>
      <c r="E115" s="673" t="s">
        <v>2948</v>
      </c>
      <c r="F115" s="676"/>
      <c r="G115" s="676"/>
      <c r="H115" s="676"/>
      <c r="I115" s="676"/>
      <c r="J115" s="676"/>
      <c r="K115" s="676"/>
      <c r="L115" s="676"/>
      <c r="M115" s="676"/>
      <c r="N115" s="676">
        <v>1</v>
      </c>
      <c r="O115" s="676">
        <v>930</v>
      </c>
      <c r="P115" s="697"/>
      <c r="Q115" s="677">
        <v>930</v>
      </c>
    </row>
    <row r="116" spans="1:17" ht="14.4" customHeight="1" x14ac:dyDescent="0.3">
      <c r="A116" s="672" t="s">
        <v>2771</v>
      </c>
      <c r="B116" s="673" t="s">
        <v>2772</v>
      </c>
      <c r="C116" s="673" t="s">
        <v>2102</v>
      </c>
      <c r="D116" s="673" t="s">
        <v>2949</v>
      </c>
      <c r="E116" s="673" t="s">
        <v>2950</v>
      </c>
      <c r="F116" s="676"/>
      <c r="G116" s="676"/>
      <c r="H116" s="676"/>
      <c r="I116" s="676"/>
      <c r="J116" s="676"/>
      <c r="K116" s="676"/>
      <c r="L116" s="676"/>
      <c r="M116" s="676"/>
      <c r="N116" s="676">
        <v>1</v>
      </c>
      <c r="O116" s="676">
        <v>932</v>
      </c>
      <c r="P116" s="697"/>
      <c r="Q116" s="677">
        <v>932</v>
      </c>
    </row>
    <row r="117" spans="1:17" ht="14.4" customHeight="1" x14ac:dyDescent="0.3">
      <c r="A117" s="672" t="s">
        <v>2771</v>
      </c>
      <c r="B117" s="673" t="s">
        <v>2772</v>
      </c>
      <c r="C117" s="673" t="s">
        <v>2102</v>
      </c>
      <c r="D117" s="673" t="s">
        <v>2951</v>
      </c>
      <c r="E117" s="673" t="s">
        <v>2952</v>
      </c>
      <c r="F117" s="676"/>
      <c r="G117" s="676"/>
      <c r="H117" s="676"/>
      <c r="I117" s="676"/>
      <c r="J117" s="676"/>
      <c r="K117" s="676"/>
      <c r="L117" s="676"/>
      <c r="M117" s="676"/>
      <c r="N117" s="676">
        <v>19</v>
      </c>
      <c r="O117" s="676">
        <v>1767</v>
      </c>
      <c r="P117" s="697"/>
      <c r="Q117" s="677">
        <v>93</v>
      </c>
    </row>
    <row r="118" spans="1:17" ht="14.4" customHeight="1" x14ac:dyDescent="0.3">
      <c r="A118" s="672" t="s">
        <v>2771</v>
      </c>
      <c r="B118" s="673" t="s">
        <v>2953</v>
      </c>
      <c r="C118" s="673" t="s">
        <v>2102</v>
      </c>
      <c r="D118" s="673" t="s">
        <v>2954</v>
      </c>
      <c r="E118" s="673" t="s">
        <v>2955</v>
      </c>
      <c r="F118" s="676">
        <v>2</v>
      </c>
      <c r="G118" s="676">
        <v>2074</v>
      </c>
      <c r="H118" s="676">
        <v>1.9980732177263969</v>
      </c>
      <c r="I118" s="676">
        <v>1037</v>
      </c>
      <c r="J118" s="676">
        <v>1</v>
      </c>
      <c r="K118" s="676">
        <v>1038</v>
      </c>
      <c r="L118" s="676">
        <v>1</v>
      </c>
      <c r="M118" s="676">
        <v>1038</v>
      </c>
      <c r="N118" s="676">
        <v>2</v>
      </c>
      <c r="O118" s="676">
        <v>2076</v>
      </c>
      <c r="P118" s="697">
        <v>2</v>
      </c>
      <c r="Q118" s="677">
        <v>1038</v>
      </c>
    </row>
    <row r="119" spans="1:17" ht="14.4" customHeight="1" x14ac:dyDescent="0.3">
      <c r="A119" s="672" t="s">
        <v>2956</v>
      </c>
      <c r="B119" s="673" t="s">
        <v>2627</v>
      </c>
      <c r="C119" s="673" t="s">
        <v>2254</v>
      </c>
      <c r="D119" s="673" t="s">
        <v>2957</v>
      </c>
      <c r="E119" s="673" t="s">
        <v>2273</v>
      </c>
      <c r="F119" s="676">
        <v>0.14000000000000001</v>
      </c>
      <c r="G119" s="676">
        <v>692.14</v>
      </c>
      <c r="H119" s="676">
        <v>0.15555245911955337</v>
      </c>
      <c r="I119" s="676">
        <v>4943.8571428571422</v>
      </c>
      <c r="J119" s="676">
        <v>0.9</v>
      </c>
      <c r="K119" s="676">
        <v>4449.5600000000004</v>
      </c>
      <c r="L119" s="676">
        <v>1</v>
      </c>
      <c r="M119" s="676">
        <v>4943.9555555555562</v>
      </c>
      <c r="N119" s="676">
        <v>0.08</v>
      </c>
      <c r="O119" s="676">
        <v>395.51</v>
      </c>
      <c r="P119" s="697">
        <v>8.8887440555920127E-2</v>
      </c>
      <c r="Q119" s="677">
        <v>4943.875</v>
      </c>
    </row>
    <row r="120" spans="1:17" ht="14.4" customHeight="1" x14ac:dyDescent="0.3">
      <c r="A120" s="672" t="s">
        <v>2956</v>
      </c>
      <c r="B120" s="673" t="s">
        <v>2627</v>
      </c>
      <c r="C120" s="673" t="s">
        <v>2254</v>
      </c>
      <c r="D120" s="673" t="s">
        <v>2958</v>
      </c>
      <c r="E120" s="673" t="s">
        <v>2959</v>
      </c>
      <c r="F120" s="676">
        <v>2.62</v>
      </c>
      <c r="G120" s="676">
        <v>2492.4900000000002</v>
      </c>
      <c r="H120" s="676">
        <v>3.3191599861506913</v>
      </c>
      <c r="I120" s="676">
        <v>951.33206106870239</v>
      </c>
      <c r="J120" s="676">
        <v>0.75</v>
      </c>
      <c r="K120" s="676">
        <v>750.94</v>
      </c>
      <c r="L120" s="676">
        <v>1</v>
      </c>
      <c r="M120" s="676">
        <v>1001.2533333333334</v>
      </c>
      <c r="N120" s="676">
        <v>8.9</v>
      </c>
      <c r="O120" s="676">
        <v>8942.9599999999991</v>
      </c>
      <c r="P120" s="697">
        <v>11.909020694063438</v>
      </c>
      <c r="Q120" s="677">
        <v>1004.8269662921347</v>
      </c>
    </row>
    <row r="121" spans="1:17" ht="14.4" customHeight="1" x14ac:dyDescent="0.3">
      <c r="A121" s="672" t="s">
        <v>2956</v>
      </c>
      <c r="B121" s="673" t="s">
        <v>2627</v>
      </c>
      <c r="C121" s="673" t="s">
        <v>2254</v>
      </c>
      <c r="D121" s="673" t="s">
        <v>2960</v>
      </c>
      <c r="E121" s="673" t="s">
        <v>2273</v>
      </c>
      <c r="F121" s="676">
        <v>0.47</v>
      </c>
      <c r="G121" s="676">
        <v>4647.29</v>
      </c>
      <c r="H121" s="676">
        <v>0.37599950808384908</v>
      </c>
      <c r="I121" s="676">
        <v>9887.8510638297885</v>
      </c>
      <c r="J121" s="676">
        <v>1.2500000000000002</v>
      </c>
      <c r="K121" s="676">
        <v>12359.83</v>
      </c>
      <c r="L121" s="676">
        <v>1</v>
      </c>
      <c r="M121" s="676">
        <v>9887.8639999999978</v>
      </c>
      <c r="N121" s="676">
        <v>0.61</v>
      </c>
      <c r="O121" s="676">
        <v>6031.61</v>
      </c>
      <c r="P121" s="697">
        <v>0.48800104855811122</v>
      </c>
      <c r="Q121" s="677">
        <v>9887.8852459016398</v>
      </c>
    </row>
    <row r="122" spans="1:17" ht="14.4" customHeight="1" x14ac:dyDescent="0.3">
      <c r="A122" s="672" t="s">
        <v>2956</v>
      </c>
      <c r="B122" s="673" t="s">
        <v>2627</v>
      </c>
      <c r="C122" s="673" t="s">
        <v>2254</v>
      </c>
      <c r="D122" s="673" t="s">
        <v>2291</v>
      </c>
      <c r="E122" s="673" t="s">
        <v>2292</v>
      </c>
      <c r="F122" s="676">
        <v>0.84</v>
      </c>
      <c r="G122" s="676">
        <v>3718.68</v>
      </c>
      <c r="H122" s="676">
        <v>3.2307692307692308</v>
      </c>
      <c r="I122" s="676">
        <v>4427</v>
      </c>
      <c r="J122" s="676">
        <v>0.26</v>
      </c>
      <c r="K122" s="676">
        <v>1151.02</v>
      </c>
      <c r="L122" s="676">
        <v>1</v>
      </c>
      <c r="M122" s="676">
        <v>4427</v>
      </c>
      <c r="N122" s="676">
        <v>0.04</v>
      </c>
      <c r="O122" s="676">
        <v>190.99</v>
      </c>
      <c r="P122" s="697">
        <v>0.16593108720960539</v>
      </c>
      <c r="Q122" s="677">
        <v>4774.75</v>
      </c>
    </row>
    <row r="123" spans="1:17" ht="14.4" customHeight="1" x14ac:dyDescent="0.3">
      <c r="A123" s="672" t="s">
        <v>2956</v>
      </c>
      <c r="B123" s="673" t="s">
        <v>2627</v>
      </c>
      <c r="C123" s="673" t="s">
        <v>2254</v>
      </c>
      <c r="D123" s="673" t="s">
        <v>2961</v>
      </c>
      <c r="E123" s="673" t="s">
        <v>2292</v>
      </c>
      <c r="F123" s="676">
        <v>0.27</v>
      </c>
      <c r="G123" s="676">
        <v>2390.58</v>
      </c>
      <c r="H123" s="676">
        <v>1.1739130434782608</v>
      </c>
      <c r="I123" s="676">
        <v>8854</v>
      </c>
      <c r="J123" s="676">
        <v>0.22999999999999998</v>
      </c>
      <c r="K123" s="676">
        <v>2036.42</v>
      </c>
      <c r="L123" s="676">
        <v>1</v>
      </c>
      <c r="M123" s="676">
        <v>8854.0000000000018</v>
      </c>
      <c r="N123" s="676">
        <v>0.21000000000000002</v>
      </c>
      <c r="O123" s="676">
        <v>1909.98</v>
      </c>
      <c r="P123" s="697">
        <v>0.93791064711601735</v>
      </c>
      <c r="Q123" s="677">
        <v>9095.1428571428569</v>
      </c>
    </row>
    <row r="124" spans="1:17" ht="14.4" customHeight="1" x14ac:dyDescent="0.3">
      <c r="A124" s="672" t="s">
        <v>2956</v>
      </c>
      <c r="B124" s="673" t="s">
        <v>2627</v>
      </c>
      <c r="C124" s="673" t="s">
        <v>2254</v>
      </c>
      <c r="D124" s="673" t="s">
        <v>2962</v>
      </c>
      <c r="E124" s="673" t="s">
        <v>2963</v>
      </c>
      <c r="F124" s="676">
        <v>1.1000000000000001</v>
      </c>
      <c r="G124" s="676">
        <v>2144.23</v>
      </c>
      <c r="H124" s="676">
        <v>1.833333333333333</v>
      </c>
      <c r="I124" s="676">
        <v>1949.3</v>
      </c>
      <c r="J124" s="676">
        <v>0.6</v>
      </c>
      <c r="K124" s="676">
        <v>1169.5800000000002</v>
      </c>
      <c r="L124" s="676">
        <v>1</v>
      </c>
      <c r="M124" s="676">
        <v>1949.3000000000004</v>
      </c>
      <c r="N124" s="676">
        <v>0.8</v>
      </c>
      <c r="O124" s="676">
        <v>1559.44</v>
      </c>
      <c r="P124" s="697">
        <v>1.3333333333333333</v>
      </c>
      <c r="Q124" s="677">
        <v>1949.3</v>
      </c>
    </row>
    <row r="125" spans="1:17" ht="14.4" customHeight="1" x14ac:dyDescent="0.3">
      <c r="A125" s="672" t="s">
        <v>2956</v>
      </c>
      <c r="B125" s="673" t="s">
        <v>2627</v>
      </c>
      <c r="C125" s="673" t="s">
        <v>2254</v>
      </c>
      <c r="D125" s="673" t="s">
        <v>2964</v>
      </c>
      <c r="E125" s="673" t="s">
        <v>2292</v>
      </c>
      <c r="F125" s="676">
        <v>4.55</v>
      </c>
      <c r="G125" s="676">
        <v>8057.1399999999994</v>
      </c>
      <c r="H125" s="676">
        <v>0.89215686274509798</v>
      </c>
      <c r="I125" s="676">
        <v>1770.8</v>
      </c>
      <c r="J125" s="676">
        <v>5.0999999999999996</v>
      </c>
      <c r="K125" s="676">
        <v>9031.08</v>
      </c>
      <c r="L125" s="676">
        <v>1</v>
      </c>
      <c r="M125" s="676">
        <v>1770.8000000000002</v>
      </c>
      <c r="N125" s="676">
        <v>4.1199999999999992</v>
      </c>
      <c r="O125" s="676">
        <v>7494.42</v>
      </c>
      <c r="P125" s="697">
        <v>0.82984759297891286</v>
      </c>
      <c r="Q125" s="677">
        <v>1819.0339805825247</v>
      </c>
    </row>
    <row r="126" spans="1:17" ht="14.4" customHeight="1" x14ac:dyDescent="0.3">
      <c r="A126" s="672" t="s">
        <v>2956</v>
      </c>
      <c r="B126" s="673" t="s">
        <v>2627</v>
      </c>
      <c r="C126" s="673" t="s">
        <v>2254</v>
      </c>
      <c r="D126" s="673" t="s">
        <v>2965</v>
      </c>
      <c r="E126" s="673" t="s">
        <v>2966</v>
      </c>
      <c r="F126" s="676">
        <v>0.3</v>
      </c>
      <c r="G126" s="676">
        <v>155.28</v>
      </c>
      <c r="H126" s="676">
        <v>1</v>
      </c>
      <c r="I126" s="676">
        <v>517.6</v>
      </c>
      <c r="J126" s="676">
        <v>0.3</v>
      </c>
      <c r="K126" s="676">
        <v>155.28</v>
      </c>
      <c r="L126" s="676">
        <v>1</v>
      </c>
      <c r="M126" s="676">
        <v>517.6</v>
      </c>
      <c r="N126" s="676">
        <v>0.15</v>
      </c>
      <c r="O126" s="676">
        <v>77.64</v>
      </c>
      <c r="P126" s="697">
        <v>0.5</v>
      </c>
      <c r="Q126" s="677">
        <v>517.6</v>
      </c>
    </row>
    <row r="127" spans="1:17" ht="14.4" customHeight="1" x14ac:dyDescent="0.3">
      <c r="A127" s="672" t="s">
        <v>2956</v>
      </c>
      <c r="B127" s="673" t="s">
        <v>2627</v>
      </c>
      <c r="C127" s="673" t="s">
        <v>2254</v>
      </c>
      <c r="D127" s="673" t="s">
        <v>2967</v>
      </c>
      <c r="E127" s="673" t="s">
        <v>2968</v>
      </c>
      <c r="F127" s="676"/>
      <c r="G127" s="676"/>
      <c r="H127" s="676"/>
      <c r="I127" s="676"/>
      <c r="J127" s="676">
        <v>0.1</v>
      </c>
      <c r="K127" s="676">
        <v>90.38</v>
      </c>
      <c r="L127" s="676">
        <v>1</v>
      </c>
      <c r="M127" s="676">
        <v>903.8</v>
      </c>
      <c r="N127" s="676">
        <v>0.1</v>
      </c>
      <c r="O127" s="676">
        <v>90.38</v>
      </c>
      <c r="P127" s="697">
        <v>1</v>
      </c>
      <c r="Q127" s="677">
        <v>903.8</v>
      </c>
    </row>
    <row r="128" spans="1:17" ht="14.4" customHeight="1" x14ac:dyDescent="0.3">
      <c r="A128" s="672" t="s">
        <v>2956</v>
      </c>
      <c r="B128" s="673" t="s">
        <v>2627</v>
      </c>
      <c r="C128" s="673" t="s">
        <v>2254</v>
      </c>
      <c r="D128" s="673" t="s">
        <v>2969</v>
      </c>
      <c r="E128" s="673" t="s">
        <v>2292</v>
      </c>
      <c r="F128" s="676">
        <v>0.27</v>
      </c>
      <c r="G128" s="676">
        <v>8747.77</v>
      </c>
      <c r="H128" s="676">
        <v>0.97628528636445822</v>
      </c>
      <c r="I128" s="676">
        <v>32399.148148148146</v>
      </c>
      <c r="J128" s="676">
        <v>0.27</v>
      </c>
      <c r="K128" s="676">
        <v>8960.26</v>
      </c>
      <c r="L128" s="676">
        <v>1</v>
      </c>
      <c r="M128" s="676">
        <v>33186.148148148146</v>
      </c>
      <c r="N128" s="676">
        <v>0.16</v>
      </c>
      <c r="O128" s="676">
        <v>5566.24</v>
      </c>
      <c r="P128" s="697">
        <v>0.62121411655465353</v>
      </c>
      <c r="Q128" s="677">
        <v>34789</v>
      </c>
    </row>
    <row r="129" spans="1:17" ht="14.4" customHeight="1" x14ac:dyDescent="0.3">
      <c r="A129" s="672" t="s">
        <v>2956</v>
      </c>
      <c r="B129" s="673" t="s">
        <v>2627</v>
      </c>
      <c r="C129" s="673" t="s">
        <v>2376</v>
      </c>
      <c r="D129" s="673" t="s">
        <v>2970</v>
      </c>
      <c r="E129" s="673" t="s">
        <v>2971</v>
      </c>
      <c r="F129" s="676"/>
      <c r="G129" s="676"/>
      <c r="H129" s="676"/>
      <c r="I129" s="676"/>
      <c r="J129" s="676">
        <v>1</v>
      </c>
      <c r="K129" s="676">
        <v>589.59</v>
      </c>
      <c r="L129" s="676">
        <v>1</v>
      </c>
      <c r="M129" s="676">
        <v>589.59</v>
      </c>
      <c r="N129" s="676"/>
      <c r="O129" s="676"/>
      <c r="P129" s="697"/>
      <c r="Q129" s="677"/>
    </row>
    <row r="130" spans="1:17" ht="14.4" customHeight="1" x14ac:dyDescent="0.3">
      <c r="A130" s="672" t="s">
        <v>2956</v>
      </c>
      <c r="B130" s="673" t="s">
        <v>2627</v>
      </c>
      <c r="C130" s="673" t="s">
        <v>2376</v>
      </c>
      <c r="D130" s="673" t="s">
        <v>2972</v>
      </c>
      <c r="E130" s="673" t="s">
        <v>2973</v>
      </c>
      <c r="F130" s="676">
        <v>2</v>
      </c>
      <c r="G130" s="676">
        <v>1944.64</v>
      </c>
      <c r="H130" s="676">
        <v>0.66666666666666674</v>
      </c>
      <c r="I130" s="676">
        <v>972.32</v>
      </c>
      <c r="J130" s="676">
        <v>3</v>
      </c>
      <c r="K130" s="676">
        <v>2916.96</v>
      </c>
      <c r="L130" s="676">
        <v>1</v>
      </c>
      <c r="M130" s="676">
        <v>972.32</v>
      </c>
      <c r="N130" s="676">
        <v>2</v>
      </c>
      <c r="O130" s="676">
        <v>1944.64</v>
      </c>
      <c r="P130" s="697">
        <v>0.66666666666666674</v>
      </c>
      <c r="Q130" s="677">
        <v>972.32</v>
      </c>
    </row>
    <row r="131" spans="1:17" ht="14.4" customHeight="1" x14ac:dyDescent="0.3">
      <c r="A131" s="672" t="s">
        <v>2956</v>
      </c>
      <c r="B131" s="673" t="s">
        <v>2627</v>
      </c>
      <c r="C131" s="673" t="s">
        <v>2376</v>
      </c>
      <c r="D131" s="673" t="s">
        <v>2974</v>
      </c>
      <c r="E131" s="673" t="s">
        <v>2973</v>
      </c>
      <c r="F131" s="676"/>
      <c r="G131" s="676"/>
      <c r="H131" s="676"/>
      <c r="I131" s="676"/>
      <c r="J131" s="676">
        <v>1</v>
      </c>
      <c r="K131" s="676">
        <v>1408.42</v>
      </c>
      <c r="L131" s="676">
        <v>1</v>
      </c>
      <c r="M131" s="676">
        <v>1408.42</v>
      </c>
      <c r="N131" s="676"/>
      <c r="O131" s="676"/>
      <c r="P131" s="697"/>
      <c r="Q131" s="677"/>
    </row>
    <row r="132" spans="1:17" ht="14.4" customHeight="1" x14ac:dyDescent="0.3">
      <c r="A132" s="672" t="s">
        <v>2956</v>
      </c>
      <c r="B132" s="673" t="s">
        <v>2627</v>
      </c>
      <c r="C132" s="673" t="s">
        <v>2376</v>
      </c>
      <c r="D132" s="673" t="s">
        <v>2975</v>
      </c>
      <c r="E132" s="673" t="s">
        <v>2973</v>
      </c>
      <c r="F132" s="676">
        <v>1</v>
      </c>
      <c r="G132" s="676">
        <v>1707.31</v>
      </c>
      <c r="H132" s="676">
        <v>9.0909090909090912E-2</v>
      </c>
      <c r="I132" s="676">
        <v>1707.31</v>
      </c>
      <c r="J132" s="676">
        <v>11</v>
      </c>
      <c r="K132" s="676">
        <v>18780.41</v>
      </c>
      <c r="L132" s="676">
        <v>1</v>
      </c>
      <c r="M132" s="676">
        <v>1707.31</v>
      </c>
      <c r="N132" s="676">
        <v>4</v>
      </c>
      <c r="O132" s="676">
        <v>6829.24</v>
      </c>
      <c r="P132" s="697">
        <v>0.36363636363636365</v>
      </c>
      <c r="Q132" s="677">
        <v>1707.31</v>
      </c>
    </row>
    <row r="133" spans="1:17" ht="14.4" customHeight="1" x14ac:dyDescent="0.3">
      <c r="A133" s="672" t="s">
        <v>2956</v>
      </c>
      <c r="B133" s="673" t="s">
        <v>2627</v>
      </c>
      <c r="C133" s="673" t="s">
        <v>2376</v>
      </c>
      <c r="D133" s="673" t="s">
        <v>2976</v>
      </c>
      <c r="E133" s="673" t="s">
        <v>2973</v>
      </c>
      <c r="F133" s="676">
        <v>1</v>
      </c>
      <c r="G133" s="676">
        <v>2066.3000000000002</v>
      </c>
      <c r="H133" s="676">
        <v>0.33333333333333331</v>
      </c>
      <c r="I133" s="676">
        <v>2066.3000000000002</v>
      </c>
      <c r="J133" s="676">
        <v>3</v>
      </c>
      <c r="K133" s="676">
        <v>6198.9000000000005</v>
      </c>
      <c r="L133" s="676">
        <v>1</v>
      </c>
      <c r="M133" s="676">
        <v>2066.3000000000002</v>
      </c>
      <c r="N133" s="676">
        <v>1</v>
      </c>
      <c r="O133" s="676">
        <v>2066.3000000000002</v>
      </c>
      <c r="P133" s="697">
        <v>0.33333333333333331</v>
      </c>
      <c r="Q133" s="677">
        <v>2066.3000000000002</v>
      </c>
    </row>
    <row r="134" spans="1:17" ht="14.4" customHeight="1" x14ac:dyDescent="0.3">
      <c r="A134" s="672" t="s">
        <v>2956</v>
      </c>
      <c r="B134" s="673" t="s">
        <v>2627</v>
      </c>
      <c r="C134" s="673" t="s">
        <v>2376</v>
      </c>
      <c r="D134" s="673" t="s">
        <v>2977</v>
      </c>
      <c r="E134" s="673" t="s">
        <v>2978</v>
      </c>
      <c r="F134" s="676">
        <v>1</v>
      </c>
      <c r="G134" s="676">
        <v>1932.09</v>
      </c>
      <c r="H134" s="676">
        <v>1</v>
      </c>
      <c r="I134" s="676">
        <v>1932.09</v>
      </c>
      <c r="J134" s="676">
        <v>1</v>
      </c>
      <c r="K134" s="676">
        <v>1932.09</v>
      </c>
      <c r="L134" s="676">
        <v>1</v>
      </c>
      <c r="M134" s="676">
        <v>1932.09</v>
      </c>
      <c r="N134" s="676"/>
      <c r="O134" s="676"/>
      <c r="P134" s="697"/>
      <c r="Q134" s="677"/>
    </row>
    <row r="135" spans="1:17" ht="14.4" customHeight="1" x14ac:dyDescent="0.3">
      <c r="A135" s="672" t="s">
        <v>2956</v>
      </c>
      <c r="B135" s="673" t="s">
        <v>2627</v>
      </c>
      <c r="C135" s="673" t="s">
        <v>2376</v>
      </c>
      <c r="D135" s="673" t="s">
        <v>2979</v>
      </c>
      <c r="E135" s="673" t="s">
        <v>2980</v>
      </c>
      <c r="F135" s="676"/>
      <c r="G135" s="676"/>
      <c r="H135" s="676"/>
      <c r="I135" s="676"/>
      <c r="J135" s="676">
        <v>8</v>
      </c>
      <c r="K135" s="676">
        <v>8222.08</v>
      </c>
      <c r="L135" s="676">
        <v>1</v>
      </c>
      <c r="M135" s="676">
        <v>1027.76</v>
      </c>
      <c r="N135" s="676">
        <v>2</v>
      </c>
      <c r="O135" s="676">
        <v>2055.52</v>
      </c>
      <c r="P135" s="697">
        <v>0.25</v>
      </c>
      <c r="Q135" s="677">
        <v>1027.76</v>
      </c>
    </row>
    <row r="136" spans="1:17" ht="14.4" customHeight="1" x14ac:dyDescent="0.3">
      <c r="A136" s="672" t="s">
        <v>2956</v>
      </c>
      <c r="B136" s="673" t="s">
        <v>2627</v>
      </c>
      <c r="C136" s="673" t="s">
        <v>2376</v>
      </c>
      <c r="D136" s="673" t="s">
        <v>2981</v>
      </c>
      <c r="E136" s="673" t="s">
        <v>2980</v>
      </c>
      <c r="F136" s="676">
        <v>2</v>
      </c>
      <c r="G136" s="676">
        <v>4283.7</v>
      </c>
      <c r="H136" s="676">
        <v>0.66666666666666674</v>
      </c>
      <c r="I136" s="676">
        <v>2141.85</v>
      </c>
      <c r="J136" s="676">
        <v>3</v>
      </c>
      <c r="K136" s="676">
        <v>6425.5499999999993</v>
      </c>
      <c r="L136" s="676">
        <v>1</v>
      </c>
      <c r="M136" s="676">
        <v>2141.85</v>
      </c>
      <c r="N136" s="676">
        <v>1</v>
      </c>
      <c r="O136" s="676">
        <v>2141.85</v>
      </c>
      <c r="P136" s="697">
        <v>0.33333333333333337</v>
      </c>
      <c r="Q136" s="677">
        <v>2141.85</v>
      </c>
    </row>
    <row r="137" spans="1:17" ht="14.4" customHeight="1" x14ac:dyDescent="0.3">
      <c r="A137" s="672" t="s">
        <v>2956</v>
      </c>
      <c r="B137" s="673" t="s">
        <v>2627</v>
      </c>
      <c r="C137" s="673" t="s">
        <v>2376</v>
      </c>
      <c r="D137" s="673" t="s">
        <v>2982</v>
      </c>
      <c r="E137" s="673" t="s">
        <v>2983</v>
      </c>
      <c r="F137" s="676"/>
      <c r="G137" s="676"/>
      <c r="H137" s="676"/>
      <c r="I137" s="676"/>
      <c r="J137" s="676">
        <v>1</v>
      </c>
      <c r="K137" s="676">
        <v>8536.5499999999993</v>
      </c>
      <c r="L137" s="676">
        <v>1</v>
      </c>
      <c r="M137" s="676">
        <v>8536.5499999999993</v>
      </c>
      <c r="N137" s="676"/>
      <c r="O137" s="676"/>
      <c r="P137" s="697"/>
      <c r="Q137" s="677"/>
    </row>
    <row r="138" spans="1:17" ht="14.4" customHeight="1" x14ac:dyDescent="0.3">
      <c r="A138" s="672" t="s">
        <v>2956</v>
      </c>
      <c r="B138" s="673" t="s">
        <v>2627</v>
      </c>
      <c r="C138" s="673" t="s">
        <v>2376</v>
      </c>
      <c r="D138" s="673" t="s">
        <v>2984</v>
      </c>
      <c r="E138" s="673" t="s">
        <v>2985</v>
      </c>
      <c r="F138" s="676"/>
      <c r="G138" s="676"/>
      <c r="H138" s="676"/>
      <c r="I138" s="676"/>
      <c r="J138" s="676">
        <v>3</v>
      </c>
      <c r="K138" s="676">
        <v>9010.14</v>
      </c>
      <c r="L138" s="676">
        <v>1</v>
      </c>
      <c r="M138" s="676">
        <v>3003.3799999999997</v>
      </c>
      <c r="N138" s="676">
        <v>1</v>
      </c>
      <c r="O138" s="676">
        <v>3003.38</v>
      </c>
      <c r="P138" s="697">
        <v>0.33333333333333337</v>
      </c>
      <c r="Q138" s="677">
        <v>3003.38</v>
      </c>
    </row>
    <row r="139" spans="1:17" ht="14.4" customHeight="1" x14ac:dyDescent="0.3">
      <c r="A139" s="672" t="s">
        <v>2956</v>
      </c>
      <c r="B139" s="673" t="s">
        <v>2627</v>
      </c>
      <c r="C139" s="673" t="s">
        <v>2376</v>
      </c>
      <c r="D139" s="673" t="s">
        <v>2986</v>
      </c>
      <c r="E139" s="673" t="s">
        <v>2987</v>
      </c>
      <c r="F139" s="676"/>
      <c r="G139" s="676"/>
      <c r="H139" s="676"/>
      <c r="I139" s="676"/>
      <c r="J139" s="676">
        <v>1</v>
      </c>
      <c r="K139" s="676">
        <v>2236.5</v>
      </c>
      <c r="L139" s="676">
        <v>1</v>
      </c>
      <c r="M139" s="676">
        <v>2236.5</v>
      </c>
      <c r="N139" s="676"/>
      <c r="O139" s="676"/>
      <c r="P139" s="697"/>
      <c r="Q139" s="677"/>
    </row>
    <row r="140" spans="1:17" ht="14.4" customHeight="1" x14ac:dyDescent="0.3">
      <c r="A140" s="672" t="s">
        <v>2956</v>
      </c>
      <c r="B140" s="673" t="s">
        <v>2627</v>
      </c>
      <c r="C140" s="673" t="s">
        <v>2376</v>
      </c>
      <c r="D140" s="673" t="s">
        <v>2988</v>
      </c>
      <c r="E140" s="673" t="s">
        <v>2989</v>
      </c>
      <c r="F140" s="676">
        <v>2</v>
      </c>
      <c r="G140" s="676">
        <v>13781.56</v>
      </c>
      <c r="H140" s="676">
        <v>0.125</v>
      </c>
      <c r="I140" s="676">
        <v>6890.78</v>
      </c>
      <c r="J140" s="676">
        <v>16</v>
      </c>
      <c r="K140" s="676">
        <v>110252.48</v>
      </c>
      <c r="L140" s="676">
        <v>1</v>
      </c>
      <c r="M140" s="676">
        <v>6890.78</v>
      </c>
      <c r="N140" s="676">
        <v>7</v>
      </c>
      <c r="O140" s="676">
        <v>48235.46</v>
      </c>
      <c r="P140" s="697">
        <v>0.4375</v>
      </c>
      <c r="Q140" s="677">
        <v>6890.78</v>
      </c>
    </row>
    <row r="141" spans="1:17" ht="14.4" customHeight="1" x14ac:dyDescent="0.3">
      <c r="A141" s="672" t="s">
        <v>2956</v>
      </c>
      <c r="B141" s="673" t="s">
        <v>2627</v>
      </c>
      <c r="C141" s="673" t="s">
        <v>2376</v>
      </c>
      <c r="D141" s="673" t="s">
        <v>2990</v>
      </c>
      <c r="E141" s="673" t="s">
        <v>2991</v>
      </c>
      <c r="F141" s="676"/>
      <c r="G141" s="676"/>
      <c r="H141" s="676"/>
      <c r="I141" s="676"/>
      <c r="J141" s="676">
        <v>1</v>
      </c>
      <c r="K141" s="676">
        <v>4137.8900000000003</v>
      </c>
      <c r="L141" s="676">
        <v>1</v>
      </c>
      <c r="M141" s="676">
        <v>4137.8900000000003</v>
      </c>
      <c r="N141" s="676">
        <v>1</v>
      </c>
      <c r="O141" s="676">
        <v>4137.8900000000003</v>
      </c>
      <c r="P141" s="697">
        <v>1</v>
      </c>
      <c r="Q141" s="677">
        <v>4137.8900000000003</v>
      </c>
    </row>
    <row r="142" spans="1:17" ht="14.4" customHeight="1" x14ac:dyDescent="0.3">
      <c r="A142" s="672" t="s">
        <v>2956</v>
      </c>
      <c r="B142" s="673" t="s">
        <v>2627</v>
      </c>
      <c r="C142" s="673" t="s">
        <v>2376</v>
      </c>
      <c r="D142" s="673" t="s">
        <v>2992</v>
      </c>
      <c r="E142" s="673" t="s">
        <v>2993</v>
      </c>
      <c r="F142" s="676">
        <v>1</v>
      </c>
      <c r="G142" s="676">
        <v>1002.8</v>
      </c>
      <c r="H142" s="676">
        <v>0.25</v>
      </c>
      <c r="I142" s="676">
        <v>1002.8</v>
      </c>
      <c r="J142" s="676">
        <v>4</v>
      </c>
      <c r="K142" s="676">
        <v>4011.2</v>
      </c>
      <c r="L142" s="676">
        <v>1</v>
      </c>
      <c r="M142" s="676">
        <v>1002.8</v>
      </c>
      <c r="N142" s="676">
        <v>4</v>
      </c>
      <c r="O142" s="676">
        <v>4011.2</v>
      </c>
      <c r="P142" s="697">
        <v>1</v>
      </c>
      <c r="Q142" s="677">
        <v>1002.8</v>
      </c>
    </row>
    <row r="143" spans="1:17" ht="14.4" customHeight="1" x14ac:dyDescent="0.3">
      <c r="A143" s="672" t="s">
        <v>2956</v>
      </c>
      <c r="B143" s="673" t="s">
        <v>2627</v>
      </c>
      <c r="C143" s="673" t="s">
        <v>2376</v>
      </c>
      <c r="D143" s="673" t="s">
        <v>2994</v>
      </c>
      <c r="E143" s="673" t="s">
        <v>2995</v>
      </c>
      <c r="F143" s="676">
        <v>1</v>
      </c>
      <c r="G143" s="676">
        <v>7650</v>
      </c>
      <c r="H143" s="676">
        <v>0.5</v>
      </c>
      <c r="I143" s="676">
        <v>7650</v>
      </c>
      <c r="J143" s="676">
        <v>2</v>
      </c>
      <c r="K143" s="676">
        <v>15300</v>
      </c>
      <c r="L143" s="676">
        <v>1</v>
      </c>
      <c r="M143" s="676">
        <v>7650</v>
      </c>
      <c r="N143" s="676"/>
      <c r="O143" s="676"/>
      <c r="P143" s="697"/>
      <c r="Q143" s="677"/>
    </row>
    <row r="144" spans="1:17" ht="14.4" customHeight="1" x14ac:dyDescent="0.3">
      <c r="A144" s="672" t="s">
        <v>2956</v>
      </c>
      <c r="B144" s="673" t="s">
        <v>2627</v>
      </c>
      <c r="C144" s="673" t="s">
        <v>2376</v>
      </c>
      <c r="D144" s="673" t="s">
        <v>2996</v>
      </c>
      <c r="E144" s="673" t="s">
        <v>2997</v>
      </c>
      <c r="F144" s="676"/>
      <c r="G144" s="676"/>
      <c r="H144" s="676"/>
      <c r="I144" s="676"/>
      <c r="J144" s="676">
        <v>3</v>
      </c>
      <c r="K144" s="676">
        <v>6512.91</v>
      </c>
      <c r="L144" s="676">
        <v>1</v>
      </c>
      <c r="M144" s="676">
        <v>2170.9699999999998</v>
      </c>
      <c r="N144" s="676">
        <v>1</v>
      </c>
      <c r="O144" s="676">
        <v>2170.9699999999998</v>
      </c>
      <c r="P144" s="697">
        <v>0.33333333333333331</v>
      </c>
      <c r="Q144" s="677">
        <v>2170.9699999999998</v>
      </c>
    </row>
    <row r="145" spans="1:17" ht="14.4" customHeight="1" x14ac:dyDescent="0.3">
      <c r="A145" s="672" t="s">
        <v>2956</v>
      </c>
      <c r="B145" s="673" t="s">
        <v>2627</v>
      </c>
      <c r="C145" s="673" t="s">
        <v>2376</v>
      </c>
      <c r="D145" s="673" t="s">
        <v>2998</v>
      </c>
      <c r="E145" s="673" t="s">
        <v>2999</v>
      </c>
      <c r="F145" s="676"/>
      <c r="G145" s="676"/>
      <c r="H145" s="676"/>
      <c r="I145" s="676"/>
      <c r="J145" s="676">
        <v>3</v>
      </c>
      <c r="K145" s="676">
        <v>2391</v>
      </c>
      <c r="L145" s="676">
        <v>1</v>
      </c>
      <c r="M145" s="676">
        <v>797</v>
      </c>
      <c r="N145" s="676"/>
      <c r="O145" s="676"/>
      <c r="P145" s="697"/>
      <c r="Q145" s="677"/>
    </row>
    <row r="146" spans="1:17" ht="14.4" customHeight="1" x14ac:dyDescent="0.3">
      <c r="A146" s="672" t="s">
        <v>2956</v>
      </c>
      <c r="B146" s="673" t="s">
        <v>2627</v>
      </c>
      <c r="C146" s="673" t="s">
        <v>2376</v>
      </c>
      <c r="D146" s="673" t="s">
        <v>3000</v>
      </c>
      <c r="E146" s="673" t="s">
        <v>3001</v>
      </c>
      <c r="F146" s="676">
        <v>2</v>
      </c>
      <c r="G146" s="676">
        <v>10518.46</v>
      </c>
      <c r="H146" s="676">
        <v>0.5</v>
      </c>
      <c r="I146" s="676">
        <v>5259.23</v>
      </c>
      <c r="J146" s="676">
        <v>4</v>
      </c>
      <c r="K146" s="676">
        <v>21036.92</v>
      </c>
      <c r="L146" s="676">
        <v>1</v>
      </c>
      <c r="M146" s="676">
        <v>5259.23</v>
      </c>
      <c r="N146" s="676">
        <v>1</v>
      </c>
      <c r="O146" s="676">
        <v>5259.23</v>
      </c>
      <c r="P146" s="697">
        <v>0.25</v>
      </c>
      <c r="Q146" s="677">
        <v>5259.23</v>
      </c>
    </row>
    <row r="147" spans="1:17" ht="14.4" customHeight="1" x14ac:dyDescent="0.3">
      <c r="A147" s="672" t="s">
        <v>2956</v>
      </c>
      <c r="B147" s="673" t="s">
        <v>2627</v>
      </c>
      <c r="C147" s="673" t="s">
        <v>2376</v>
      </c>
      <c r="D147" s="673" t="s">
        <v>3002</v>
      </c>
      <c r="E147" s="673" t="s">
        <v>3003</v>
      </c>
      <c r="F147" s="676"/>
      <c r="G147" s="676"/>
      <c r="H147" s="676"/>
      <c r="I147" s="676"/>
      <c r="J147" s="676">
        <v>1</v>
      </c>
      <c r="K147" s="676">
        <v>605.65</v>
      </c>
      <c r="L147" s="676">
        <v>1</v>
      </c>
      <c r="M147" s="676">
        <v>605.65</v>
      </c>
      <c r="N147" s="676">
        <v>1</v>
      </c>
      <c r="O147" s="676">
        <v>605.65</v>
      </c>
      <c r="P147" s="697">
        <v>1</v>
      </c>
      <c r="Q147" s="677">
        <v>605.65</v>
      </c>
    </row>
    <row r="148" spans="1:17" ht="14.4" customHeight="1" x14ac:dyDescent="0.3">
      <c r="A148" s="672" t="s">
        <v>2956</v>
      </c>
      <c r="B148" s="673" t="s">
        <v>2627</v>
      </c>
      <c r="C148" s="673" t="s">
        <v>2376</v>
      </c>
      <c r="D148" s="673" t="s">
        <v>3004</v>
      </c>
      <c r="E148" s="673" t="s">
        <v>3005</v>
      </c>
      <c r="F148" s="676"/>
      <c r="G148" s="676"/>
      <c r="H148" s="676"/>
      <c r="I148" s="676"/>
      <c r="J148" s="676">
        <v>2</v>
      </c>
      <c r="K148" s="676">
        <v>1662.32</v>
      </c>
      <c r="L148" s="676">
        <v>1</v>
      </c>
      <c r="M148" s="676">
        <v>831.16</v>
      </c>
      <c r="N148" s="676"/>
      <c r="O148" s="676"/>
      <c r="P148" s="697"/>
      <c r="Q148" s="677"/>
    </row>
    <row r="149" spans="1:17" ht="14.4" customHeight="1" x14ac:dyDescent="0.3">
      <c r="A149" s="672" t="s">
        <v>2956</v>
      </c>
      <c r="B149" s="673" t="s">
        <v>2627</v>
      </c>
      <c r="C149" s="673" t="s">
        <v>2376</v>
      </c>
      <c r="D149" s="673" t="s">
        <v>3006</v>
      </c>
      <c r="E149" s="673" t="s">
        <v>3005</v>
      </c>
      <c r="F149" s="676">
        <v>3</v>
      </c>
      <c r="G149" s="676">
        <v>2664.18</v>
      </c>
      <c r="H149" s="676">
        <v>0.60000000000000009</v>
      </c>
      <c r="I149" s="676">
        <v>888.06</v>
      </c>
      <c r="J149" s="676">
        <v>5</v>
      </c>
      <c r="K149" s="676">
        <v>4440.2999999999993</v>
      </c>
      <c r="L149" s="676">
        <v>1</v>
      </c>
      <c r="M149" s="676">
        <v>888.05999999999983</v>
      </c>
      <c r="N149" s="676">
        <v>1</v>
      </c>
      <c r="O149" s="676">
        <v>888.06</v>
      </c>
      <c r="P149" s="697">
        <v>0.2</v>
      </c>
      <c r="Q149" s="677">
        <v>888.06</v>
      </c>
    </row>
    <row r="150" spans="1:17" ht="14.4" customHeight="1" x14ac:dyDescent="0.3">
      <c r="A150" s="672" t="s">
        <v>2956</v>
      </c>
      <c r="B150" s="673" t="s">
        <v>2627</v>
      </c>
      <c r="C150" s="673" t="s">
        <v>2376</v>
      </c>
      <c r="D150" s="673" t="s">
        <v>3007</v>
      </c>
      <c r="E150" s="673" t="s">
        <v>3008</v>
      </c>
      <c r="F150" s="676"/>
      <c r="G150" s="676"/>
      <c r="H150" s="676"/>
      <c r="I150" s="676"/>
      <c r="J150" s="676">
        <v>2</v>
      </c>
      <c r="K150" s="676">
        <v>1776.12</v>
      </c>
      <c r="L150" s="676">
        <v>1</v>
      </c>
      <c r="M150" s="676">
        <v>888.06</v>
      </c>
      <c r="N150" s="676"/>
      <c r="O150" s="676"/>
      <c r="P150" s="697"/>
      <c r="Q150" s="677"/>
    </row>
    <row r="151" spans="1:17" ht="14.4" customHeight="1" x14ac:dyDescent="0.3">
      <c r="A151" s="672" t="s">
        <v>2956</v>
      </c>
      <c r="B151" s="673" t="s">
        <v>2627</v>
      </c>
      <c r="C151" s="673" t="s">
        <v>2376</v>
      </c>
      <c r="D151" s="673" t="s">
        <v>3009</v>
      </c>
      <c r="E151" s="673" t="s">
        <v>3010</v>
      </c>
      <c r="F151" s="676"/>
      <c r="G151" s="676"/>
      <c r="H151" s="676"/>
      <c r="I151" s="676"/>
      <c r="J151" s="676">
        <v>2</v>
      </c>
      <c r="K151" s="676">
        <v>2187.7600000000002</v>
      </c>
      <c r="L151" s="676">
        <v>1</v>
      </c>
      <c r="M151" s="676">
        <v>1093.8800000000001</v>
      </c>
      <c r="N151" s="676"/>
      <c r="O151" s="676"/>
      <c r="P151" s="697"/>
      <c r="Q151" s="677"/>
    </row>
    <row r="152" spans="1:17" ht="14.4" customHeight="1" x14ac:dyDescent="0.3">
      <c r="A152" s="672" t="s">
        <v>2956</v>
      </c>
      <c r="B152" s="673" t="s">
        <v>2627</v>
      </c>
      <c r="C152" s="673" t="s">
        <v>2376</v>
      </c>
      <c r="D152" s="673" t="s">
        <v>3011</v>
      </c>
      <c r="E152" s="673" t="s">
        <v>3012</v>
      </c>
      <c r="F152" s="676">
        <v>1</v>
      </c>
      <c r="G152" s="676">
        <v>3898.8</v>
      </c>
      <c r="H152" s="676"/>
      <c r="I152" s="676">
        <v>3898.8</v>
      </c>
      <c r="J152" s="676"/>
      <c r="K152" s="676"/>
      <c r="L152" s="676"/>
      <c r="M152" s="676"/>
      <c r="N152" s="676"/>
      <c r="O152" s="676"/>
      <c r="P152" s="697"/>
      <c r="Q152" s="677"/>
    </row>
    <row r="153" spans="1:17" ht="14.4" customHeight="1" x14ac:dyDescent="0.3">
      <c r="A153" s="672" t="s">
        <v>2956</v>
      </c>
      <c r="B153" s="673" t="s">
        <v>2627</v>
      </c>
      <c r="C153" s="673" t="s">
        <v>2376</v>
      </c>
      <c r="D153" s="673" t="s">
        <v>3013</v>
      </c>
      <c r="E153" s="673" t="s">
        <v>3014</v>
      </c>
      <c r="F153" s="676">
        <v>1</v>
      </c>
      <c r="G153" s="676">
        <v>1312.14</v>
      </c>
      <c r="H153" s="676"/>
      <c r="I153" s="676">
        <v>1312.14</v>
      </c>
      <c r="J153" s="676"/>
      <c r="K153" s="676"/>
      <c r="L153" s="676"/>
      <c r="M153" s="676"/>
      <c r="N153" s="676"/>
      <c r="O153" s="676"/>
      <c r="P153" s="697"/>
      <c r="Q153" s="677"/>
    </row>
    <row r="154" spans="1:17" ht="14.4" customHeight="1" x14ac:dyDescent="0.3">
      <c r="A154" s="672" t="s">
        <v>2956</v>
      </c>
      <c r="B154" s="673" t="s">
        <v>2627</v>
      </c>
      <c r="C154" s="673" t="s">
        <v>2376</v>
      </c>
      <c r="D154" s="673" t="s">
        <v>3015</v>
      </c>
      <c r="E154" s="673" t="s">
        <v>3016</v>
      </c>
      <c r="F154" s="676"/>
      <c r="G154" s="676"/>
      <c r="H154" s="676"/>
      <c r="I154" s="676"/>
      <c r="J154" s="676">
        <v>14</v>
      </c>
      <c r="K154" s="676">
        <v>51024.12</v>
      </c>
      <c r="L154" s="676">
        <v>1</v>
      </c>
      <c r="M154" s="676">
        <v>3644.5800000000004</v>
      </c>
      <c r="N154" s="676">
        <v>3</v>
      </c>
      <c r="O154" s="676">
        <v>10933.74</v>
      </c>
      <c r="P154" s="697">
        <v>0.21428571428571427</v>
      </c>
      <c r="Q154" s="677">
        <v>3644.58</v>
      </c>
    </row>
    <row r="155" spans="1:17" ht="14.4" customHeight="1" x14ac:dyDescent="0.3">
      <c r="A155" s="672" t="s">
        <v>2956</v>
      </c>
      <c r="B155" s="673" t="s">
        <v>2627</v>
      </c>
      <c r="C155" s="673" t="s">
        <v>2376</v>
      </c>
      <c r="D155" s="673" t="s">
        <v>3017</v>
      </c>
      <c r="E155" s="673" t="s">
        <v>3018</v>
      </c>
      <c r="F155" s="676">
        <v>2</v>
      </c>
      <c r="G155" s="676">
        <v>2292.66</v>
      </c>
      <c r="H155" s="676">
        <v>0.22222222222222221</v>
      </c>
      <c r="I155" s="676">
        <v>1146.33</v>
      </c>
      <c r="J155" s="676">
        <v>9</v>
      </c>
      <c r="K155" s="676">
        <v>10316.969999999999</v>
      </c>
      <c r="L155" s="676">
        <v>1</v>
      </c>
      <c r="M155" s="676">
        <v>1146.33</v>
      </c>
      <c r="N155" s="676">
        <v>3</v>
      </c>
      <c r="O155" s="676">
        <v>3438.99</v>
      </c>
      <c r="P155" s="697">
        <v>0.33333333333333331</v>
      </c>
      <c r="Q155" s="677">
        <v>1146.33</v>
      </c>
    </row>
    <row r="156" spans="1:17" ht="14.4" customHeight="1" x14ac:dyDescent="0.3">
      <c r="A156" s="672" t="s">
        <v>2956</v>
      </c>
      <c r="B156" s="673" t="s">
        <v>2627</v>
      </c>
      <c r="C156" s="673" t="s">
        <v>2376</v>
      </c>
      <c r="D156" s="673" t="s">
        <v>3019</v>
      </c>
      <c r="E156" s="673" t="s">
        <v>3020</v>
      </c>
      <c r="F156" s="676">
        <v>3</v>
      </c>
      <c r="G156" s="676">
        <v>1077.3000000000002</v>
      </c>
      <c r="H156" s="676">
        <v>1</v>
      </c>
      <c r="I156" s="676">
        <v>359.10000000000008</v>
      </c>
      <c r="J156" s="676">
        <v>3</v>
      </c>
      <c r="K156" s="676">
        <v>1077.3000000000002</v>
      </c>
      <c r="L156" s="676">
        <v>1</v>
      </c>
      <c r="M156" s="676">
        <v>359.10000000000008</v>
      </c>
      <c r="N156" s="676"/>
      <c r="O156" s="676"/>
      <c r="P156" s="697"/>
      <c r="Q156" s="677"/>
    </row>
    <row r="157" spans="1:17" ht="14.4" customHeight="1" x14ac:dyDescent="0.3">
      <c r="A157" s="672" t="s">
        <v>2956</v>
      </c>
      <c r="B157" s="673" t="s">
        <v>2627</v>
      </c>
      <c r="C157" s="673" t="s">
        <v>2376</v>
      </c>
      <c r="D157" s="673" t="s">
        <v>3021</v>
      </c>
      <c r="E157" s="673" t="s">
        <v>3022</v>
      </c>
      <c r="F157" s="676">
        <v>1</v>
      </c>
      <c r="G157" s="676">
        <v>16831.689999999999</v>
      </c>
      <c r="H157" s="676">
        <v>1</v>
      </c>
      <c r="I157" s="676">
        <v>16831.689999999999</v>
      </c>
      <c r="J157" s="676">
        <v>1</v>
      </c>
      <c r="K157" s="676">
        <v>16831.689999999999</v>
      </c>
      <c r="L157" s="676">
        <v>1</v>
      </c>
      <c r="M157" s="676">
        <v>16831.689999999999</v>
      </c>
      <c r="N157" s="676">
        <v>2</v>
      </c>
      <c r="O157" s="676">
        <v>33663.379999999997</v>
      </c>
      <c r="P157" s="697">
        <v>2</v>
      </c>
      <c r="Q157" s="677">
        <v>16831.689999999999</v>
      </c>
    </row>
    <row r="158" spans="1:17" ht="14.4" customHeight="1" x14ac:dyDescent="0.3">
      <c r="A158" s="672" t="s">
        <v>2956</v>
      </c>
      <c r="B158" s="673" t="s">
        <v>2627</v>
      </c>
      <c r="C158" s="673" t="s">
        <v>2376</v>
      </c>
      <c r="D158" s="673" t="s">
        <v>3023</v>
      </c>
      <c r="E158" s="673" t="s">
        <v>3024</v>
      </c>
      <c r="F158" s="676">
        <v>1</v>
      </c>
      <c r="G158" s="676">
        <v>10645.01</v>
      </c>
      <c r="H158" s="676"/>
      <c r="I158" s="676">
        <v>10645.01</v>
      </c>
      <c r="J158" s="676"/>
      <c r="K158" s="676"/>
      <c r="L158" s="676"/>
      <c r="M158" s="676"/>
      <c r="N158" s="676">
        <v>1</v>
      </c>
      <c r="O158" s="676">
        <v>10645.01</v>
      </c>
      <c r="P158" s="697"/>
      <c r="Q158" s="677">
        <v>10645.01</v>
      </c>
    </row>
    <row r="159" spans="1:17" ht="14.4" customHeight="1" x14ac:dyDescent="0.3">
      <c r="A159" s="672" t="s">
        <v>2956</v>
      </c>
      <c r="B159" s="673" t="s">
        <v>2627</v>
      </c>
      <c r="C159" s="673" t="s">
        <v>2376</v>
      </c>
      <c r="D159" s="673" t="s">
        <v>3025</v>
      </c>
      <c r="E159" s="673" t="s">
        <v>3026</v>
      </c>
      <c r="F159" s="676"/>
      <c r="G159" s="676"/>
      <c r="H159" s="676"/>
      <c r="I159" s="676"/>
      <c r="J159" s="676"/>
      <c r="K159" s="676"/>
      <c r="L159" s="676"/>
      <c r="M159" s="676"/>
      <c r="N159" s="676">
        <v>1</v>
      </c>
      <c r="O159" s="676">
        <v>5200.68</v>
      </c>
      <c r="P159" s="697"/>
      <c r="Q159" s="677">
        <v>5200.68</v>
      </c>
    </row>
    <row r="160" spans="1:17" ht="14.4" customHeight="1" x14ac:dyDescent="0.3">
      <c r="A160" s="672" t="s">
        <v>2956</v>
      </c>
      <c r="B160" s="673" t="s">
        <v>2627</v>
      </c>
      <c r="C160" s="673" t="s">
        <v>2376</v>
      </c>
      <c r="D160" s="673" t="s">
        <v>3027</v>
      </c>
      <c r="E160" s="673" t="s">
        <v>3028</v>
      </c>
      <c r="F160" s="676"/>
      <c r="G160" s="676"/>
      <c r="H160" s="676"/>
      <c r="I160" s="676"/>
      <c r="J160" s="676">
        <v>1</v>
      </c>
      <c r="K160" s="676">
        <v>25743.27</v>
      </c>
      <c r="L160" s="676">
        <v>1</v>
      </c>
      <c r="M160" s="676">
        <v>25743.27</v>
      </c>
      <c r="N160" s="676"/>
      <c r="O160" s="676"/>
      <c r="P160" s="697"/>
      <c r="Q160" s="677"/>
    </row>
    <row r="161" spans="1:17" ht="14.4" customHeight="1" x14ac:dyDescent="0.3">
      <c r="A161" s="672" t="s">
        <v>2956</v>
      </c>
      <c r="B161" s="673" t="s">
        <v>2627</v>
      </c>
      <c r="C161" s="673" t="s">
        <v>2376</v>
      </c>
      <c r="D161" s="673" t="s">
        <v>3029</v>
      </c>
      <c r="E161" s="673" t="s">
        <v>3030</v>
      </c>
      <c r="F161" s="676">
        <v>2</v>
      </c>
      <c r="G161" s="676">
        <v>13174.26</v>
      </c>
      <c r="H161" s="676">
        <v>0.39999999999999997</v>
      </c>
      <c r="I161" s="676">
        <v>6587.13</v>
      </c>
      <c r="J161" s="676">
        <v>5</v>
      </c>
      <c r="K161" s="676">
        <v>32935.65</v>
      </c>
      <c r="L161" s="676">
        <v>1</v>
      </c>
      <c r="M161" s="676">
        <v>6587.13</v>
      </c>
      <c r="N161" s="676">
        <v>2</v>
      </c>
      <c r="O161" s="676">
        <v>13174.26</v>
      </c>
      <c r="P161" s="697">
        <v>0.39999999999999997</v>
      </c>
      <c r="Q161" s="677">
        <v>6587.13</v>
      </c>
    </row>
    <row r="162" spans="1:17" ht="14.4" customHeight="1" x14ac:dyDescent="0.3">
      <c r="A162" s="672" t="s">
        <v>2956</v>
      </c>
      <c r="B162" s="673" t="s">
        <v>2627</v>
      </c>
      <c r="C162" s="673" t="s">
        <v>2376</v>
      </c>
      <c r="D162" s="673" t="s">
        <v>3031</v>
      </c>
      <c r="E162" s="673" t="s">
        <v>3032</v>
      </c>
      <c r="F162" s="676"/>
      <c r="G162" s="676"/>
      <c r="H162" s="676"/>
      <c r="I162" s="676"/>
      <c r="J162" s="676">
        <v>1</v>
      </c>
      <c r="K162" s="676">
        <v>1841.62</v>
      </c>
      <c r="L162" s="676">
        <v>1</v>
      </c>
      <c r="M162" s="676">
        <v>1841.62</v>
      </c>
      <c r="N162" s="676"/>
      <c r="O162" s="676"/>
      <c r="P162" s="697"/>
      <c r="Q162" s="677"/>
    </row>
    <row r="163" spans="1:17" ht="14.4" customHeight="1" x14ac:dyDescent="0.3">
      <c r="A163" s="672" t="s">
        <v>2956</v>
      </c>
      <c r="B163" s="673" t="s">
        <v>2627</v>
      </c>
      <c r="C163" s="673" t="s">
        <v>2376</v>
      </c>
      <c r="D163" s="673" t="s">
        <v>3033</v>
      </c>
      <c r="E163" s="673" t="s">
        <v>3034</v>
      </c>
      <c r="F163" s="676">
        <v>1</v>
      </c>
      <c r="G163" s="676">
        <v>26499.82</v>
      </c>
      <c r="H163" s="676"/>
      <c r="I163" s="676">
        <v>26499.82</v>
      </c>
      <c r="J163" s="676"/>
      <c r="K163" s="676"/>
      <c r="L163" s="676"/>
      <c r="M163" s="676"/>
      <c r="N163" s="676"/>
      <c r="O163" s="676"/>
      <c r="P163" s="697"/>
      <c r="Q163" s="677"/>
    </row>
    <row r="164" spans="1:17" ht="14.4" customHeight="1" x14ac:dyDescent="0.3">
      <c r="A164" s="672" t="s">
        <v>2956</v>
      </c>
      <c r="B164" s="673" t="s">
        <v>2627</v>
      </c>
      <c r="C164" s="673" t="s">
        <v>2376</v>
      </c>
      <c r="D164" s="673" t="s">
        <v>3035</v>
      </c>
      <c r="E164" s="673" t="s">
        <v>3036</v>
      </c>
      <c r="F164" s="676"/>
      <c r="G164" s="676"/>
      <c r="H164" s="676"/>
      <c r="I164" s="676"/>
      <c r="J164" s="676">
        <v>8</v>
      </c>
      <c r="K164" s="676">
        <v>34880</v>
      </c>
      <c r="L164" s="676">
        <v>1</v>
      </c>
      <c r="M164" s="676">
        <v>4360</v>
      </c>
      <c r="N164" s="676">
        <v>1</v>
      </c>
      <c r="O164" s="676">
        <v>4360</v>
      </c>
      <c r="P164" s="697">
        <v>0.125</v>
      </c>
      <c r="Q164" s="677">
        <v>4360</v>
      </c>
    </row>
    <row r="165" spans="1:17" ht="14.4" customHeight="1" x14ac:dyDescent="0.3">
      <c r="A165" s="672" t="s">
        <v>2956</v>
      </c>
      <c r="B165" s="673" t="s">
        <v>2627</v>
      </c>
      <c r="C165" s="673" t="s">
        <v>2376</v>
      </c>
      <c r="D165" s="673" t="s">
        <v>3037</v>
      </c>
      <c r="E165" s="673" t="s">
        <v>3038</v>
      </c>
      <c r="F165" s="676">
        <v>1</v>
      </c>
      <c r="G165" s="676">
        <v>33125.26</v>
      </c>
      <c r="H165" s="676">
        <v>1.2499999056611251</v>
      </c>
      <c r="I165" s="676">
        <v>33125.26</v>
      </c>
      <c r="J165" s="676">
        <v>1</v>
      </c>
      <c r="K165" s="676">
        <v>26500.21</v>
      </c>
      <c r="L165" s="676">
        <v>1</v>
      </c>
      <c r="M165" s="676">
        <v>26500.21</v>
      </c>
      <c r="N165" s="676"/>
      <c r="O165" s="676"/>
      <c r="P165" s="697"/>
      <c r="Q165" s="677"/>
    </row>
    <row r="166" spans="1:17" ht="14.4" customHeight="1" x14ac:dyDescent="0.3">
      <c r="A166" s="672" t="s">
        <v>2956</v>
      </c>
      <c r="B166" s="673" t="s">
        <v>2627</v>
      </c>
      <c r="C166" s="673" t="s">
        <v>2376</v>
      </c>
      <c r="D166" s="673" t="s">
        <v>3039</v>
      </c>
      <c r="E166" s="673" t="s">
        <v>3040</v>
      </c>
      <c r="F166" s="676"/>
      <c r="G166" s="676"/>
      <c r="H166" s="676"/>
      <c r="I166" s="676"/>
      <c r="J166" s="676">
        <v>1</v>
      </c>
      <c r="K166" s="676">
        <v>380.86</v>
      </c>
      <c r="L166" s="676">
        <v>1</v>
      </c>
      <c r="M166" s="676">
        <v>380.86</v>
      </c>
      <c r="N166" s="676">
        <v>1</v>
      </c>
      <c r="O166" s="676">
        <v>380.86</v>
      </c>
      <c r="P166" s="697">
        <v>1</v>
      </c>
      <c r="Q166" s="677">
        <v>380.86</v>
      </c>
    </row>
    <row r="167" spans="1:17" ht="14.4" customHeight="1" x14ac:dyDescent="0.3">
      <c r="A167" s="672" t="s">
        <v>2956</v>
      </c>
      <c r="B167" s="673" t="s">
        <v>2627</v>
      </c>
      <c r="C167" s="673" t="s">
        <v>2376</v>
      </c>
      <c r="D167" s="673" t="s">
        <v>3041</v>
      </c>
      <c r="E167" s="673" t="s">
        <v>3042</v>
      </c>
      <c r="F167" s="676"/>
      <c r="G167" s="676"/>
      <c r="H167" s="676"/>
      <c r="I167" s="676"/>
      <c r="J167" s="676">
        <v>1</v>
      </c>
      <c r="K167" s="676">
        <v>17527.810000000001</v>
      </c>
      <c r="L167" s="676">
        <v>1</v>
      </c>
      <c r="M167" s="676">
        <v>17527.810000000001</v>
      </c>
      <c r="N167" s="676"/>
      <c r="O167" s="676"/>
      <c r="P167" s="697"/>
      <c r="Q167" s="677"/>
    </row>
    <row r="168" spans="1:17" ht="14.4" customHeight="1" x14ac:dyDescent="0.3">
      <c r="A168" s="672" t="s">
        <v>2956</v>
      </c>
      <c r="B168" s="673" t="s">
        <v>2627</v>
      </c>
      <c r="C168" s="673" t="s">
        <v>2376</v>
      </c>
      <c r="D168" s="673" t="s">
        <v>3043</v>
      </c>
      <c r="E168" s="673" t="s">
        <v>3044</v>
      </c>
      <c r="F168" s="676"/>
      <c r="G168" s="676"/>
      <c r="H168" s="676"/>
      <c r="I168" s="676"/>
      <c r="J168" s="676">
        <v>1</v>
      </c>
      <c r="K168" s="676">
        <v>33448</v>
      </c>
      <c r="L168" s="676">
        <v>1</v>
      </c>
      <c r="M168" s="676">
        <v>33448</v>
      </c>
      <c r="N168" s="676"/>
      <c r="O168" s="676"/>
      <c r="P168" s="697"/>
      <c r="Q168" s="677"/>
    </row>
    <row r="169" spans="1:17" ht="14.4" customHeight="1" x14ac:dyDescent="0.3">
      <c r="A169" s="672" t="s">
        <v>2956</v>
      </c>
      <c r="B169" s="673" t="s">
        <v>2627</v>
      </c>
      <c r="C169" s="673" t="s">
        <v>2376</v>
      </c>
      <c r="D169" s="673" t="s">
        <v>3045</v>
      </c>
      <c r="E169" s="673" t="s">
        <v>3046</v>
      </c>
      <c r="F169" s="676"/>
      <c r="G169" s="676"/>
      <c r="H169" s="676"/>
      <c r="I169" s="676"/>
      <c r="J169" s="676">
        <v>1</v>
      </c>
      <c r="K169" s="676">
        <v>44071.360000000001</v>
      </c>
      <c r="L169" s="676">
        <v>1</v>
      </c>
      <c r="M169" s="676">
        <v>44071.360000000001</v>
      </c>
      <c r="N169" s="676"/>
      <c r="O169" s="676"/>
      <c r="P169" s="697"/>
      <c r="Q169" s="677"/>
    </row>
    <row r="170" spans="1:17" ht="14.4" customHeight="1" x14ac:dyDescent="0.3">
      <c r="A170" s="672" t="s">
        <v>2956</v>
      </c>
      <c r="B170" s="673" t="s">
        <v>2627</v>
      </c>
      <c r="C170" s="673" t="s">
        <v>2376</v>
      </c>
      <c r="D170" s="673" t="s">
        <v>3047</v>
      </c>
      <c r="E170" s="673" t="s">
        <v>3048</v>
      </c>
      <c r="F170" s="676"/>
      <c r="G170" s="676"/>
      <c r="H170" s="676"/>
      <c r="I170" s="676"/>
      <c r="J170" s="676">
        <v>1</v>
      </c>
      <c r="K170" s="676">
        <v>1261.46</v>
      </c>
      <c r="L170" s="676">
        <v>1</v>
      </c>
      <c r="M170" s="676">
        <v>1261.46</v>
      </c>
      <c r="N170" s="676"/>
      <c r="O170" s="676"/>
      <c r="P170" s="697"/>
      <c r="Q170" s="677"/>
    </row>
    <row r="171" spans="1:17" ht="14.4" customHeight="1" x14ac:dyDescent="0.3">
      <c r="A171" s="672" t="s">
        <v>2956</v>
      </c>
      <c r="B171" s="673" t="s">
        <v>2627</v>
      </c>
      <c r="C171" s="673" t="s">
        <v>2102</v>
      </c>
      <c r="D171" s="673" t="s">
        <v>3049</v>
      </c>
      <c r="E171" s="673" t="s">
        <v>3050</v>
      </c>
      <c r="F171" s="676">
        <v>1</v>
      </c>
      <c r="G171" s="676">
        <v>207</v>
      </c>
      <c r="H171" s="676"/>
      <c r="I171" s="676">
        <v>207</v>
      </c>
      <c r="J171" s="676"/>
      <c r="K171" s="676"/>
      <c r="L171" s="676"/>
      <c r="M171" s="676"/>
      <c r="N171" s="676"/>
      <c r="O171" s="676"/>
      <c r="P171" s="697"/>
      <c r="Q171" s="677"/>
    </row>
    <row r="172" spans="1:17" ht="14.4" customHeight="1" x14ac:dyDescent="0.3">
      <c r="A172" s="672" t="s">
        <v>2956</v>
      </c>
      <c r="B172" s="673" t="s">
        <v>2627</v>
      </c>
      <c r="C172" s="673" t="s">
        <v>2102</v>
      </c>
      <c r="D172" s="673" t="s">
        <v>3051</v>
      </c>
      <c r="E172" s="673" t="s">
        <v>3052</v>
      </c>
      <c r="F172" s="676"/>
      <c r="G172" s="676"/>
      <c r="H172" s="676"/>
      <c r="I172" s="676"/>
      <c r="J172" s="676">
        <v>1</v>
      </c>
      <c r="K172" s="676">
        <v>155</v>
      </c>
      <c r="L172" s="676">
        <v>1</v>
      </c>
      <c r="M172" s="676">
        <v>155</v>
      </c>
      <c r="N172" s="676">
        <v>3</v>
      </c>
      <c r="O172" s="676">
        <v>465</v>
      </c>
      <c r="P172" s="697">
        <v>3</v>
      </c>
      <c r="Q172" s="677">
        <v>155</v>
      </c>
    </row>
    <row r="173" spans="1:17" ht="14.4" customHeight="1" x14ac:dyDescent="0.3">
      <c r="A173" s="672" t="s">
        <v>2956</v>
      </c>
      <c r="B173" s="673" t="s">
        <v>2627</v>
      </c>
      <c r="C173" s="673" t="s">
        <v>2102</v>
      </c>
      <c r="D173" s="673" t="s">
        <v>3053</v>
      </c>
      <c r="E173" s="673" t="s">
        <v>3054</v>
      </c>
      <c r="F173" s="676"/>
      <c r="G173" s="676"/>
      <c r="H173" s="676"/>
      <c r="I173" s="676"/>
      <c r="J173" s="676">
        <v>1</v>
      </c>
      <c r="K173" s="676">
        <v>187</v>
      </c>
      <c r="L173" s="676">
        <v>1</v>
      </c>
      <c r="M173" s="676">
        <v>187</v>
      </c>
      <c r="N173" s="676"/>
      <c r="O173" s="676"/>
      <c r="P173" s="697"/>
      <c r="Q173" s="677"/>
    </row>
    <row r="174" spans="1:17" ht="14.4" customHeight="1" x14ac:dyDescent="0.3">
      <c r="A174" s="672" t="s">
        <v>2956</v>
      </c>
      <c r="B174" s="673" t="s">
        <v>2627</v>
      </c>
      <c r="C174" s="673" t="s">
        <v>2102</v>
      </c>
      <c r="D174" s="673" t="s">
        <v>3055</v>
      </c>
      <c r="E174" s="673" t="s">
        <v>3056</v>
      </c>
      <c r="F174" s="676">
        <v>11</v>
      </c>
      <c r="G174" s="676">
        <v>1375</v>
      </c>
      <c r="H174" s="676">
        <v>0.56537828947368418</v>
      </c>
      <c r="I174" s="676">
        <v>125</v>
      </c>
      <c r="J174" s="676">
        <v>19</v>
      </c>
      <c r="K174" s="676">
        <v>2432</v>
      </c>
      <c r="L174" s="676">
        <v>1</v>
      </c>
      <c r="M174" s="676">
        <v>128</v>
      </c>
      <c r="N174" s="676">
        <v>16</v>
      </c>
      <c r="O174" s="676">
        <v>2048</v>
      </c>
      <c r="P174" s="697">
        <v>0.84210526315789469</v>
      </c>
      <c r="Q174" s="677">
        <v>128</v>
      </c>
    </row>
    <row r="175" spans="1:17" ht="14.4" customHeight="1" x14ac:dyDescent="0.3">
      <c r="A175" s="672" t="s">
        <v>2956</v>
      </c>
      <c r="B175" s="673" t="s">
        <v>2627</v>
      </c>
      <c r="C175" s="673" t="s">
        <v>2102</v>
      </c>
      <c r="D175" s="673" t="s">
        <v>3057</v>
      </c>
      <c r="E175" s="673" t="s">
        <v>3058</v>
      </c>
      <c r="F175" s="676">
        <v>20</v>
      </c>
      <c r="G175" s="676">
        <v>4380</v>
      </c>
      <c r="H175" s="676">
        <v>1.0337502950200614</v>
      </c>
      <c r="I175" s="676">
        <v>219</v>
      </c>
      <c r="J175" s="676">
        <v>19</v>
      </c>
      <c r="K175" s="676">
        <v>4237</v>
      </c>
      <c r="L175" s="676">
        <v>1</v>
      </c>
      <c r="M175" s="676">
        <v>223</v>
      </c>
      <c r="N175" s="676">
        <v>20</v>
      </c>
      <c r="O175" s="676">
        <v>4460</v>
      </c>
      <c r="P175" s="697">
        <v>1.0526315789473684</v>
      </c>
      <c r="Q175" s="677">
        <v>223</v>
      </c>
    </row>
    <row r="176" spans="1:17" ht="14.4" customHeight="1" x14ac:dyDescent="0.3">
      <c r="A176" s="672" t="s">
        <v>2956</v>
      </c>
      <c r="B176" s="673" t="s">
        <v>2627</v>
      </c>
      <c r="C176" s="673" t="s">
        <v>2102</v>
      </c>
      <c r="D176" s="673" t="s">
        <v>3059</v>
      </c>
      <c r="E176" s="673" t="s">
        <v>3060</v>
      </c>
      <c r="F176" s="676">
        <v>33</v>
      </c>
      <c r="G176" s="676">
        <v>7293</v>
      </c>
      <c r="H176" s="676">
        <v>1.4733333333333334</v>
      </c>
      <c r="I176" s="676">
        <v>221</v>
      </c>
      <c r="J176" s="676">
        <v>22</v>
      </c>
      <c r="K176" s="676">
        <v>4950</v>
      </c>
      <c r="L176" s="676">
        <v>1</v>
      </c>
      <c r="M176" s="676">
        <v>225</v>
      </c>
      <c r="N176" s="676">
        <v>23</v>
      </c>
      <c r="O176" s="676">
        <v>5175</v>
      </c>
      <c r="P176" s="697">
        <v>1.0454545454545454</v>
      </c>
      <c r="Q176" s="677">
        <v>225</v>
      </c>
    </row>
    <row r="177" spans="1:17" ht="14.4" customHeight="1" x14ac:dyDescent="0.3">
      <c r="A177" s="672" t="s">
        <v>2956</v>
      </c>
      <c r="B177" s="673" t="s">
        <v>2627</v>
      </c>
      <c r="C177" s="673" t="s">
        <v>2102</v>
      </c>
      <c r="D177" s="673" t="s">
        <v>3061</v>
      </c>
      <c r="E177" s="673" t="s">
        <v>3062</v>
      </c>
      <c r="F177" s="676">
        <v>6</v>
      </c>
      <c r="G177" s="676">
        <v>3678</v>
      </c>
      <c r="H177" s="676">
        <v>5.8848000000000003</v>
      </c>
      <c r="I177" s="676">
        <v>613</v>
      </c>
      <c r="J177" s="676">
        <v>1</v>
      </c>
      <c r="K177" s="676">
        <v>625</v>
      </c>
      <c r="L177" s="676">
        <v>1</v>
      </c>
      <c r="M177" s="676">
        <v>625</v>
      </c>
      <c r="N177" s="676">
        <v>1</v>
      </c>
      <c r="O177" s="676">
        <v>626</v>
      </c>
      <c r="P177" s="697">
        <v>1.0016</v>
      </c>
      <c r="Q177" s="677">
        <v>626</v>
      </c>
    </row>
    <row r="178" spans="1:17" ht="14.4" customHeight="1" x14ac:dyDescent="0.3">
      <c r="A178" s="672" t="s">
        <v>2956</v>
      </c>
      <c r="B178" s="673" t="s">
        <v>2627</v>
      </c>
      <c r="C178" s="673" t="s">
        <v>2102</v>
      </c>
      <c r="D178" s="673" t="s">
        <v>3063</v>
      </c>
      <c r="E178" s="673" t="s">
        <v>3064</v>
      </c>
      <c r="F178" s="676">
        <v>2</v>
      </c>
      <c r="G178" s="676">
        <v>8278</v>
      </c>
      <c r="H178" s="676">
        <v>0.39759846301633045</v>
      </c>
      <c r="I178" s="676">
        <v>4139</v>
      </c>
      <c r="J178" s="676">
        <v>5</v>
      </c>
      <c r="K178" s="676">
        <v>20820</v>
      </c>
      <c r="L178" s="676">
        <v>1</v>
      </c>
      <c r="M178" s="676">
        <v>4164</v>
      </c>
      <c r="N178" s="676">
        <v>1</v>
      </c>
      <c r="O178" s="676">
        <v>4164</v>
      </c>
      <c r="P178" s="697">
        <v>0.2</v>
      </c>
      <c r="Q178" s="677">
        <v>4164</v>
      </c>
    </row>
    <row r="179" spans="1:17" ht="14.4" customHeight="1" x14ac:dyDescent="0.3">
      <c r="A179" s="672" t="s">
        <v>2956</v>
      </c>
      <c r="B179" s="673" t="s">
        <v>2627</v>
      </c>
      <c r="C179" s="673" t="s">
        <v>2102</v>
      </c>
      <c r="D179" s="673" t="s">
        <v>2632</v>
      </c>
      <c r="E179" s="673" t="s">
        <v>2633</v>
      </c>
      <c r="F179" s="676"/>
      <c r="G179" s="676"/>
      <c r="H179" s="676"/>
      <c r="I179" s="676"/>
      <c r="J179" s="676"/>
      <c r="K179" s="676"/>
      <c r="L179" s="676"/>
      <c r="M179" s="676"/>
      <c r="N179" s="676">
        <v>1</v>
      </c>
      <c r="O179" s="676">
        <v>283</v>
      </c>
      <c r="P179" s="697"/>
      <c r="Q179" s="677">
        <v>283</v>
      </c>
    </row>
    <row r="180" spans="1:17" ht="14.4" customHeight="1" x14ac:dyDescent="0.3">
      <c r="A180" s="672" t="s">
        <v>2956</v>
      </c>
      <c r="B180" s="673" t="s">
        <v>2627</v>
      </c>
      <c r="C180" s="673" t="s">
        <v>2102</v>
      </c>
      <c r="D180" s="673" t="s">
        <v>3065</v>
      </c>
      <c r="E180" s="673" t="s">
        <v>3066</v>
      </c>
      <c r="F180" s="676"/>
      <c r="G180" s="676"/>
      <c r="H180" s="676"/>
      <c r="I180" s="676"/>
      <c r="J180" s="676">
        <v>3</v>
      </c>
      <c r="K180" s="676">
        <v>18957</v>
      </c>
      <c r="L180" s="676">
        <v>1</v>
      </c>
      <c r="M180" s="676">
        <v>6319</v>
      </c>
      <c r="N180" s="676">
        <v>1</v>
      </c>
      <c r="O180" s="676">
        <v>6320</v>
      </c>
      <c r="P180" s="697">
        <v>0.33338608429603839</v>
      </c>
      <c r="Q180" s="677">
        <v>6320</v>
      </c>
    </row>
    <row r="181" spans="1:17" ht="14.4" customHeight="1" x14ac:dyDescent="0.3">
      <c r="A181" s="672" t="s">
        <v>2956</v>
      </c>
      <c r="B181" s="673" t="s">
        <v>2627</v>
      </c>
      <c r="C181" s="673" t="s">
        <v>2102</v>
      </c>
      <c r="D181" s="673" t="s">
        <v>3067</v>
      </c>
      <c r="E181" s="673" t="s">
        <v>3068</v>
      </c>
      <c r="F181" s="676">
        <v>1</v>
      </c>
      <c r="G181" s="676">
        <v>1527</v>
      </c>
      <c r="H181" s="676"/>
      <c r="I181" s="676">
        <v>1527</v>
      </c>
      <c r="J181" s="676"/>
      <c r="K181" s="676"/>
      <c r="L181" s="676"/>
      <c r="M181" s="676"/>
      <c r="N181" s="676"/>
      <c r="O181" s="676"/>
      <c r="P181" s="697"/>
      <c r="Q181" s="677"/>
    </row>
    <row r="182" spans="1:17" ht="14.4" customHeight="1" x14ac:dyDescent="0.3">
      <c r="A182" s="672" t="s">
        <v>2956</v>
      </c>
      <c r="B182" s="673" t="s">
        <v>2627</v>
      </c>
      <c r="C182" s="673" t="s">
        <v>2102</v>
      </c>
      <c r="D182" s="673" t="s">
        <v>3069</v>
      </c>
      <c r="E182" s="673" t="s">
        <v>3070</v>
      </c>
      <c r="F182" s="676">
        <v>6</v>
      </c>
      <c r="G182" s="676">
        <v>22944</v>
      </c>
      <c r="H182" s="676">
        <v>0.23776165803108809</v>
      </c>
      <c r="I182" s="676">
        <v>3824</v>
      </c>
      <c r="J182" s="676">
        <v>25</v>
      </c>
      <c r="K182" s="676">
        <v>96500</v>
      </c>
      <c r="L182" s="676">
        <v>1</v>
      </c>
      <c r="M182" s="676">
        <v>3860</v>
      </c>
      <c r="N182" s="676">
        <v>9</v>
      </c>
      <c r="O182" s="676">
        <v>34740</v>
      </c>
      <c r="P182" s="697">
        <v>0.36</v>
      </c>
      <c r="Q182" s="677">
        <v>3860</v>
      </c>
    </row>
    <row r="183" spans="1:17" ht="14.4" customHeight="1" x14ac:dyDescent="0.3">
      <c r="A183" s="672" t="s">
        <v>2956</v>
      </c>
      <c r="B183" s="673" t="s">
        <v>2627</v>
      </c>
      <c r="C183" s="673" t="s">
        <v>2102</v>
      </c>
      <c r="D183" s="673" t="s">
        <v>3071</v>
      </c>
      <c r="E183" s="673" t="s">
        <v>3072</v>
      </c>
      <c r="F183" s="676">
        <v>1</v>
      </c>
      <c r="G183" s="676">
        <v>5162</v>
      </c>
      <c r="H183" s="676">
        <v>0.49539347408829176</v>
      </c>
      <c r="I183" s="676">
        <v>5162</v>
      </c>
      <c r="J183" s="676">
        <v>2</v>
      </c>
      <c r="K183" s="676">
        <v>10420</v>
      </c>
      <c r="L183" s="676">
        <v>1</v>
      </c>
      <c r="M183" s="676">
        <v>5210</v>
      </c>
      <c r="N183" s="676"/>
      <c r="O183" s="676"/>
      <c r="P183" s="697"/>
      <c r="Q183" s="677"/>
    </row>
    <row r="184" spans="1:17" ht="14.4" customHeight="1" x14ac:dyDescent="0.3">
      <c r="A184" s="672" t="s">
        <v>2956</v>
      </c>
      <c r="B184" s="673" t="s">
        <v>2627</v>
      </c>
      <c r="C184" s="673" t="s">
        <v>2102</v>
      </c>
      <c r="D184" s="673" t="s">
        <v>3073</v>
      </c>
      <c r="E184" s="673" t="s">
        <v>3074</v>
      </c>
      <c r="F184" s="676">
        <v>3</v>
      </c>
      <c r="G184" s="676">
        <v>23559</v>
      </c>
      <c r="H184" s="676">
        <v>0.16515247108307046</v>
      </c>
      <c r="I184" s="676">
        <v>7853</v>
      </c>
      <c r="J184" s="676">
        <v>18</v>
      </c>
      <c r="K184" s="676">
        <v>142650</v>
      </c>
      <c r="L184" s="676">
        <v>1</v>
      </c>
      <c r="M184" s="676">
        <v>7925</v>
      </c>
      <c r="N184" s="676">
        <v>7</v>
      </c>
      <c r="O184" s="676">
        <v>55482</v>
      </c>
      <c r="P184" s="697">
        <v>0.38893796004206099</v>
      </c>
      <c r="Q184" s="677">
        <v>7926</v>
      </c>
    </row>
    <row r="185" spans="1:17" ht="14.4" customHeight="1" x14ac:dyDescent="0.3">
      <c r="A185" s="672" t="s">
        <v>2956</v>
      </c>
      <c r="B185" s="673" t="s">
        <v>2627</v>
      </c>
      <c r="C185" s="673" t="s">
        <v>2102</v>
      </c>
      <c r="D185" s="673" t="s">
        <v>3075</v>
      </c>
      <c r="E185" s="673" t="s">
        <v>3076</v>
      </c>
      <c r="F185" s="676"/>
      <c r="G185" s="676"/>
      <c r="H185" s="676"/>
      <c r="I185" s="676"/>
      <c r="J185" s="676">
        <v>3</v>
      </c>
      <c r="K185" s="676">
        <v>5106</v>
      </c>
      <c r="L185" s="676">
        <v>1</v>
      </c>
      <c r="M185" s="676">
        <v>1702</v>
      </c>
      <c r="N185" s="676">
        <v>1</v>
      </c>
      <c r="O185" s="676">
        <v>1702</v>
      </c>
      <c r="P185" s="697">
        <v>0.33333333333333331</v>
      </c>
      <c r="Q185" s="677">
        <v>1702</v>
      </c>
    </row>
    <row r="186" spans="1:17" ht="14.4" customHeight="1" x14ac:dyDescent="0.3">
      <c r="A186" s="672" t="s">
        <v>2956</v>
      </c>
      <c r="B186" s="673" t="s">
        <v>2627</v>
      </c>
      <c r="C186" s="673" t="s">
        <v>2102</v>
      </c>
      <c r="D186" s="673" t="s">
        <v>3077</v>
      </c>
      <c r="E186" s="673" t="s">
        <v>3078</v>
      </c>
      <c r="F186" s="676">
        <v>14</v>
      </c>
      <c r="G186" s="676">
        <v>17934</v>
      </c>
      <c r="H186" s="676">
        <v>1.0669284311975726</v>
      </c>
      <c r="I186" s="676">
        <v>1281</v>
      </c>
      <c r="J186" s="676">
        <v>13</v>
      </c>
      <c r="K186" s="676">
        <v>16809</v>
      </c>
      <c r="L186" s="676">
        <v>1</v>
      </c>
      <c r="M186" s="676">
        <v>1293</v>
      </c>
      <c r="N186" s="676">
        <v>19</v>
      </c>
      <c r="O186" s="676">
        <v>24586</v>
      </c>
      <c r="P186" s="697">
        <v>1.462668808376465</v>
      </c>
      <c r="Q186" s="677">
        <v>1294</v>
      </c>
    </row>
    <row r="187" spans="1:17" ht="14.4" customHeight="1" x14ac:dyDescent="0.3">
      <c r="A187" s="672" t="s">
        <v>2956</v>
      </c>
      <c r="B187" s="673" t="s">
        <v>2627</v>
      </c>
      <c r="C187" s="673" t="s">
        <v>2102</v>
      </c>
      <c r="D187" s="673" t="s">
        <v>3079</v>
      </c>
      <c r="E187" s="673" t="s">
        <v>3080</v>
      </c>
      <c r="F187" s="676">
        <v>13</v>
      </c>
      <c r="G187" s="676">
        <v>15171</v>
      </c>
      <c r="H187" s="676">
        <v>1.1717772456939832</v>
      </c>
      <c r="I187" s="676">
        <v>1167</v>
      </c>
      <c r="J187" s="676">
        <v>11</v>
      </c>
      <c r="K187" s="676">
        <v>12947</v>
      </c>
      <c r="L187" s="676">
        <v>1</v>
      </c>
      <c r="M187" s="676">
        <v>1177</v>
      </c>
      <c r="N187" s="676">
        <v>16</v>
      </c>
      <c r="O187" s="676">
        <v>18848</v>
      </c>
      <c r="P187" s="697">
        <v>1.4557812620684329</v>
      </c>
      <c r="Q187" s="677">
        <v>1178</v>
      </c>
    </row>
    <row r="188" spans="1:17" ht="14.4" customHeight="1" x14ac:dyDescent="0.3">
      <c r="A188" s="672" t="s">
        <v>2956</v>
      </c>
      <c r="B188" s="673" t="s">
        <v>2627</v>
      </c>
      <c r="C188" s="673" t="s">
        <v>2102</v>
      </c>
      <c r="D188" s="673" t="s">
        <v>3081</v>
      </c>
      <c r="E188" s="673" t="s">
        <v>3082</v>
      </c>
      <c r="F188" s="676"/>
      <c r="G188" s="676"/>
      <c r="H188" s="676"/>
      <c r="I188" s="676"/>
      <c r="J188" s="676">
        <v>2</v>
      </c>
      <c r="K188" s="676">
        <v>10314</v>
      </c>
      <c r="L188" s="676">
        <v>1</v>
      </c>
      <c r="M188" s="676">
        <v>5157</v>
      </c>
      <c r="N188" s="676">
        <v>3</v>
      </c>
      <c r="O188" s="676">
        <v>15471</v>
      </c>
      <c r="P188" s="697">
        <v>1.5</v>
      </c>
      <c r="Q188" s="677">
        <v>5157</v>
      </c>
    </row>
    <row r="189" spans="1:17" ht="14.4" customHeight="1" x14ac:dyDescent="0.3">
      <c r="A189" s="672" t="s">
        <v>2956</v>
      </c>
      <c r="B189" s="673" t="s">
        <v>2627</v>
      </c>
      <c r="C189" s="673" t="s">
        <v>2102</v>
      </c>
      <c r="D189" s="673" t="s">
        <v>3083</v>
      </c>
      <c r="E189" s="673" t="s">
        <v>3084</v>
      </c>
      <c r="F189" s="676"/>
      <c r="G189" s="676"/>
      <c r="H189" s="676"/>
      <c r="I189" s="676"/>
      <c r="J189" s="676">
        <v>1</v>
      </c>
      <c r="K189" s="676">
        <v>800</v>
      </c>
      <c r="L189" s="676">
        <v>1</v>
      </c>
      <c r="M189" s="676">
        <v>800</v>
      </c>
      <c r="N189" s="676">
        <v>2</v>
      </c>
      <c r="O189" s="676">
        <v>1602</v>
      </c>
      <c r="P189" s="697">
        <v>2.0024999999999999</v>
      </c>
      <c r="Q189" s="677">
        <v>801</v>
      </c>
    </row>
    <row r="190" spans="1:17" ht="14.4" customHeight="1" x14ac:dyDescent="0.3">
      <c r="A190" s="672" t="s">
        <v>2956</v>
      </c>
      <c r="B190" s="673" t="s">
        <v>2627</v>
      </c>
      <c r="C190" s="673" t="s">
        <v>2102</v>
      </c>
      <c r="D190" s="673" t="s">
        <v>3085</v>
      </c>
      <c r="E190" s="673" t="s">
        <v>3086</v>
      </c>
      <c r="F190" s="676">
        <v>197</v>
      </c>
      <c r="G190" s="676">
        <v>34475</v>
      </c>
      <c r="H190" s="676">
        <v>0.79499596448748988</v>
      </c>
      <c r="I190" s="676">
        <v>175</v>
      </c>
      <c r="J190" s="676">
        <v>245</v>
      </c>
      <c r="K190" s="676">
        <v>43365</v>
      </c>
      <c r="L190" s="676">
        <v>1</v>
      </c>
      <c r="M190" s="676">
        <v>177</v>
      </c>
      <c r="N190" s="676">
        <v>255</v>
      </c>
      <c r="O190" s="676">
        <v>45135</v>
      </c>
      <c r="P190" s="697">
        <v>1.0408163265306123</v>
      </c>
      <c r="Q190" s="677">
        <v>177</v>
      </c>
    </row>
    <row r="191" spans="1:17" ht="14.4" customHeight="1" x14ac:dyDescent="0.3">
      <c r="A191" s="672" t="s">
        <v>2956</v>
      </c>
      <c r="B191" s="673" t="s">
        <v>2627</v>
      </c>
      <c r="C191" s="673" t="s">
        <v>2102</v>
      </c>
      <c r="D191" s="673" t="s">
        <v>3087</v>
      </c>
      <c r="E191" s="673" t="s">
        <v>3088</v>
      </c>
      <c r="F191" s="676">
        <v>12</v>
      </c>
      <c r="G191" s="676">
        <v>24012</v>
      </c>
      <c r="H191" s="676">
        <v>0.61708470394736847</v>
      </c>
      <c r="I191" s="676">
        <v>2001</v>
      </c>
      <c r="J191" s="676">
        <v>19</v>
      </c>
      <c r="K191" s="676">
        <v>38912</v>
      </c>
      <c r="L191" s="676">
        <v>1</v>
      </c>
      <c r="M191" s="676">
        <v>2048</v>
      </c>
      <c r="N191" s="676">
        <v>22</v>
      </c>
      <c r="O191" s="676">
        <v>45078</v>
      </c>
      <c r="P191" s="697">
        <v>1.158460115131579</v>
      </c>
      <c r="Q191" s="677">
        <v>2049</v>
      </c>
    </row>
    <row r="192" spans="1:17" ht="14.4" customHeight="1" x14ac:dyDescent="0.3">
      <c r="A192" s="672" t="s">
        <v>2956</v>
      </c>
      <c r="B192" s="673" t="s">
        <v>2627</v>
      </c>
      <c r="C192" s="673" t="s">
        <v>2102</v>
      </c>
      <c r="D192" s="673" t="s">
        <v>3089</v>
      </c>
      <c r="E192" s="673" t="s">
        <v>3090</v>
      </c>
      <c r="F192" s="676"/>
      <c r="G192" s="676"/>
      <c r="H192" s="676"/>
      <c r="I192" s="676"/>
      <c r="J192" s="676">
        <v>1</v>
      </c>
      <c r="K192" s="676">
        <v>2736</v>
      </c>
      <c r="L192" s="676">
        <v>1</v>
      </c>
      <c r="M192" s="676">
        <v>2736</v>
      </c>
      <c r="N192" s="676"/>
      <c r="O192" s="676"/>
      <c r="P192" s="697"/>
      <c r="Q192" s="677"/>
    </row>
    <row r="193" spans="1:17" ht="14.4" customHeight="1" x14ac:dyDescent="0.3">
      <c r="A193" s="672" t="s">
        <v>2956</v>
      </c>
      <c r="B193" s="673" t="s">
        <v>2627</v>
      </c>
      <c r="C193" s="673" t="s">
        <v>2102</v>
      </c>
      <c r="D193" s="673" t="s">
        <v>3091</v>
      </c>
      <c r="E193" s="673" t="s">
        <v>3092</v>
      </c>
      <c r="F193" s="676">
        <v>5</v>
      </c>
      <c r="G193" s="676">
        <v>3310</v>
      </c>
      <c r="H193" s="676">
        <v>4.9109792284866467</v>
      </c>
      <c r="I193" s="676">
        <v>662</v>
      </c>
      <c r="J193" s="676">
        <v>1</v>
      </c>
      <c r="K193" s="676">
        <v>674</v>
      </c>
      <c r="L193" s="676">
        <v>1</v>
      </c>
      <c r="M193" s="676">
        <v>674</v>
      </c>
      <c r="N193" s="676">
        <v>1</v>
      </c>
      <c r="O193" s="676">
        <v>675</v>
      </c>
      <c r="P193" s="697">
        <v>1.0014836795252227</v>
      </c>
      <c r="Q193" s="677">
        <v>675</v>
      </c>
    </row>
    <row r="194" spans="1:17" ht="14.4" customHeight="1" x14ac:dyDescent="0.3">
      <c r="A194" s="672" t="s">
        <v>2956</v>
      </c>
      <c r="B194" s="673" t="s">
        <v>2627</v>
      </c>
      <c r="C194" s="673" t="s">
        <v>2102</v>
      </c>
      <c r="D194" s="673" t="s">
        <v>3093</v>
      </c>
      <c r="E194" s="673" t="s">
        <v>3094</v>
      </c>
      <c r="F194" s="676">
        <v>1</v>
      </c>
      <c r="G194" s="676">
        <v>2082</v>
      </c>
      <c r="H194" s="676">
        <v>0.49266445811642212</v>
      </c>
      <c r="I194" s="676">
        <v>2082</v>
      </c>
      <c r="J194" s="676">
        <v>2</v>
      </c>
      <c r="K194" s="676">
        <v>4226</v>
      </c>
      <c r="L194" s="676">
        <v>1</v>
      </c>
      <c r="M194" s="676">
        <v>2113</v>
      </c>
      <c r="N194" s="676"/>
      <c r="O194" s="676"/>
      <c r="P194" s="697"/>
      <c r="Q194" s="677"/>
    </row>
    <row r="195" spans="1:17" ht="14.4" customHeight="1" x14ac:dyDescent="0.3">
      <c r="A195" s="672" t="s">
        <v>2956</v>
      </c>
      <c r="B195" s="673" t="s">
        <v>2627</v>
      </c>
      <c r="C195" s="673" t="s">
        <v>2102</v>
      </c>
      <c r="D195" s="673" t="s">
        <v>3095</v>
      </c>
      <c r="E195" s="673" t="s">
        <v>3096</v>
      </c>
      <c r="F195" s="676">
        <v>3</v>
      </c>
      <c r="G195" s="676">
        <v>453</v>
      </c>
      <c r="H195" s="676">
        <v>0.97419354838709682</v>
      </c>
      <c r="I195" s="676">
        <v>151</v>
      </c>
      <c r="J195" s="676">
        <v>3</v>
      </c>
      <c r="K195" s="676">
        <v>465</v>
      </c>
      <c r="L195" s="676">
        <v>1</v>
      </c>
      <c r="M195" s="676">
        <v>155</v>
      </c>
      <c r="N195" s="676"/>
      <c r="O195" s="676"/>
      <c r="P195" s="697"/>
      <c r="Q195" s="677"/>
    </row>
    <row r="196" spans="1:17" ht="14.4" customHeight="1" x14ac:dyDescent="0.3">
      <c r="A196" s="672" t="s">
        <v>2956</v>
      </c>
      <c r="B196" s="673" t="s">
        <v>2627</v>
      </c>
      <c r="C196" s="673" t="s">
        <v>2102</v>
      </c>
      <c r="D196" s="673" t="s">
        <v>3097</v>
      </c>
      <c r="E196" s="673" t="s">
        <v>3098</v>
      </c>
      <c r="F196" s="676">
        <v>2</v>
      </c>
      <c r="G196" s="676">
        <v>390</v>
      </c>
      <c r="H196" s="676"/>
      <c r="I196" s="676">
        <v>195</v>
      </c>
      <c r="J196" s="676"/>
      <c r="K196" s="676"/>
      <c r="L196" s="676"/>
      <c r="M196" s="676"/>
      <c r="N196" s="676"/>
      <c r="O196" s="676"/>
      <c r="P196" s="697"/>
      <c r="Q196" s="677"/>
    </row>
    <row r="197" spans="1:17" ht="14.4" customHeight="1" x14ac:dyDescent="0.3">
      <c r="A197" s="672" t="s">
        <v>2956</v>
      </c>
      <c r="B197" s="673" t="s">
        <v>2627</v>
      </c>
      <c r="C197" s="673" t="s">
        <v>2102</v>
      </c>
      <c r="D197" s="673" t="s">
        <v>3099</v>
      </c>
      <c r="E197" s="673" t="s">
        <v>3100</v>
      </c>
      <c r="F197" s="676">
        <v>97</v>
      </c>
      <c r="G197" s="676">
        <v>19400</v>
      </c>
      <c r="H197" s="676">
        <v>0.53127396209880595</v>
      </c>
      <c r="I197" s="676">
        <v>200</v>
      </c>
      <c r="J197" s="676">
        <v>179</v>
      </c>
      <c r="K197" s="676">
        <v>36516</v>
      </c>
      <c r="L197" s="676">
        <v>1</v>
      </c>
      <c r="M197" s="676">
        <v>204</v>
      </c>
      <c r="N197" s="676">
        <v>112</v>
      </c>
      <c r="O197" s="676">
        <v>22848</v>
      </c>
      <c r="P197" s="697">
        <v>0.62569832402234637</v>
      </c>
      <c r="Q197" s="677">
        <v>204</v>
      </c>
    </row>
    <row r="198" spans="1:17" ht="14.4" customHeight="1" x14ac:dyDescent="0.3">
      <c r="A198" s="672" t="s">
        <v>2956</v>
      </c>
      <c r="B198" s="673" t="s">
        <v>2627</v>
      </c>
      <c r="C198" s="673" t="s">
        <v>2102</v>
      </c>
      <c r="D198" s="673" t="s">
        <v>3101</v>
      </c>
      <c r="E198" s="673" t="s">
        <v>3102</v>
      </c>
      <c r="F198" s="676">
        <v>12</v>
      </c>
      <c r="G198" s="676">
        <v>5016</v>
      </c>
      <c r="H198" s="676">
        <v>5.887323943661972</v>
      </c>
      <c r="I198" s="676">
        <v>418</v>
      </c>
      <c r="J198" s="676">
        <v>2</v>
      </c>
      <c r="K198" s="676">
        <v>852</v>
      </c>
      <c r="L198" s="676">
        <v>1</v>
      </c>
      <c r="M198" s="676">
        <v>426</v>
      </c>
      <c r="N198" s="676">
        <v>1</v>
      </c>
      <c r="O198" s="676">
        <v>426</v>
      </c>
      <c r="P198" s="697">
        <v>0.5</v>
      </c>
      <c r="Q198" s="677">
        <v>426</v>
      </c>
    </row>
    <row r="199" spans="1:17" ht="14.4" customHeight="1" x14ac:dyDescent="0.3">
      <c r="A199" s="672" t="s">
        <v>2956</v>
      </c>
      <c r="B199" s="673" t="s">
        <v>2627</v>
      </c>
      <c r="C199" s="673" t="s">
        <v>2102</v>
      </c>
      <c r="D199" s="673" t="s">
        <v>3103</v>
      </c>
      <c r="E199" s="673" t="s">
        <v>3104</v>
      </c>
      <c r="F199" s="676"/>
      <c r="G199" s="676"/>
      <c r="H199" s="676"/>
      <c r="I199" s="676"/>
      <c r="J199" s="676"/>
      <c r="K199" s="676"/>
      <c r="L199" s="676"/>
      <c r="M199" s="676"/>
      <c r="N199" s="676">
        <v>2</v>
      </c>
      <c r="O199" s="676">
        <v>326</v>
      </c>
      <c r="P199" s="697"/>
      <c r="Q199" s="677">
        <v>163</v>
      </c>
    </row>
    <row r="200" spans="1:17" ht="14.4" customHeight="1" x14ac:dyDescent="0.3">
      <c r="A200" s="672" t="s">
        <v>2956</v>
      </c>
      <c r="B200" s="673" t="s">
        <v>2627</v>
      </c>
      <c r="C200" s="673" t="s">
        <v>2102</v>
      </c>
      <c r="D200" s="673" t="s">
        <v>3105</v>
      </c>
      <c r="E200" s="673" t="s">
        <v>3106</v>
      </c>
      <c r="F200" s="676">
        <v>2</v>
      </c>
      <c r="G200" s="676">
        <v>856</v>
      </c>
      <c r="H200" s="676">
        <v>0.98165137614678899</v>
      </c>
      <c r="I200" s="676">
        <v>428</v>
      </c>
      <c r="J200" s="676">
        <v>2</v>
      </c>
      <c r="K200" s="676">
        <v>872</v>
      </c>
      <c r="L200" s="676">
        <v>1</v>
      </c>
      <c r="M200" s="676">
        <v>436</v>
      </c>
      <c r="N200" s="676"/>
      <c r="O200" s="676"/>
      <c r="P200" s="697"/>
      <c r="Q200" s="677"/>
    </row>
    <row r="201" spans="1:17" ht="14.4" customHeight="1" x14ac:dyDescent="0.3">
      <c r="A201" s="672" t="s">
        <v>2956</v>
      </c>
      <c r="B201" s="673" t="s">
        <v>2627</v>
      </c>
      <c r="C201" s="673" t="s">
        <v>2102</v>
      </c>
      <c r="D201" s="673" t="s">
        <v>3107</v>
      </c>
      <c r="E201" s="673" t="s">
        <v>3108</v>
      </c>
      <c r="F201" s="676">
        <v>20</v>
      </c>
      <c r="G201" s="676">
        <v>42460</v>
      </c>
      <c r="H201" s="676">
        <v>0.51874114254996828</v>
      </c>
      <c r="I201" s="676">
        <v>2123</v>
      </c>
      <c r="J201" s="676">
        <v>38</v>
      </c>
      <c r="K201" s="676">
        <v>81852</v>
      </c>
      <c r="L201" s="676">
        <v>1</v>
      </c>
      <c r="M201" s="676">
        <v>2154</v>
      </c>
      <c r="N201" s="676">
        <v>41</v>
      </c>
      <c r="O201" s="676">
        <v>88355</v>
      </c>
      <c r="P201" s="697">
        <v>1.0794482724918144</v>
      </c>
      <c r="Q201" s="677">
        <v>2155</v>
      </c>
    </row>
    <row r="202" spans="1:17" ht="14.4" customHeight="1" x14ac:dyDescent="0.3">
      <c r="A202" s="672" t="s">
        <v>2956</v>
      </c>
      <c r="B202" s="673" t="s">
        <v>2627</v>
      </c>
      <c r="C202" s="673" t="s">
        <v>2102</v>
      </c>
      <c r="D202" s="673" t="s">
        <v>3109</v>
      </c>
      <c r="E202" s="673" t="s">
        <v>3070</v>
      </c>
      <c r="F202" s="676">
        <v>11</v>
      </c>
      <c r="G202" s="676">
        <v>20559</v>
      </c>
      <c r="H202" s="676">
        <v>0.38890360169491528</v>
      </c>
      <c r="I202" s="676">
        <v>1869</v>
      </c>
      <c r="J202" s="676">
        <v>28</v>
      </c>
      <c r="K202" s="676">
        <v>52864</v>
      </c>
      <c r="L202" s="676">
        <v>1</v>
      </c>
      <c r="M202" s="676">
        <v>1888</v>
      </c>
      <c r="N202" s="676">
        <v>14</v>
      </c>
      <c r="O202" s="676">
        <v>26446</v>
      </c>
      <c r="P202" s="697">
        <v>0.50026483050847459</v>
      </c>
      <c r="Q202" s="677">
        <v>1889</v>
      </c>
    </row>
    <row r="203" spans="1:17" ht="14.4" customHeight="1" x14ac:dyDescent="0.3">
      <c r="A203" s="672" t="s">
        <v>2956</v>
      </c>
      <c r="B203" s="673" t="s">
        <v>2627</v>
      </c>
      <c r="C203" s="673" t="s">
        <v>2102</v>
      </c>
      <c r="D203" s="673" t="s">
        <v>3110</v>
      </c>
      <c r="E203" s="673" t="s">
        <v>3111</v>
      </c>
      <c r="F203" s="676">
        <v>1</v>
      </c>
      <c r="G203" s="676">
        <v>917</v>
      </c>
      <c r="H203" s="676">
        <v>0.49142550911039656</v>
      </c>
      <c r="I203" s="676">
        <v>917</v>
      </c>
      <c r="J203" s="676">
        <v>2</v>
      </c>
      <c r="K203" s="676">
        <v>1866</v>
      </c>
      <c r="L203" s="676">
        <v>1</v>
      </c>
      <c r="M203" s="676">
        <v>933</v>
      </c>
      <c r="N203" s="676"/>
      <c r="O203" s="676"/>
      <c r="P203" s="697"/>
      <c r="Q203" s="677"/>
    </row>
    <row r="204" spans="1:17" ht="14.4" customHeight="1" x14ac:dyDescent="0.3">
      <c r="A204" s="672" t="s">
        <v>2956</v>
      </c>
      <c r="B204" s="673" t="s">
        <v>2627</v>
      </c>
      <c r="C204" s="673" t="s">
        <v>2102</v>
      </c>
      <c r="D204" s="673" t="s">
        <v>3112</v>
      </c>
      <c r="E204" s="673" t="s">
        <v>3113</v>
      </c>
      <c r="F204" s="676">
        <v>6</v>
      </c>
      <c r="G204" s="676">
        <v>50394</v>
      </c>
      <c r="H204" s="676">
        <v>0.35043775164634949</v>
      </c>
      <c r="I204" s="676">
        <v>8399</v>
      </c>
      <c r="J204" s="676">
        <v>17</v>
      </c>
      <c r="K204" s="676">
        <v>143803</v>
      </c>
      <c r="L204" s="676">
        <v>1</v>
      </c>
      <c r="M204" s="676">
        <v>8459</v>
      </c>
      <c r="N204" s="676">
        <v>8</v>
      </c>
      <c r="O204" s="676">
        <v>67680</v>
      </c>
      <c r="P204" s="697">
        <v>0.47064386695687849</v>
      </c>
      <c r="Q204" s="677">
        <v>8460</v>
      </c>
    </row>
    <row r="205" spans="1:17" ht="14.4" customHeight="1" x14ac:dyDescent="0.3">
      <c r="A205" s="672" t="s">
        <v>2956</v>
      </c>
      <c r="B205" s="673" t="s">
        <v>2627</v>
      </c>
      <c r="C205" s="673" t="s">
        <v>2102</v>
      </c>
      <c r="D205" s="673" t="s">
        <v>3114</v>
      </c>
      <c r="E205" s="673" t="s">
        <v>3115</v>
      </c>
      <c r="F205" s="676"/>
      <c r="G205" s="676"/>
      <c r="H205" s="676"/>
      <c r="I205" s="676"/>
      <c r="J205" s="676">
        <v>1</v>
      </c>
      <c r="K205" s="676">
        <v>2053</v>
      </c>
      <c r="L205" s="676">
        <v>1</v>
      </c>
      <c r="M205" s="676">
        <v>2053</v>
      </c>
      <c r="N205" s="676"/>
      <c r="O205" s="676"/>
      <c r="P205" s="697"/>
      <c r="Q205" s="677"/>
    </row>
    <row r="206" spans="1:17" ht="14.4" customHeight="1" x14ac:dyDescent="0.3">
      <c r="A206" s="672" t="s">
        <v>3116</v>
      </c>
      <c r="B206" s="673" t="s">
        <v>3117</v>
      </c>
      <c r="C206" s="673" t="s">
        <v>2102</v>
      </c>
      <c r="D206" s="673" t="s">
        <v>3118</v>
      </c>
      <c r="E206" s="673" t="s">
        <v>3119</v>
      </c>
      <c r="F206" s="676">
        <v>312</v>
      </c>
      <c r="G206" s="676">
        <v>64272</v>
      </c>
      <c r="H206" s="676">
        <v>1.180645872368566</v>
      </c>
      <c r="I206" s="676">
        <v>206</v>
      </c>
      <c r="J206" s="676">
        <v>258</v>
      </c>
      <c r="K206" s="676">
        <v>54438</v>
      </c>
      <c r="L206" s="676">
        <v>1</v>
      </c>
      <c r="M206" s="676">
        <v>211</v>
      </c>
      <c r="N206" s="676">
        <v>286</v>
      </c>
      <c r="O206" s="676">
        <v>60346</v>
      </c>
      <c r="P206" s="697">
        <v>1.1085271317829457</v>
      </c>
      <c r="Q206" s="677">
        <v>211</v>
      </c>
    </row>
    <row r="207" spans="1:17" ht="14.4" customHeight="1" x14ac:dyDescent="0.3">
      <c r="A207" s="672" t="s">
        <v>3116</v>
      </c>
      <c r="B207" s="673" t="s">
        <v>3117</v>
      </c>
      <c r="C207" s="673" t="s">
        <v>2102</v>
      </c>
      <c r="D207" s="673" t="s">
        <v>3120</v>
      </c>
      <c r="E207" s="673" t="s">
        <v>3121</v>
      </c>
      <c r="F207" s="676">
        <v>70</v>
      </c>
      <c r="G207" s="676">
        <v>20650</v>
      </c>
      <c r="H207" s="676">
        <v>0.32360684510750332</v>
      </c>
      <c r="I207" s="676">
        <v>295</v>
      </c>
      <c r="J207" s="676">
        <v>212</v>
      </c>
      <c r="K207" s="676">
        <v>63812</v>
      </c>
      <c r="L207" s="676">
        <v>1</v>
      </c>
      <c r="M207" s="676">
        <v>301</v>
      </c>
      <c r="N207" s="676">
        <v>238</v>
      </c>
      <c r="O207" s="676">
        <v>71638</v>
      </c>
      <c r="P207" s="697">
        <v>1.1226415094339623</v>
      </c>
      <c r="Q207" s="677">
        <v>301</v>
      </c>
    </row>
    <row r="208" spans="1:17" ht="14.4" customHeight="1" x14ac:dyDescent="0.3">
      <c r="A208" s="672" t="s">
        <v>3116</v>
      </c>
      <c r="B208" s="673" t="s">
        <v>3117</v>
      </c>
      <c r="C208" s="673" t="s">
        <v>2102</v>
      </c>
      <c r="D208" s="673" t="s">
        <v>3122</v>
      </c>
      <c r="E208" s="673" t="s">
        <v>3123</v>
      </c>
      <c r="F208" s="676"/>
      <c r="G208" s="676"/>
      <c r="H208" s="676"/>
      <c r="I208" s="676"/>
      <c r="J208" s="676">
        <v>3</v>
      </c>
      <c r="K208" s="676">
        <v>297</v>
      </c>
      <c r="L208" s="676">
        <v>1</v>
      </c>
      <c r="M208" s="676">
        <v>99</v>
      </c>
      <c r="N208" s="676"/>
      <c r="O208" s="676"/>
      <c r="P208" s="697"/>
      <c r="Q208" s="677"/>
    </row>
    <row r="209" spans="1:17" ht="14.4" customHeight="1" x14ac:dyDescent="0.3">
      <c r="A209" s="672" t="s">
        <v>3116</v>
      </c>
      <c r="B209" s="673" t="s">
        <v>3117</v>
      </c>
      <c r="C209" s="673" t="s">
        <v>2102</v>
      </c>
      <c r="D209" s="673" t="s">
        <v>3124</v>
      </c>
      <c r="E209" s="673" t="s">
        <v>3125</v>
      </c>
      <c r="F209" s="676">
        <v>48</v>
      </c>
      <c r="G209" s="676">
        <v>6480</v>
      </c>
      <c r="H209" s="676">
        <v>1.4333112143331121</v>
      </c>
      <c r="I209" s="676">
        <v>135</v>
      </c>
      <c r="J209" s="676">
        <v>33</v>
      </c>
      <c r="K209" s="676">
        <v>4521</v>
      </c>
      <c r="L209" s="676">
        <v>1</v>
      </c>
      <c r="M209" s="676">
        <v>137</v>
      </c>
      <c r="N209" s="676">
        <v>46</v>
      </c>
      <c r="O209" s="676">
        <v>6302</v>
      </c>
      <c r="P209" s="697">
        <v>1.393939393939394</v>
      </c>
      <c r="Q209" s="677">
        <v>137</v>
      </c>
    </row>
    <row r="210" spans="1:17" ht="14.4" customHeight="1" x14ac:dyDescent="0.3">
      <c r="A210" s="672" t="s">
        <v>3116</v>
      </c>
      <c r="B210" s="673" t="s">
        <v>3117</v>
      </c>
      <c r="C210" s="673" t="s">
        <v>2102</v>
      </c>
      <c r="D210" s="673" t="s">
        <v>3126</v>
      </c>
      <c r="E210" s="673" t="s">
        <v>3127</v>
      </c>
      <c r="F210" s="676">
        <v>3</v>
      </c>
      <c r="G210" s="676">
        <v>483</v>
      </c>
      <c r="H210" s="676">
        <v>0.46531791907514453</v>
      </c>
      <c r="I210" s="676">
        <v>161</v>
      </c>
      <c r="J210" s="676">
        <v>6</v>
      </c>
      <c r="K210" s="676">
        <v>1038</v>
      </c>
      <c r="L210" s="676">
        <v>1</v>
      </c>
      <c r="M210" s="676">
        <v>173</v>
      </c>
      <c r="N210" s="676">
        <v>9</v>
      </c>
      <c r="O210" s="676">
        <v>1557</v>
      </c>
      <c r="P210" s="697">
        <v>1.5</v>
      </c>
      <c r="Q210" s="677">
        <v>173</v>
      </c>
    </row>
    <row r="211" spans="1:17" ht="14.4" customHeight="1" x14ac:dyDescent="0.3">
      <c r="A211" s="672" t="s">
        <v>3116</v>
      </c>
      <c r="B211" s="673" t="s">
        <v>3117</v>
      </c>
      <c r="C211" s="673" t="s">
        <v>2102</v>
      </c>
      <c r="D211" s="673" t="s">
        <v>3128</v>
      </c>
      <c r="E211" s="673" t="s">
        <v>3129</v>
      </c>
      <c r="F211" s="676">
        <v>1</v>
      </c>
      <c r="G211" s="676">
        <v>383</v>
      </c>
      <c r="H211" s="676"/>
      <c r="I211" s="676">
        <v>383</v>
      </c>
      <c r="J211" s="676"/>
      <c r="K211" s="676"/>
      <c r="L211" s="676"/>
      <c r="M211" s="676"/>
      <c r="N211" s="676"/>
      <c r="O211" s="676"/>
      <c r="P211" s="697"/>
      <c r="Q211" s="677"/>
    </row>
    <row r="212" spans="1:17" ht="14.4" customHeight="1" x14ac:dyDescent="0.3">
      <c r="A212" s="672" t="s">
        <v>3116</v>
      </c>
      <c r="B212" s="673" t="s">
        <v>3117</v>
      </c>
      <c r="C212" s="673" t="s">
        <v>2102</v>
      </c>
      <c r="D212" s="673" t="s">
        <v>3130</v>
      </c>
      <c r="E212" s="673" t="s">
        <v>3131</v>
      </c>
      <c r="F212" s="676">
        <v>45</v>
      </c>
      <c r="G212" s="676">
        <v>11970</v>
      </c>
      <c r="H212" s="676">
        <v>1.2527472527472527</v>
      </c>
      <c r="I212" s="676">
        <v>266</v>
      </c>
      <c r="J212" s="676">
        <v>35</v>
      </c>
      <c r="K212" s="676">
        <v>9555</v>
      </c>
      <c r="L212" s="676">
        <v>1</v>
      </c>
      <c r="M212" s="676">
        <v>273</v>
      </c>
      <c r="N212" s="676"/>
      <c r="O212" s="676"/>
      <c r="P212" s="697"/>
      <c r="Q212" s="677"/>
    </row>
    <row r="213" spans="1:17" ht="14.4" customHeight="1" x14ac:dyDescent="0.3">
      <c r="A213" s="672" t="s">
        <v>3116</v>
      </c>
      <c r="B213" s="673" t="s">
        <v>3117</v>
      </c>
      <c r="C213" s="673" t="s">
        <v>2102</v>
      </c>
      <c r="D213" s="673" t="s">
        <v>3132</v>
      </c>
      <c r="E213" s="673" t="s">
        <v>3133</v>
      </c>
      <c r="F213" s="676">
        <v>82</v>
      </c>
      <c r="G213" s="676">
        <v>11562</v>
      </c>
      <c r="H213" s="676">
        <v>1.313266696955929</v>
      </c>
      <c r="I213" s="676">
        <v>141</v>
      </c>
      <c r="J213" s="676">
        <v>62</v>
      </c>
      <c r="K213" s="676">
        <v>8804</v>
      </c>
      <c r="L213" s="676">
        <v>1</v>
      </c>
      <c r="M213" s="676">
        <v>142</v>
      </c>
      <c r="N213" s="676">
        <v>86</v>
      </c>
      <c r="O213" s="676">
        <v>12212</v>
      </c>
      <c r="P213" s="697">
        <v>1.3870967741935485</v>
      </c>
      <c r="Q213" s="677">
        <v>142</v>
      </c>
    </row>
    <row r="214" spans="1:17" ht="14.4" customHeight="1" x14ac:dyDescent="0.3">
      <c r="A214" s="672" t="s">
        <v>3116</v>
      </c>
      <c r="B214" s="673" t="s">
        <v>3117</v>
      </c>
      <c r="C214" s="673" t="s">
        <v>2102</v>
      </c>
      <c r="D214" s="673" t="s">
        <v>3134</v>
      </c>
      <c r="E214" s="673" t="s">
        <v>3133</v>
      </c>
      <c r="F214" s="676">
        <v>48</v>
      </c>
      <c r="G214" s="676">
        <v>3744</v>
      </c>
      <c r="H214" s="676">
        <v>1.4545454545454546</v>
      </c>
      <c r="I214" s="676">
        <v>78</v>
      </c>
      <c r="J214" s="676">
        <v>33</v>
      </c>
      <c r="K214" s="676">
        <v>2574</v>
      </c>
      <c r="L214" s="676">
        <v>1</v>
      </c>
      <c r="M214" s="676">
        <v>78</v>
      </c>
      <c r="N214" s="676">
        <v>46</v>
      </c>
      <c r="O214" s="676">
        <v>3588</v>
      </c>
      <c r="P214" s="697">
        <v>1.393939393939394</v>
      </c>
      <c r="Q214" s="677">
        <v>78</v>
      </c>
    </row>
    <row r="215" spans="1:17" ht="14.4" customHeight="1" x14ac:dyDescent="0.3">
      <c r="A215" s="672" t="s">
        <v>3116</v>
      </c>
      <c r="B215" s="673" t="s">
        <v>3117</v>
      </c>
      <c r="C215" s="673" t="s">
        <v>2102</v>
      </c>
      <c r="D215" s="673" t="s">
        <v>3135</v>
      </c>
      <c r="E215" s="673" t="s">
        <v>3136</v>
      </c>
      <c r="F215" s="676">
        <v>82</v>
      </c>
      <c r="G215" s="676">
        <v>25174</v>
      </c>
      <c r="H215" s="676">
        <v>1.2972276615479748</v>
      </c>
      <c r="I215" s="676">
        <v>307</v>
      </c>
      <c r="J215" s="676">
        <v>62</v>
      </c>
      <c r="K215" s="676">
        <v>19406</v>
      </c>
      <c r="L215" s="676">
        <v>1</v>
      </c>
      <c r="M215" s="676">
        <v>313</v>
      </c>
      <c r="N215" s="676">
        <v>85</v>
      </c>
      <c r="O215" s="676">
        <v>26690</v>
      </c>
      <c r="P215" s="697">
        <v>1.3753478305678657</v>
      </c>
      <c r="Q215" s="677">
        <v>314</v>
      </c>
    </row>
    <row r="216" spans="1:17" ht="14.4" customHeight="1" x14ac:dyDescent="0.3">
      <c r="A216" s="672" t="s">
        <v>3116</v>
      </c>
      <c r="B216" s="673" t="s">
        <v>3117</v>
      </c>
      <c r="C216" s="673" t="s">
        <v>2102</v>
      </c>
      <c r="D216" s="673" t="s">
        <v>3137</v>
      </c>
      <c r="E216" s="673" t="s">
        <v>3138</v>
      </c>
      <c r="F216" s="676">
        <v>1</v>
      </c>
      <c r="G216" s="676">
        <v>487</v>
      </c>
      <c r="H216" s="676"/>
      <c r="I216" s="676">
        <v>487</v>
      </c>
      <c r="J216" s="676"/>
      <c r="K216" s="676"/>
      <c r="L216" s="676"/>
      <c r="M216" s="676"/>
      <c r="N216" s="676"/>
      <c r="O216" s="676"/>
      <c r="P216" s="697"/>
      <c r="Q216" s="677"/>
    </row>
    <row r="217" spans="1:17" ht="14.4" customHeight="1" x14ac:dyDescent="0.3">
      <c r="A217" s="672" t="s">
        <v>3116</v>
      </c>
      <c r="B217" s="673" t="s">
        <v>3117</v>
      </c>
      <c r="C217" s="673" t="s">
        <v>2102</v>
      </c>
      <c r="D217" s="673" t="s">
        <v>3139</v>
      </c>
      <c r="E217" s="673" t="s">
        <v>3140</v>
      </c>
      <c r="F217" s="676">
        <v>15</v>
      </c>
      <c r="G217" s="676">
        <v>2415</v>
      </c>
      <c r="H217" s="676">
        <v>2.1165644171779143</v>
      </c>
      <c r="I217" s="676">
        <v>161</v>
      </c>
      <c r="J217" s="676">
        <v>7</v>
      </c>
      <c r="K217" s="676">
        <v>1141</v>
      </c>
      <c r="L217" s="676">
        <v>1</v>
      </c>
      <c r="M217" s="676">
        <v>163</v>
      </c>
      <c r="N217" s="676">
        <v>89</v>
      </c>
      <c r="O217" s="676">
        <v>14507</v>
      </c>
      <c r="P217" s="697">
        <v>12.714285714285714</v>
      </c>
      <c r="Q217" s="677">
        <v>163</v>
      </c>
    </row>
    <row r="218" spans="1:17" ht="14.4" customHeight="1" x14ac:dyDescent="0.3">
      <c r="A218" s="672" t="s">
        <v>3116</v>
      </c>
      <c r="B218" s="673" t="s">
        <v>3117</v>
      </c>
      <c r="C218" s="673" t="s">
        <v>2102</v>
      </c>
      <c r="D218" s="673" t="s">
        <v>3141</v>
      </c>
      <c r="E218" s="673" t="s">
        <v>3119</v>
      </c>
      <c r="F218" s="676">
        <v>130</v>
      </c>
      <c r="G218" s="676">
        <v>9230</v>
      </c>
      <c r="H218" s="676">
        <v>1.3494152046783625</v>
      </c>
      <c r="I218" s="676">
        <v>71</v>
      </c>
      <c r="J218" s="676">
        <v>95</v>
      </c>
      <c r="K218" s="676">
        <v>6840</v>
      </c>
      <c r="L218" s="676">
        <v>1</v>
      </c>
      <c r="M218" s="676">
        <v>72</v>
      </c>
      <c r="N218" s="676">
        <v>156</v>
      </c>
      <c r="O218" s="676">
        <v>11232</v>
      </c>
      <c r="P218" s="697">
        <v>1.6421052631578947</v>
      </c>
      <c r="Q218" s="677">
        <v>72</v>
      </c>
    </row>
    <row r="219" spans="1:17" ht="14.4" customHeight="1" x14ac:dyDescent="0.3">
      <c r="A219" s="672" t="s">
        <v>3116</v>
      </c>
      <c r="B219" s="673" t="s">
        <v>3117</v>
      </c>
      <c r="C219" s="673" t="s">
        <v>2102</v>
      </c>
      <c r="D219" s="673" t="s">
        <v>3142</v>
      </c>
      <c r="E219" s="673" t="s">
        <v>3143</v>
      </c>
      <c r="F219" s="676">
        <v>3</v>
      </c>
      <c r="G219" s="676">
        <v>3585</v>
      </c>
      <c r="H219" s="676">
        <v>0.59207266721717589</v>
      </c>
      <c r="I219" s="676">
        <v>1195</v>
      </c>
      <c r="J219" s="676">
        <v>5</v>
      </c>
      <c r="K219" s="676">
        <v>6055</v>
      </c>
      <c r="L219" s="676">
        <v>1</v>
      </c>
      <c r="M219" s="676">
        <v>1211</v>
      </c>
      <c r="N219" s="676">
        <v>3</v>
      </c>
      <c r="O219" s="676">
        <v>3633</v>
      </c>
      <c r="P219" s="697">
        <v>0.6</v>
      </c>
      <c r="Q219" s="677">
        <v>1211</v>
      </c>
    </row>
    <row r="220" spans="1:17" ht="14.4" customHeight="1" x14ac:dyDescent="0.3">
      <c r="A220" s="672" t="s">
        <v>3116</v>
      </c>
      <c r="B220" s="673" t="s">
        <v>3117</v>
      </c>
      <c r="C220" s="673" t="s">
        <v>2102</v>
      </c>
      <c r="D220" s="673" t="s">
        <v>3144</v>
      </c>
      <c r="E220" s="673" t="s">
        <v>3145</v>
      </c>
      <c r="F220" s="676">
        <v>3</v>
      </c>
      <c r="G220" s="676">
        <v>330</v>
      </c>
      <c r="H220" s="676">
        <v>0.96491228070175439</v>
      </c>
      <c r="I220" s="676">
        <v>110</v>
      </c>
      <c r="J220" s="676">
        <v>3</v>
      </c>
      <c r="K220" s="676">
        <v>342</v>
      </c>
      <c r="L220" s="676">
        <v>1</v>
      </c>
      <c r="M220" s="676">
        <v>114</v>
      </c>
      <c r="N220" s="676">
        <v>2</v>
      </c>
      <c r="O220" s="676">
        <v>228</v>
      </c>
      <c r="P220" s="697">
        <v>0.66666666666666663</v>
      </c>
      <c r="Q220" s="677">
        <v>114</v>
      </c>
    </row>
    <row r="221" spans="1:17" ht="14.4" customHeight="1" x14ac:dyDescent="0.3">
      <c r="A221" s="672" t="s">
        <v>3116</v>
      </c>
      <c r="B221" s="673" t="s">
        <v>3117</v>
      </c>
      <c r="C221" s="673" t="s">
        <v>2102</v>
      </c>
      <c r="D221" s="673" t="s">
        <v>3146</v>
      </c>
      <c r="E221" s="673" t="s">
        <v>3147</v>
      </c>
      <c r="F221" s="676"/>
      <c r="G221" s="676"/>
      <c r="H221" s="676"/>
      <c r="I221" s="676"/>
      <c r="J221" s="676">
        <v>1</v>
      </c>
      <c r="K221" s="676">
        <v>301</v>
      </c>
      <c r="L221" s="676">
        <v>1</v>
      </c>
      <c r="M221" s="676">
        <v>301</v>
      </c>
      <c r="N221" s="676"/>
      <c r="O221" s="676"/>
      <c r="P221" s="697"/>
      <c r="Q221" s="677"/>
    </row>
    <row r="222" spans="1:17" ht="14.4" customHeight="1" x14ac:dyDescent="0.3">
      <c r="A222" s="672" t="s">
        <v>3148</v>
      </c>
      <c r="B222" s="673" t="s">
        <v>3149</v>
      </c>
      <c r="C222" s="673" t="s">
        <v>2102</v>
      </c>
      <c r="D222" s="673" t="s">
        <v>3150</v>
      </c>
      <c r="E222" s="673" t="s">
        <v>3151</v>
      </c>
      <c r="F222" s="676">
        <v>150</v>
      </c>
      <c r="G222" s="676">
        <v>8100</v>
      </c>
      <c r="H222" s="676">
        <v>0.74284666177549519</v>
      </c>
      <c r="I222" s="676">
        <v>54</v>
      </c>
      <c r="J222" s="676">
        <v>188</v>
      </c>
      <c r="K222" s="676">
        <v>10904</v>
      </c>
      <c r="L222" s="676">
        <v>1</v>
      </c>
      <c r="M222" s="676">
        <v>58</v>
      </c>
      <c r="N222" s="676">
        <v>201</v>
      </c>
      <c r="O222" s="676">
        <v>11658</v>
      </c>
      <c r="P222" s="697">
        <v>1.0691489361702127</v>
      </c>
      <c r="Q222" s="677">
        <v>58</v>
      </c>
    </row>
    <row r="223" spans="1:17" ht="14.4" customHeight="1" x14ac:dyDescent="0.3">
      <c r="A223" s="672" t="s">
        <v>3148</v>
      </c>
      <c r="B223" s="673" t="s">
        <v>3149</v>
      </c>
      <c r="C223" s="673" t="s">
        <v>2102</v>
      </c>
      <c r="D223" s="673" t="s">
        <v>3152</v>
      </c>
      <c r="E223" s="673" t="s">
        <v>3153</v>
      </c>
      <c r="F223" s="676">
        <v>309</v>
      </c>
      <c r="G223" s="676">
        <v>38007</v>
      </c>
      <c r="H223" s="676">
        <v>1.0705895608574407</v>
      </c>
      <c r="I223" s="676">
        <v>123</v>
      </c>
      <c r="J223" s="676">
        <v>271</v>
      </c>
      <c r="K223" s="676">
        <v>35501</v>
      </c>
      <c r="L223" s="676">
        <v>1</v>
      </c>
      <c r="M223" s="676">
        <v>131</v>
      </c>
      <c r="N223" s="676">
        <v>160</v>
      </c>
      <c r="O223" s="676">
        <v>20960</v>
      </c>
      <c r="P223" s="697">
        <v>0.59040590405904059</v>
      </c>
      <c r="Q223" s="677">
        <v>131</v>
      </c>
    </row>
    <row r="224" spans="1:17" ht="14.4" customHeight="1" x14ac:dyDescent="0.3">
      <c r="A224" s="672" t="s">
        <v>3148</v>
      </c>
      <c r="B224" s="673" t="s">
        <v>3149</v>
      </c>
      <c r="C224" s="673" t="s">
        <v>2102</v>
      </c>
      <c r="D224" s="673" t="s">
        <v>3154</v>
      </c>
      <c r="E224" s="673" t="s">
        <v>3155</v>
      </c>
      <c r="F224" s="676">
        <v>13</v>
      </c>
      <c r="G224" s="676">
        <v>2301</v>
      </c>
      <c r="H224" s="676">
        <v>0.48698412698412696</v>
      </c>
      <c r="I224" s="676">
        <v>177</v>
      </c>
      <c r="J224" s="676">
        <v>25</v>
      </c>
      <c r="K224" s="676">
        <v>4725</v>
      </c>
      <c r="L224" s="676">
        <v>1</v>
      </c>
      <c r="M224" s="676">
        <v>189</v>
      </c>
      <c r="N224" s="676">
        <v>17</v>
      </c>
      <c r="O224" s="676">
        <v>3213</v>
      </c>
      <c r="P224" s="697">
        <v>0.68</v>
      </c>
      <c r="Q224" s="677">
        <v>189</v>
      </c>
    </row>
    <row r="225" spans="1:17" ht="14.4" customHeight="1" x14ac:dyDescent="0.3">
      <c r="A225" s="672" t="s">
        <v>3148</v>
      </c>
      <c r="B225" s="673" t="s">
        <v>3149</v>
      </c>
      <c r="C225" s="673" t="s">
        <v>2102</v>
      </c>
      <c r="D225" s="673" t="s">
        <v>3156</v>
      </c>
      <c r="E225" s="673" t="s">
        <v>3157</v>
      </c>
      <c r="F225" s="676">
        <v>36</v>
      </c>
      <c r="G225" s="676">
        <v>13824</v>
      </c>
      <c r="H225" s="676">
        <v>0.80870480870480865</v>
      </c>
      <c r="I225" s="676">
        <v>384</v>
      </c>
      <c r="J225" s="676">
        <v>42</v>
      </c>
      <c r="K225" s="676">
        <v>17094</v>
      </c>
      <c r="L225" s="676">
        <v>1</v>
      </c>
      <c r="M225" s="676">
        <v>407</v>
      </c>
      <c r="N225" s="676">
        <v>82</v>
      </c>
      <c r="O225" s="676">
        <v>33456</v>
      </c>
      <c r="P225" s="697">
        <v>1.9571779571779573</v>
      </c>
      <c r="Q225" s="677">
        <v>408</v>
      </c>
    </row>
    <row r="226" spans="1:17" ht="14.4" customHeight="1" x14ac:dyDescent="0.3">
      <c r="A226" s="672" t="s">
        <v>3148</v>
      </c>
      <c r="B226" s="673" t="s">
        <v>3149</v>
      </c>
      <c r="C226" s="673" t="s">
        <v>2102</v>
      </c>
      <c r="D226" s="673" t="s">
        <v>3158</v>
      </c>
      <c r="E226" s="673" t="s">
        <v>3159</v>
      </c>
      <c r="F226" s="676">
        <v>26</v>
      </c>
      <c r="G226" s="676">
        <v>4472</v>
      </c>
      <c r="H226" s="676">
        <v>4.1638733705772815</v>
      </c>
      <c r="I226" s="676">
        <v>172</v>
      </c>
      <c r="J226" s="676">
        <v>6</v>
      </c>
      <c r="K226" s="676">
        <v>1074</v>
      </c>
      <c r="L226" s="676">
        <v>1</v>
      </c>
      <c r="M226" s="676">
        <v>179</v>
      </c>
      <c r="N226" s="676">
        <v>18</v>
      </c>
      <c r="O226" s="676">
        <v>3240</v>
      </c>
      <c r="P226" s="697">
        <v>3.016759776536313</v>
      </c>
      <c r="Q226" s="677">
        <v>180</v>
      </c>
    </row>
    <row r="227" spans="1:17" ht="14.4" customHeight="1" x14ac:dyDescent="0.3">
      <c r="A227" s="672" t="s">
        <v>3148</v>
      </c>
      <c r="B227" s="673" t="s">
        <v>3149</v>
      </c>
      <c r="C227" s="673" t="s">
        <v>2102</v>
      </c>
      <c r="D227" s="673" t="s">
        <v>3160</v>
      </c>
      <c r="E227" s="673" t="s">
        <v>3161</v>
      </c>
      <c r="F227" s="676">
        <v>21</v>
      </c>
      <c r="G227" s="676">
        <v>6762</v>
      </c>
      <c r="H227" s="676"/>
      <c r="I227" s="676">
        <v>322</v>
      </c>
      <c r="J227" s="676"/>
      <c r="K227" s="676"/>
      <c r="L227" s="676"/>
      <c r="M227" s="676"/>
      <c r="N227" s="676">
        <v>16</v>
      </c>
      <c r="O227" s="676">
        <v>5376</v>
      </c>
      <c r="P227" s="697"/>
      <c r="Q227" s="677">
        <v>336</v>
      </c>
    </row>
    <row r="228" spans="1:17" ht="14.4" customHeight="1" x14ac:dyDescent="0.3">
      <c r="A228" s="672" t="s">
        <v>3148</v>
      </c>
      <c r="B228" s="673" t="s">
        <v>3149</v>
      </c>
      <c r="C228" s="673" t="s">
        <v>2102</v>
      </c>
      <c r="D228" s="673" t="s">
        <v>3162</v>
      </c>
      <c r="E228" s="673" t="s">
        <v>3163</v>
      </c>
      <c r="F228" s="676"/>
      <c r="G228" s="676"/>
      <c r="H228" s="676"/>
      <c r="I228" s="676"/>
      <c r="J228" s="676"/>
      <c r="K228" s="676"/>
      <c r="L228" s="676"/>
      <c r="M228" s="676"/>
      <c r="N228" s="676">
        <v>1</v>
      </c>
      <c r="O228" s="676">
        <v>459</v>
      </c>
      <c r="P228" s="697"/>
      <c r="Q228" s="677">
        <v>459</v>
      </c>
    </row>
    <row r="229" spans="1:17" ht="14.4" customHeight="1" x14ac:dyDescent="0.3">
      <c r="A229" s="672" t="s">
        <v>3148</v>
      </c>
      <c r="B229" s="673" t="s">
        <v>3149</v>
      </c>
      <c r="C229" s="673" t="s">
        <v>2102</v>
      </c>
      <c r="D229" s="673" t="s">
        <v>3164</v>
      </c>
      <c r="E229" s="673" t="s">
        <v>3165</v>
      </c>
      <c r="F229" s="676">
        <v>112</v>
      </c>
      <c r="G229" s="676">
        <v>38192</v>
      </c>
      <c r="H229" s="676">
        <v>1.0422158548233047</v>
      </c>
      <c r="I229" s="676">
        <v>341</v>
      </c>
      <c r="J229" s="676">
        <v>105</v>
      </c>
      <c r="K229" s="676">
        <v>36645</v>
      </c>
      <c r="L229" s="676">
        <v>1</v>
      </c>
      <c r="M229" s="676">
        <v>349</v>
      </c>
      <c r="N229" s="676">
        <v>91</v>
      </c>
      <c r="O229" s="676">
        <v>31759</v>
      </c>
      <c r="P229" s="697">
        <v>0.8666666666666667</v>
      </c>
      <c r="Q229" s="677">
        <v>349</v>
      </c>
    </row>
    <row r="230" spans="1:17" ht="14.4" customHeight="1" x14ac:dyDescent="0.3">
      <c r="A230" s="672" t="s">
        <v>3148</v>
      </c>
      <c r="B230" s="673" t="s">
        <v>3149</v>
      </c>
      <c r="C230" s="673" t="s">
        <v>2102</v>
      </c>
      <c r="D230" s="673" t="s">
        <v>3166</v>
      </c>
      <c r="E230" s="673" t="s">
        <v>3167</v>
      </c>
      <c r="F230" s="676"/>
      <c r="G230" s="676"/>
      <c r="H230" s="676"/>
      <c r="I230" s="676"/>
      <c r="J230" s="676"/>
      <c r="K230" s="676"/>
      <c r="L230" s="676"/>
      <c r="M230" s="676"/>
      <c r="N230" s="676">
        <v>1</v>
      </c>
      <c r="O230" s="676">
        <v>1653</v>
      </c>
      <c r="P230" s="697"/>
      <c r="Q230" s="677">
        <v>1653</v>
      </c>
    </row>
    <row r="231" spans="1:17" ht="14.4" customHeight="1" x14ac:dyDescent="0.3">
      <c r="A231" s="672" t="s">
        <v>3148</v>
      </c>
      <c r="B231" s="673" t="s">
        <v>3149</v>
      </c>
      <c r="C231" s="673" t="s">
        <v>2102</v>
      </c>
      <c r="D231" s="673" t="s">
        <v>3168</v>
      </c>
      <c r="E231" s="673" t="s">
        <v>3169</v>
      </c>
      <c r="F231" s="676">
        <v>16</v>
      </c>
      <c r="G231" s="676">
        <v>1744</v>
      </c>
      <c r="H231" s="676">
        <v>1.0647130647130647</v>
      </c>
      <c r="I231" s="676">
        <v>109</v>
      </c>
      <c r="J231" s="676">
        <v>14</v>
      </c>
      <c r="K231" s="676">
        <v>1638</v>
      </c>
      <c r="L231" s="676">
        <v>1</v>
      </c>
      <c r="M231" s="676">
        <v>117</v>
      </c>
      <c r="N231" s="676">
        <v>40</v>
      </c>
      <c r="O231" s="676">
        <v>4680</v>
      </c>
      <c r="P231" s="697">
        <v>2.8571428571428572</v>
      </c>
      <c r="Q231" s="677">
        <v>117</v>
      </c>
    </row>
    <row r="232" spans="1:17" ht="14.4" customHeight="1" x14ac:dyDescent="0.3">
      <c r="A232" s="672" t="s">
        <v>3148</v>
      </c>
      <c r="B232" s="673" t="s">
        <v>3149</v>
      </c>
      <c r="C232" s="673" t="s">
        <v>2102</v>
      </c>
      <c r="D232" s="673" t="s">
        <v>3170</v>
      </c>
      <c r="E232" s="673" t="s">
        <v>3171</v>
      </c>
      <c r="F232" s="676">
        <v>2</v>
      </c>
      <c r="G232" s="676">
        <v>752</v>
      </c>
      <c r="H232" s="676"/>
      <c r="I232" s="676">
        <v>376</v>
      </c>
      <c r="J232" s="676"/>
      <c r="K232" s="676"/>
      <c r="L232" s="676"/>
      <c r="M232" s="676"/>
      <c r="N232" s="676">
        <v>3</v>
      </c>
      <c r="O232" s="676">
        <v>1173</v>
      </c>
      <c r="P232" s="697"/>
      <c r="Q232" s="677">
        <v>391</v>
      </c>
    </row>
    <row r="233" spans="1:17" ht="14.4" customHeight="1" x14ac:dyDescent="0.3">
      <c r="A233" s="672" t="s">
        <v>3148</v>
      </c>
      <c r="B233" s="673" t="s">
        <v>3149</v>
      </c>
      <c r="C233" s="673" t="s">
        <v>2102</v>
      </c>
      <c r="D233" s="673" t="s">
        <v>3172</v>
      </c>
      <c r="E233" s="673" t="s">
        <v>3173</v>
      </c>
      <c r="F233" s="676">
        <v>14</v>
      </c>
      <c r="G233" s="676">
        <v>518</v>
      </c>
      <c r="H233" s="676">
        <v>1.2392344497607655</v>
      </c>
      <c r="I233" s="676">
        <v>37</v>
      </c>
      <c r="J233" s="676">
        <v>11</v>
      </c>
      <c r="K233" s="676">
        <v>418</v>
      </c>
      <c r="L233" s="676">
        <v>1</v>
      </c>
      <c r="M233" s="676">
        <v>38</v>
      </c>
      <c r="N233" s="676">
        <v>27</v>
      </c>
      <c r="O233" s="676">
        <v>1026</v>
      </c>
      <c r="P233" s="697">
        <v>2.4545454545454546</v>
      </c>
      <c r="Q233" s="677">
        <v>38</v>
      </c>
    </row>
    <row r="234" spans="1:17" ht="14.4" customHeight="1" x14ac:dyDescent="0.3">
      <c r="A234" s="672" t="s">
        <v>3148</v>
      </c>
      <c r="B234" s="673" t="s">
        <v>3149</v>
      </c>
      <c r="C234" s="673" t="s">
        <v>2102</v>
      </c>
      <c r="D234" s="673" t="s">
        <v>3174</v>
      </c>
      <c r="E234" s="673" t="s">
        <v>3175</v>
      </c>
      <c r="F234" s="676">
        <v>2</v>
      </c>
      <c r="G234" s="676">
        <v>1352</v>
      </c>
      <c r="H234" s="676"/>
      <c r="I234" s="676">
        <v>676</v>
      </c>
      <c r="J234" s="676"/>
      <c r="K234" s="676"/>
      <c r="L234" s="676"/>
      <c r="M234" s="676"/>
      <c r="N234" s="676">
        <v>5</v>
      </c>
      <c r="O234" s="676">
        <v>3525</v>
      </c>
      <c r="P234" s="697"/>
      <c r="Q234" s="677">
        <v>705</v>
      </c>
    </row>
    <row r="235" spans="1:17" ht="14.4" customHeight="1" x14ac:dyDescent="0.3">
      <c r="A235" s="672" t="s">
        <v>3148</v>
      </c>
      <c r="B235" s="673" t="s">
        <v>3149</v>
      </c>
      <c r="C235" s="673" t="s">
        <v>2102</v>
      </c>
      <c r="D235" s="673" t="s">
        <v>3176</v>
      </c>
      <c r="E235" s="673" t="s">
        <v>3177</v>
      </c>
      <c r="F235" s="676">
        <v>1</v>
      </c>
      <c r="G235" s="676">
        <v>138</v>
      </c>
      <c r="H235" s="676"/>
      <c r="I235" s="676">
        <v>138</v>
      </c>
      <c r="J235" s="676"/>
      <c r="K235" s="676"/>
      <c r="L235" s="676"/>
      <c r="M235" s="676"/>
      <c r="N235" s="676"/>
      <c r="O235" s="676"/>
      <c r="P235" s="697"/>
      <c r="Q235" s="677"/>
    </row>
    <row r="236" spans="1:17" ht="14.4" customHeight="1" x14ac:dyDescent="0.3">
      <c r="A236" s="672" t="s">
        <v>3148</v>
      </c>
      <c r="B236" s="673" t="s">
        <v>3149</v>
      </c>
      <c r="C236" s="673" t="s">
        <v>2102</v>
      </c>
      <c r="D236" s="673" t="s">
        <v>3178</v>
      </c>
      <c r="E236" s="673" t="s">
        <v>3179</v>
      </c>
      <c r="F236" s="676">
        <v>135</v>
      </c>
      <c r="G236" s="676">
        <v>38475</v>
      </c>
      <c r="H236" s="676">
        <v>0.78125</v>
      </c>
      <c r="I236" s="676">
        <v>285</v>
      </c>
      <c r="J236" s="676">
        <v>162</v>
      </c>
      <c r="K236" s="676">
        <v>49248</v>
      </c>
      <c r="L236" s="676">
        <v>1</v>
      </c>
      <c r="M236" s="676">
        <v>304</v>
      </c>
      <c r="N236" s="676">
        <v>148</v>
      </c>
      <c r="O236" s="676">
        <v>45140</v>
      </c>
      <c r="P236" s="697">
        <v>0.91658544509421702</v>
      </c>
      <c r="Q236" s="677">
        <v>305</v>
      </c>
    </row>
    <row r="237" spans="1:17" ht="14.4" customHeight="1" x14ac:dyDescent="0.3">
      <c r="A237" s="672" t="s">
        <v>3148</v>
      </c>
      <c r="B237" s="673" t="s">
        <v>3149</v>
      </c>
      <c r="C237" s="673" t="s">
        <v>2102</v>
      </c>
      <c r="D237" s="673" t="s">
        <v>3180</v>
      </c>
      <c r="E237" s="673" t="s">
        <v>3181</v>
      </c>
      <c r="F237" s="676">
        <v>85</v>
      </c>
      <c r="G237" s="676">
        <v>39270</v>
      </c>
      <c r="H237" s="676">
        <v>0.94635627530364375</v>
      </c>
      <c r="I237" s="676">
        <v>462</v>
      </c>
      <c r="J237" s="676">
        <v>84</v>
      </c>
      <c r="K237" s="676">
        <v>41496</v>
      </c>
      <c r="L237" s="676">
        <v>1</v>
      </c>
      <c r="M237" s="676">
        <v>494</v>
      </c>
      <c r="N237" s="676">
        <v>135</v>
      </c>
      <c r="O237" s="676">
        <v>66690</v>
      </c>
      <c r="P237" s="697">
        <v>1.6071428571428572</v>
      </c>
      <c r="Q237" s="677">
        <v>494</v>
      </c>
    </row>
    <row r="238" spans="1:17" ht="14.4" customHeight="1" x14ac:dyDescent="0.3">
      <c r="A238" s="672" t="s">
        <v>3148</v>
      </c>
      <c r="B238" s="673" t="s">
        <v>3149</v>
      </c>
      <c r="C238" s="673" t="s">
        <v>2102</v>
      </c>
      <c r="D238" s="673" t="s">
        <v>3182</v>
      </c>
      <c r="E238" s="673" t="s">
        <v>3183</v>
      </c>
      <c r="F238" s="676">
        <v>203</v>
      </c>
      <c r="G238" s="676">
        <v>72268</v>
      </c>
      <c r="H238" s="676">
        <v>0.95277521423862888</v>
      </c>
      <c r="I238" s="676">
        <v>356</v>
      </c>
      <c r="J238" s="676">
        <v>205</v>
      </c>
      <c r="K238" s="676">
        <v>75850</v>
      </c>
      <c r="L238" s="676">
        <v>1</v>
      </c>
      <c r="M238" s="676">
        <v>370</v>
      </c>
      <c r="N238" s="676">
        <v>197</v>
      </c>
      <c r="O238" s="676">
        <v>72890</v>
      </c>
      <c r="P238" s="697">
        <v>0.96097560975609753</v>
      </c>
      <c r="Q238" s="677">
        <v>370</v>
      </c>
    </row>
    <row r="239" spans="1:17" ht="14.4" customHeight="1" x14ac:dyDescent="0.3">
      <c r="A239" s="672" t="s">
        <v>3148</v>
      </c>
      <c r="B239" s="673" t="s">
        <v>3149</v>
      </c>
      <c r="C239" s="673" t="s">
        <v>2102</v>
      </c>
      <c r="D239" s="673" t="s">
        <v>3184</v>
      </c>
      <c r="E239" s="673" t="s">
        <v>3185</v>
      </c>
      <c r="F239" s="676"/>
      <c r="G239" s="676"/>
      <c r="H239" s="676"/>
      <c r="I239" s="676"/>
      <c r="J239" s="676"/>
      <c r="K239" s="676"/>
      <c r="L239" s="676"/>
      <c r="M239" s="676"/>
      <c r="N239" s="676">
        <v>1</v>
      </c>
      <c r="O239" s="676">
        <v>12794</v>
      </c>
      <c r="P239" s="697"/>
      <c r="Q239" s="677">
        <v>12794</v>
      </c>
    </row>
    <row r="240" spans="1:17" ht="14.4" customHeight="1" x14ac:dyDescent="0.3">
      <c r="A240" s="672" t="s">
        <v>3148</v>
      </c>
      <c r="B240" s="673" t="s">
        <v>3149</v>
      </c>
      <c r="C240" s="673" t="s">
        <v>2102</v>
      </c>
      <c r="D240" s="673" t="s">
        <v>3186</v>
      </c>
      <c r="E240" s="673" t="s">
        <v>3187</v>
      </c>
      <c r="F240" s="676">
        <v>4</v>
      </c>
      <c r="G240" s="676">
        <v>420</v>
      </c>
      <c r="H240" s="676"/>
      <c r="I240" s="676">
        <v>105</v>
      </c>
      <c r="J240" s="676"/>
      <c r="K240" s="676"/>
      <c r="L240" s="676"/>
      <c r="M240" s="676"/>
      <c r="N240" s="676">
        <v>1</v>
      </c>
      <c r="O240" s="676">
        <v>111</v>
      </c>
      <c r="P240" s="697"/>
      <c r="Q240" s="677">
        <v>111</v>
      </c>
    </row>
    <row r="241" spans="1:17" ht="14.4" customHeight="1" x14ac:dyDescent="0.3">
      <c r="A241" s="672" t="s">
        <v>3148</v>
      </c>
      <c r="B241" s="673" t="s">
        <v>3149</v>
      </c>
      <c r="C241" s="673" t="s">
        <v>2102</v>
      </c>
      <c r="D241" s="673" t="s">
        <v>3188</v>
      </c>
      <c r="E241" s="673" t="s">
        <v>3189</v>
      </c>
      <c r="F241" s="676">
        <v>8</v>
      </c>
      <c r="G241" s="676">
        <v>936</v>
      </c>
      <c r="H241" s="676">
        <v>0.53485714285714281</v>
      </c>
      <c r="I241" s="676">
        <v>117</v>
      </c>
      <c r="J241" s="676">
        <v>14</v>
      </c>
      <c r="K241" s="676">
        <v>1750</v>
      </c>
      <c r="L241" s="676">
        <v>1</v>
      </c>
      <c r="M241" s="676">
        <v>125</v>
      </c>
      <c r="N241" s="676">
        <v>3</v>
      </c>
      <c r="O241" s="676">
        <v>375</v>
      </c>
      <c r="P241" s="697">
        <v>0.21428571428571427</v>
      </c>
      <c r="Q241" s="677">
        <v>125</v>
      </c>
    </row>
    <row r="242" spans="1:17" ht="14.4" customHeight="1" x14ac:dyDescent="0.3">
      <c r="A242" s="672" t="s">
        <v>3148</v>
      </c>
      <c r="B242" s="673" t="s">
        <v>3149</v>
      </c>
      <c r="C242" s="673" t="s">
        <v>2102</v>
      </c>
      <c r="D242" s="673" t="s">
        <v>3190</v>
      </c>
      <c r="E242" s="673" t="s">
        <v>3191</v>
      </c>
      <c r="F242" s="676">
        <v>19</v>
      </c>
      <c r="G242" s="676">
        <v>8797</v>
      </c>
      <c r="H242" s="676">
        <v>1.1847811447811447</v>
      </c>
      <c r="I242" s="676">
        <v>463</v>
      </c>
      <c r="J242" s="676">
        <v>15</v>
      </c>
      <c r="K242" s="676">
        <v>7425</v>
      </c>
      <c r="L242" s="676">
        <v>1</v>
      </c>
      <c r="M242" s="676">
        <v>495</v>
      </c>
      <c r="N242" s="676">
        <v>50</v>
      </c>
      <c r="O242" s="676">
        <v>24750</v>
      </c>
      <c r="P242" s="697">
        <v>3.3333333333333335</v>
      </c>
      <c r="Q242" s="677">
        <v>495</v>
      </c>
    </row>
    <row r="243" spans="1:17" ht="14.4" customHeight="1" x14ac:dyDescent="0.3">
      <c r="A243" s="672" t="s">
        <v>3148</v>
      </c>
      <c r="B243" s="673" t="s">
        <v>3149</v>
      </c>
      <c r="C243" s="673" t="s">
        <v>2102</v>
      </c>
      <c r="D243" s="673" t="s">
        <v>3192</v>
      </c>
      <c r="E243" s="673" t="s">
        <v>3193</v>
      </c>
      <c r="F243" s="676">
        <v>2</v>
      </c>
      <c r="G243" s="676">
        <v>2536</v>
      </c>
      <c r="H243" s="676"/>
      <c r="I243" s="676">
        <v>1268</v>
      </c>
      <c r="J243" s="676"/>
      <c r="K243" s="676"/>
      <c r="L243" s="676"/>
      <c r="M243" s="676"/>
      <c r="N243" s="676"/>
      <c r="O243" s="676"/>
      <c r="P243" s="697"/>
      <c r="Q243" s="677"/>
    </row>
    <row r="244" spans="1:17" ht="14.4" customHeight="1" x14ac:dyDescent="0.3">
      <c r="A244" s="672" t="s">
        <v>3148</v>
      </c>
      <c r="B244" s="673" t="s">
        <v>3149</v>
      </c>
      <c r="C244" s="673" t="s">
        <v>2102</v>
      </c>
      <c r="D244" s="673" t="s">
        <v>3194</v>
      </c>
      <c r="E244" s="673" t="s">
        <v>3195</v>
      </c>
      <c r="F244" s="676">
        <v>6</v>
      </c>
      <c r="G244" s="676">
        <v>2622</v>
      </c>
      <c r="H244" s="676"/>
      <c r="I244" s="676">
        <v>437</v>
      </c>
      <c r="J244" s="676"/>
      <c r="K244" s="676"/>
      <c r="L244" s="676"/>
      <c r="M244" s="676"/>
      <c r="N244" s="676">
        <v>1</v>
      </c>
      <c r="O244" s="676">
        <v>456</v>
      </c>
      <c r="P244" s="697"/>
      <c r="Q244" s="677">
        <v>456</v>
      </c>
    </row>
    <row r="245" spans="1:17" ht="14.4" customHeight="1" x14ac:dyDescent="0.3">
      <c r="A245" s="672" t="s">
        <v>3148</v>
      </c>
      <c r="B245" s="673" t="s">
        <v>3149</v>
      </c>
      <c r="C245" s="673" t="s">
        <v>2102</v>
      </c>
      <c r="D245" s="673" t="s">
        <v>3196</v>
      </c>
      <c r="E245" s="673" t="s">
        <v>3197</v>
      </c>
      <c r="F245" s="676">
        <v>4</v>
      </c>
      <c r="G245" s="676">
        <v>216</v>
      </c>
      <c r="H245" s="676">
        <v>0.3724137931034483</v>
      </c>
      <c r="I245" s="676">
        <v>54</v>
      </c>
      <c r="J245" s="676">
        <v>10</v>
      </c>
      <c r="K245" s="676">
        <v>580</v>
      </c>
      <c r="L245" s="676">
        <v>1</v>
      </c>
      <c r="M245" s="676">
        <v>58</v>
      </c>
      <c r="N245" s="676">
        <v>4</v>
      </c>
      <c r="O245" s="676">
        <v>232</v>
      </c>
      <c r="P245" s="697">
        <v>0.4</v>
      </c>
      <c r="Q245" s="677">
        <v>58</v>
      </c>
    </row>
    <row r="246" spans="1:17" ht="14.4" customHeight="1" x14ac:dyDescent="0.3">
      <c r="A246" s="672" t="s">
        <v>3148</v>
      </c>
      <c r="B246" s="673" t="s">
        <v>3149</v>
      </c>
      <c r="C246" s="673" t="s">
        <v>2102</v>
      </c>
      <c r="D246" s="673" t="s">
        <v>3198</v>
      </c>
      <c r="E246" s="673" t="s">
        <v>3199</v>
      </c>
      <c r="F246" s="676"/>
      <c r="G246" s="676"/>
      <c r="H246" s="676"/>
      <c r="I246" s="676"/>
      <c r="J246" s="676"/>
      <c r="K246" s="676"/>
      <c r="L246" s="676"/>
      <c r="M246" s="676"/>
      <c r="N246" s="676">
        <v>1</v>
      </c>
      <c r="O246" s="676">
        <v>2173</v>
      </c>
      <c r="P246" s="697"/>
      <c r="Q246" s="677">
        <v>2173</v>
      </c>
    </row>
    <row r="247" spans="1:17" ht="14.4" customHeight="1" x14ac:dyDescent="0.3">
      <c r="A247" s="672" t="s">
        <v>3148</v>
      </c>
      <c r="B247" s="673" t="s">
        <v>3149</v>
      </c>
      <c r="C247" s="673" t="s">
        <v>2102</v>
      </c>
      <c r="D247" s="673" t="s">
        <v>3200</v>
      </c>
      <c r="E247" s="673" t="s">
        <v>3201</v>
      </c>
      <c r="F247" s="676">
        <v>1115</v>
      </c>
      <c r="G247" s="676">
        <v>188435</v>
      </c>
      <c r="H247" s="676">
        <v>1.0443951780518221</v>
      </c>
      <c r="I247" s="676">
        <v>169</v>
      </c>
      <c r="J247" s="676">
        <v>1031</v>
      </c>
      <c r="K247" s="676">
        <v>180425</v>
      </c>
      <c r="L247" s="676">
        <v>1</v>
      </c>
      <c r="M247" s="676">
        <v>175</v>
      </c>
      <c r="N247" s="676">
        <v>753</v>
      </c>
      <c r="O247" s="676">
        <v>132528</v>
      </c>
      <c r="P247" s="697">
        <v>0.73453235416377993</v>
      </c>
      <c r="Q247" s="677">
        <v>176</v>
      </c>
    </row>
    <row r="248" spans="1:17" ht="14.4" customHeight="1" x14ac:dyDescent="0.3">
      <c r="A248" s="672" t="s">
        <v>3148</v>
      </c>
      <c r="B248" s="673" t="s">
        <v>3149</v>
      </c>
      <c r="C248" s="673" t="s">
        <v>2102</v>
      </c>
      <c r="D248" s="673" t="s">
        <v>3202</v>
      </c>
      <c r="E248" s="673" t="s">
        <v>3203</v>
      </c>
      <c r="F248" s="676">
        <v>13</v>
      </c>
      <c r="G248" s="676">
        <v>1053</v>
      </c>
      <c r="H248" s="676"/>
      <c r="I248" s="676">
        <v>81</v>
      </c>
      <c r="J248" s="676"/>
      <c r="K248" s="676"/>
      <c r="L248" s="676"/>
      <c r="M248" s="676"/>
      <c r="N248" s="676">
        <v>12</v>
      </c>
      <c r="O248" s="676">
        <v>1020</v>
      </c>
      <c r="P248" s="697"/>
      <c r="Q248" s="677">
        <v>85</v>
      </c>
    </row>
    <row r="249" spans="1:17" ht="14.4" customHeight="1" x14ac:dyDescent="0.3">
      <c r="A249" s="672" t="s">
        <v>3148</v>
      </c>
      <c r="B249" s="673" t="s">
        <v>3149</v>
      </c>
      <c r="C249" s="673" t="s">
        <v>2102</v>
      </c>
      <c r="D249" s="673" t="s">
        <v>3204</v>
      </c>
      <c r="E249" s="673" t="s">
        <v>3205</v>
      </c>
      <c r="F249" s="676"/>
      <c r="G249" s="676"/>
      <c r="H249" s="676"/>
      <c r="I249" s="676"/>
      <c r="J249" s="676"/>
      <c r="K249" s="676"/>
      <c r="L249" s="676"/>
      <c r="M249" s="676"/>
      <c r="N249" s="676">
        <v>1</v>
      </c>
      <c r="O249" s="676">
        <v>178</v>
      </c>
      <c r="P249" s="697"/>
      <c r="Q249" s="677">
        <v>178</v>
      </c>
    </row>
    <row r="250" spans="1:17" ht="14.4" customHeight="1" x14ac:dyDescent="0.3">
      <c r="A250" s="672" t="s">
        <v>3148</v>
      </c>
      <c r="B250" s="673" t="s">
        <v>3149</v>
      </c>
      <c r="C250" s="673" t="s">
        <v>2102</v>
      </c>
      <c r="D250" s="673" t="s">
        <v>3206</v>
      </c>
      <c r="E250" s="673" t="s">
        <v>3207</v>
      </c>
      <c r="F250" s="676">
        <v>3</v>
      </c>
      <c r="G250" s="676">
        <v>489</v>
      </c>
      <c r="H250" s="676">
        <v>1.4467455621301775</v>
      </c>
      <c r="I250" s="676">
        <v>163</v>
      </c>
      <c r="J250" s="676">
        <v>2</v>
      </c>
      <c r="K250" s="676">
        <v>338</v>
      </c>
      <c r="L250" s="676">
        <v>1</v>
      </c>
      <c r="M250" s="676">
        <v>169</v>
      </c>
      <c r="N250" s="676">
        <v>3</v>
      </c>
      <c r="O250" s="676">
        <v>510</v>
      </c>
      <c r="P250" s="697">
        <v>1.5088757396449703</v>
      </c>
      <c r="Q250" s="677">
        <v>170</v>
      </c>
    </row>
    <row r="251" spans="1:17" ht="14.4" customHeight="1" x14ac:dyDescent="0.3">
      <c r="A251" s="672" t="s">
        <v>3148</v>
      </c>
      <c r="B251" s="673" t="s">
        <v>3149</v>
      </c>
      <c r="C251" s="673" t="s">
        <v>2102</v>
      </c>
      <c r="D251" s="673" t="s">
        <v>3208</v>
      </c>
      <c r="E251" s="673" t="s">
        <v>3209</v>
      </c>
      <c r="F251" s="676">
        <v>2</v>
      </c>
      <c r="G251" s="676">
        <v>2016</v>
      </c>
      <c r="H251" s="676"/>
      <c r="I251" s="676">
        <v>1008</v>
      </c>
      <c r="J251" s="676"/>
      <c r="K251" s="676"/>
      <c r="L251" s="676"/>
      <c r="M251" s="676"/>
      <c r="N251" s="676"/>
      <c r="O251" s="676"/>
      <c r="P251" s="697"/>
      <c r="Q251" s="677"/>
    </row>
    <row r="252" spans="1:17" ht="14.4" customHeight="1" x14ac:dyDescent="0.3">
      <c r="A252" s="672" t="s">
        <v>3148</v>
      </c>
      <c r="B252" s="673" t="s">
        <v>3149</v>
      </c>
      <c r="C252" s="673" t="s">
        <v>2102</v>
      </c>
      <c r="D252" s="673" t="s">
        <v>3210</v>
      </c>
      <c r="E252" s="673" t="s">
        <v>3211</v>
      </c>
      <c r="F252" s="676">
        <v>1</v>
      </c>
      <c r="G252" s="676">
        <v>170</v>
      </c>
      <c r="H252" s="676"/>
      <c r="I252" s="676">
        <v>170</v>
      </c>
      <c r="J252" s="676"/>
      <c r="K252" s="676"/>
      <c r="L252" s="676"/>
      <c r="M252" s="676"/>
      <c r="N252" s="676">
        <v>1</v>
      </c>
      <c r="O252" s="676">
        <v>176</v>
      </c>
      <c r="P252" s="697"/>
      <c r="Q252" s="677">
        <v>176</v>
      </c>
    </row>
    <row r="253" spans="1:17" ht="14.4" customHeight="1" x14ac:dyDescent="0.3">
      <c r="A253" s="672" t="s">
        <v>3148</v>
      </c>
      <c r="B253" s="673" t="s">
        <v>3149</v>
      </c>
      <c r="C253" s="673" t="s">
        <v>2102</v>
      </c>
      <c r="D253" s="673" t="s">
        <v>3212</v>
      </c>
      <c r="E253" s="673" t="s">
        <v>3213</v>
      </c>
      <c r="F253" s="676">
        <v>4</v>
      </c>
      <c r="G253" s="676">
        <v>9056</v>
      </c>
      <c r="H253" s="676"/>
      <c r="I253" s="676">
        <v>2264</v>
      </c>
      <c r="J253" s="676"/>
      <c r="K253" s="676"/>
      <c r="L253" s="676"/>
      <c r="M253" s="676"/>
      <c r="N253" s="676"/>
      <c r="O253" s="676"/>
      <c r="P253" s="697"/>
      <c r="Q253" s="677"/>
    </row>
    <row r="254" spans="1:17" ht="14.4" customHeight="1" x14ac:dyDescent="0.3">
      <c r="A254" s="672" t="s">
        <v>3148</v>
      </c>
      <c r="B254" s="673" t="s">
        <v>3149</v>
      </c>
      <c r="C254" s="673" t="s">
        <v>2102</v>
      </c>
      <c r="D254" s="673" t="s">
        <v>3214</v>
      </c>
      <c r="E254" s="673" t="s">
        <v>3215</v>
      </c>
      <c r="F254" s="676">
        <v>1</v>
      </c>
      <c r="G254" s="676">
        <v>247</v>
      </c>
      <c r="H254" s="676"/>
      <c r="I254" s="676">
        <v>247</v>
      </c>
      <c r="J254" s="676"/>
      <c r="K254" s="676"/>
      <c r="L254" s="676"/>
      <c r="M254" s="676"/>
      <c r="N254" s="676">
        <v>5</v>
      </c>
      <c r="O254" s="676">
        <v>1320</v>
      </c>
      <c r="P254" s="697"/>
      <c r="Q254" s="677">
        <v>264</v>
      </c>
    </row>
    <row r="255" spans="1:17" ht="14.4" customHeight="1" x14ac:dyDescent="0.3">
      <c r="A255" s="672" t="s">
        <v>3148</v>
      </c>
      <c r="B255" s="673" t="s">
        <v>3149</v>
      </c>
      <c r="C255" s="673" t="s">
        <v>2102</v>
      </c>
      <c r="D255" s="673" t="s">
        <v>3216</v>
      </c>
      <c r="E255" s="673" t="s">
        <v>3217</v>
      </c>
      <c r="F255" s="676">
        <v>5</v>
      </c>
      <c r="G255" s="676">
        <v>10060</v>
      </c>
      <c r="H255" s="676"/>
      <c r="I255" s="676">
        <v>2012</v>
      </c>
      <c r="J255" s="676"/>
      <c r="K255" s="676"/>
      <c r="L255" s="676"/>
      <c r="M255" s="676"/>
      <c r="N255" s="676">
        <v>3</v>
      </c>
      <c r="O255" s="676">
        <v>6393</v>
      </c>
      <c r="P255" s="697"/>
      <c r="Q255" s="677">
        <v>2131</v>
      </c>
    </row>
    <row r="256" spans="1:17" ht="14.4" customHeight="1" x14ac:dyDescent="0.3">
      <c r="A256" s="672" t="s">
        <v>3148</v>
      </c>
      <c r="B256" s="673" t="s">
        <v>3149</v>
      </c>
      <c r="C256" s="673" t="s">
        <v>2102</v>
      </c>
      <c r="D256" s="673" t="s">
        <v>3218</v>
      </c>
      <c r="E256" s="673" t="s">
        <v>3219</v>
      </c>
      <c r="F256" s="676">
        <v>24</v>
      </c>
      <c r="G256" s="676">
        <v>5424</v>
      </c>
      <c r="H256" s="676">
        <v>1.1206611570247933</v>
      </c>
      <c r="I256" s="676">
        <v>226</v>
      </c>
      <c r="J256" s="676">
        <v>20</v>
      </c>
      <c r="K256" s="676">
        <v>4840</v>
      </c>
      <c r="L256" s="676">
        <v>1</v>
      </c>
      <c r="M256" s="676">
        <v>242</v>
      </c>
      <c r="N256" s="676">
        <v>52</v>
      </c>
      <c r="O256" s="676">
        <v>12584</v>
      </c>
      <c r="P256" s="697">
        <v>2.6</v>
      </c>
      <c r="Q256" s="677">
        <v>242</v>
      </c>
    </row>
    <row r="257" spans="1:17" ht="14.4" customHeight="1" x14ac:dyDescent="0.3">
      <c r="A257" s="672" t="s">
        <v>3148</v>
      </c>
      <c r="B257" s="673" t="s">
        <v>3149</v>
      </c>
      <c r="C257" s="673" t="s">
        <v>2102</v>
      </c>
      <c r="D257" s="673" t="s">
        <v>3220</v>
      </c>
      <c r="E257" s="673" t="s">
        <v>3221</v>
      </c>
      <c r="F257" s="676">
        <v>1</v>
      </c>
      <c r="G257" s="676">
        <v>418</v>
      </c>
      <c r="H257" s="676">
        <v>0.49408983451536642</v>
      </c>
      <c r="I257" s="676">
        <v>418</v>
      </c>
      <c r="J257" s="676">
        <v>2</v>
      </c>
      <c r="K257" s="676">
        <v>846</v>
      </c>
      <c r="L257" s="676">
        <v>1</v>
      </c>
      <c r="M257" s="676">
        <v>423</v>
      </c>
      <c r="N257" s="676">
        <v>2</v>
      </c>
      <c r="O257" s="676">
        <v>848</v>
      </c>
      <c r="P257" s="697">
        <v>1.0023640661938533</v>
      </c>
      <c r="Q257" s="677">
        <v>424</v>
      </c>
    </row>
    <row r="258" spans="1:17" ht="14.4" customHeight="1" x14ac:dyDescent="0.3">
      <c r="A258" s="672" t="s">
        <v>3148</v>
      </c>
      <c r="B258" s="673" t="s">
        <v>3149</v>
      </c>
      <c r="C258" s="673" t="s">
        <v>2102</v>
      </c>
      <c r="D258" s="673" t="s">
        <v>3222</v>
      </c>
      <c r="E258" s="673" t="s">
        <v>3223</v>
      </c>
      <c r="F258" s="676">
        <v>18</v>
      </c>
      <c r="G258" s="676">
        <v>18810</v>
      </c>
      <c r="H258" s="676">
        <v>0.23155044008124576</v>
      </c>
      <c r="I258" s="676">
        <v>1045</v>
      </c>
      <c r="J258" s="676">
        <v>77</v>
      </c>
      <c r="K258" s="676">
        <v>81235</v>
      </c>
      <c r="L258" s="676">
        <v>1</v>
      </c>
      <c r="M258" s="676">
        <v>1055</v>
      </c>
      <c r="N258" s="676">
        <v>29</v>
      </c>
      <c r="O258" s="676">
        <v>30653</v>
      </c>
      <c r="P258" s="697">
        <v>0.3773373545885394</v>
      </c>
      <c r="Q258" s="677">
        <v>1057</v>
      </c>
    </row>
    <row r="259" spans="1:17" ht="14.4" customHeight="1" x14ac:dyDescent="0.3">
      <c r="A259" s="672" t="s">
        <v>3224</v>
      </c>
      <c r="B259" s="673" t="s">
        <v>3225</v>
      </c>
      <c r="C259" s="673" t="s">
        <v>2102</v>
      </c>
      <c r="D259" s="673" t="s">
        <v>3226</v>
      </c>
      <c r="E259" s="673" t="s">
        <v>3227</v>
      </c>
      <c r="F259" s="676">
        <v>545</v>
      </c>
      <c r="G259" s="676">
        <v>87745</v>
      </c>
      <c r="H259" s="676">
        <v>1.0103516569559912</v>
      </c>
      <c r="I259" s="676">
        <v>161</v>
      </c>
      <c r="J259" s="676">
        <v>502</v>
      </c>
      <c r="K259" s="676">
        <v>86846</v>
      </c>
      <c r="L259" s="676">
        <v>1</v>
      </c>
      <c r="M259" s="676">
        <v>173</v>
      </c>
      <c r="N259" s="676">
        <v>671</v>
      </c>
      <c r="O259" s="676">
        <v>116083</v>
      </c>
      <c r="P259" s="697">
        <v>1.3366533864541832</v>
      </c>
      <c r="Q259" s="677">
        <v>173</v>
      </c>
    </row>
    <row r="260" spans="1:17" ht="14.4" customHeight="1" x14ac:dyDescent="0.3">
      <c r="A260" s="672" t="s">
        <v>3224</v>
      </c>
      <c r="B260" s="673" t="s">
        <v>3225</v>
      </c>
      <c r="C260" s="673" t="s">
        <v>2102</v>
      </c>
      <c r="D260" s="673" t="s">
        <v>3228</v>
      </c>
      <c r="E260" s="673" t="s">
        <v>3229</v>
      </c>
      <c r="F260" s="676">
        <v>2</v>
      </c>
      <c r="G260" s="676">
        <v>2338</v>
      </c>
      <c r="H260" s="676">
        <v>0.19931798806479115</v>
      </c>
      <c r="I260" s="676">
        <v>1169</v>
      </c>
      <c r="J260" s="676">
        <v>10</v>
      </c>
      <c r="K260" s="676">
        <v>11730</v>
      </c>
      <c r="L260" s="676">
        <v>1</v>
      </c>
      <c r="M260" s="676">
        <v>1173</v>
      </c>
      <c r="N260" s="676">
        <v>21</v>
      </c>
      <c r="O260" s="676">
        <v>22470</v>
      </c>
      <c r="P260" s="697">
        <v>1.9156010230179028</v>
      </c>
      <c r="Q260" s="677">
        <v>1070</v>
      </c>
    </row>
    <row r="261" spans="1:17" ht="14.4" customHeight="1" x14ac:dyDescent="0.3">
      <c r="A261" s="672" t="s">
        <v>3224</v>
      </c>
      <c r="B261" s="673" t="s">
        <v>3225</v>
      </c>
      <c r="C261" s="673" t="s">
        <v>2102</v>
      </c>
      <c r="D261" s="673" t="s">
        <v>3230</v>
      </c>
      <c r="E261" s="673" t="s">
        <v>3231</v>
      </c>
      <c r="F261" s="676">
        <v>48</v>
      </c>
      <c r="G261" s="676">
        <v>1920</v>
      </c>
      <c r="H261" s="676">
        <v>1.2323491655969192</v>
      </c>
      <c r="I261" s="676">
        <v>40</v>
      </c>
      <c r="J261" s="676">
        <v>38</v>
      </c>
      <c r="K261" s="676">
        <v>1558</v>
      </c>
      <c r="L261" s="676">
        <v>1</v>
      </c>
      <c r="M261" s="676">
        <v>41</v>
      </c>
      <c r="N261" s="676">
        <v>42</v>
      </c>
      <c r="O261" s="676">
        <v>1932</v>
      </c>
      <c r="P261" s="697">
        <v>1.2400513478819</v>
      </c>
      <c r="Q261" s="677">
        <v>46</v>
      </c>
    </row>
    <row r="262" spans="1:17" ht="14.4" customHeight="1" x14ac:dyDescent="0.3">
      <c r="A262" s="672" t="s">
        <v>3224</v>
      </c>
      <c r="B262" s="673" t="s">
        <v>3225</v>
      </c>
      <c r="C262" s="673" t="s">
        <v>2102</v>
      </c>
      <c r="D262" s="673" t="s">
        <v>3128</v>
      </c>
      <c r="E262" s="673" t="s">
        <v>3129</v>
      </c>
      <c r="F262" s="676">
        <v>4</v>
      </c>
      <c r="G262" s="676">
        <v>1532</v>
      </c>
      <c r="H262" s="676">
        <v>3.9895833333333335</v>
      </c>
      <c r="I262" s="676">
        <v>383</v>
      </c>
      <c r="J262" s="676">
        <v>1</v>
      </c>
      <c r="K262" s="676">
        <v>384</v>
      </c>
      <c r="L262" s="676">
        <v>1</v>
      </c>
      <c r="M262" s="676">
        <v>384</v>
      </c>
      <c r="N262" s="676">
        <v>7</v>
      </c>
      <c r="O262" s="676">
        <v>2429</v>
      </c>
      <c r="P262" s="697">
        <v>6.325520833333333</v>
      </c>
      <c r="Q262" s="677">
        <v>347</v>
      </c>
    </row>
    <row r="263" spans="1:17" ht="14.4" customHeight="1" x14ac:dyDescent="0.3">
      <c r="A263" s="672" t="s">
        <v>3224</v>
      </c>
      <c r="B263" s="673" t="s">
        <v>3225</v>
      </c>
      <c r="C263" s="673" t="s">
        <v>2102</v>
      </c>
      <c r="D263" s="673" t="s">
        <v>3232</v>
      </c>
      <c r="E263" s="673" t="s">
        <v>3233</v>
      </c>
      <c r="F263" s="676">
        <v>29</v>
      </c>
      <c r="G263" s="676">
        <v>1073</v>
      </c>
      <c r="H263" s="676">
        <v>3.2222222222222223</v>
      </c>
      <c r="I263" s="676">
        <v>37</v>
      </c>
      <c r="J263" s="676">
        <v>9</v>
      </c>
      <c r="K263" s="676">
        <v>333</v>
      </c>
      <c r="L263" s="676">
        <v>1</v>
      </c>
      <c r="M263" s="676">
        <v>37</v>
      </c>
      <c r="N263" s="676">
        <v>4</v>
      </c>
      <c r="O263" s="676">
        <v>204</v>
      </c>
      <c r="P263" s="697">
        <v>0.61261261261261257</v>
      </c>
      <c r="Q263" s="677">
        <v>51</v>
      </c>
    </row>
    <row r="264" spans="1:17" ht="14.4" customHeight="1" x14ac:dyDescent="0.3">
      <c r="A264" s="672" t="s">
        <v>3224</v>
      </c>
      <c r="B264" s="673" t="s">
        <v>3225</v>
      </c>
      <c r="C264" s="673" t="s">
        <v>2102</v>
      </c>
      <c r="D264" s="673" t="s">
        <v>3234</v>
      </c>
      <c r="E264" s="673" t="s">
        <v>3235</v>
      </c>
      <c r="F264" s="676">
        <v>6</v>
      </c>
      <c r="G264" s="676">
        <v>2670</v>
      </c>
      <c r="H264" s="676">
        <v>1.9955156950672646</v>
      </c>
      <c r="I264" s="676">
        <v>445</v>
      </c>
      <c r="J264" s="676">
        <v>3</v>
      </c>
      <c r="K264" s="676">
        <v>1338</v>
      </c>
      <c r="L264" s="676">
        <v>1</v>
      </c>
      <c r="M264" s="676">
        <v>446</v>
      </c>
      <c r="N264" s="676">
        <v>21</v>
      </c>
      <c r="O264" s="676">
        <v>7917</v>
      </c>
      <c r="P264" s="697">
        <v>5.9170403587443943</v>
      </c>
      <c r="Q264" s="677">
        <v>377</v>
      </c>
    </row>
    <row r="265" spans="1:17" ht="14.4" customHeight="1" x14ac:dyDescent="0.3">
      <c r="A265" s="672" t="s">
        <v>3224</v>
      </c>
      <c r="B265" s="673" t="s">
        <v>3225</v>
      </c>
      <c r="C265" s="673" t="s">
        <v>2102</v>
      </c>
      <c r="D265" s="673" t="s">
        <v>3236</v>
      </c>
      <c r="E265" s="673" t="s">
        <v>3237</v>
      </c>
      <c r="F265" s="676">
        <v>1</v>
      </c>
      <c r="G265" s="676">
        <v>41</v>
      </c>
      <c r="H265" s="676">
        <v>0.97619047619047616</v>
      </c>
      <c r="I265" s="676">
        <v>41</v>
      </c>
      <c r="J265" s="676">
        <v>1</v>
      </c>
      <c r="K265" s="676">
        <v>42</v>
      </c>
      <c r="L265" s="676">
        <v>1</v>
      </c>
      <c r="M265" s="676">
        <v>42</v>
      </c>
      <c r="N265" s="676">
        <v>1</v>
      </c>
      <c r="O265" s="676">
        <v>34</v>
      </c>
      <c r="P265" s="697">
        <v>0.80952380952380953</v>
      </c>
      <c r="Q265" s="677">
        <v>34</v>
      </c>
    </row>
    <row r="266" spans="1:17" ht="14.4" customHeight="1" x14ac:dyDescent="0.3">
      <c r="A266" s="672" t="s">
        <v>3224</v>
      </c>
      <c r="B266" s="673" t="s">
        <v>3225</v>
      </c>
      <c r="C266" s="673" t="s">
        <v>2102</v>
      </c>
      <c r="D266" s="673" t="s">
        <v>3238</v>
      </c>
      <c r="E266" s="673" t="s">
        <v>3239</v>
      </c>
      <c r="F266" s="676">
        <v>5</v>
      </c>
      <c r="G266" s="676">
        <v>2455</v>
      </c>
      <c r="H266" s="676">
        <v>1.247459349593496</v>
      </c>
      <c r="I266" s="676">
        <v>491</v>
      </c>
      <c r="J266" s="676">
        <v>4</v>
      </c>
      <c r="K266" s="676">
        <v>1968</v>
      </c>
      <c r="L266" s="676">
        <v>1</v>
      </c>
      <c r="M266" s="676">
        <v>492</v>
      </c>
      <c r="N266" s="676">
        <v>5</v>
      </c>
      <c r="O266" s="676">
        <v>2620</v>
      </c>
      <c r="P266" s="697">
        <v>1.3313008130081301</v>
      </c>
      <c r="Q266" s="677">
        <v>524</v>
      </c>
    </row>
    <row r="267" spans="1:17" ht="14.4" customHeight="1" x14ac:dyDescent="0.3">
      <c r="A267" s="672" t="s">
        <v>3224</v>
      </c>
      <c r="B267" s="673" t="s">
        <v>3225</v>
      </c>
      <c r="C267" s="673" t="s">
        <v>2102</v>
      </c>
      <c r="D267" s="673" t="s">
        <v>3240</v>
      </c>
      <c r="E267" s="673" t="s">
        <v>3241</v>
      </c>
      <c r="F267" s="676">
        <v>12</v>
      </c>
      <c r="G267" s="676">
        <v>372</v>
      </c>
      <c r="H267" s="676">
        <v>2</v>
      </c>
      <c r="I267" s="676">
        <v>31</v>
      </c>
      <c r="J267" s="676">
        <v>6</v>
      </c>
      <c r="K267" s="676">
        <v>186</v>
      </c>
      <c r="L267" s="676">
        <v>1</v>
      </c>
      <c r="M267" s="676">
        <v>31</v>
      </c>
      <c r="N267" s="676">
        <v>7</v>
      </c>
      <c r="O267" s="676">
        <v>399</v>
      </c>
      <c r="P267" s="697">
        <v>2.1451612903225805</v>
      </c>
      <c r="Q267" s="677">
        <v>57</v>
      </c>
    </row>
    <row r="268" spans="1:17" ht="14.4" customHeight="1" x14ac:dyDescent="0.3">
      <c r="A268" s="672" t="s">
        <v>3224</v>
      </c>
      <c r="B268" s="673" t="s">
        <v>3225</v>
      </c>
      <c r="C268" s="673" t="s">
        <v>2102</v>
      </c>
      <c r="D268" s="673" t="s">
        <v>3242</v>
      </c>
      <c r="E268" s="673" t="s">
        <v>3243</v>
      </c>
      <c r="F268" s="676">
        <v>3</v>
      </c>
      <c r="G268" s="676">
        <v>621</v>
      </c>
      <c r="H268" s="676">
        <v>1.4927884615384615</v>
      </c>
      <c r="I268" s="676">
        <v>207</v>
      </c>
      <c r="J268" s="676">
        <v>2</v>
      </c>
      <c r="K268" s="676">
        <v>416</v>
      </c>
      <c r="L268" s="676">
        <v>1</v>
      </c>
      <c r="M268" s="676">
        <v>208</v>
      </c>
      <c r="N268" s="676">
        <v>2</v>
      </c>
      <c r="O268" s="676">
        <v>448</v>
      </c>
      <c r="P268" s="697">
        <v>1.0769230769230769</v>
      </c>
      <c r="Q268" s="677">
        <v>224</v>
      </c>
    </row>
    <row r="269" spans="1:17" ht="14.4" customHeight="1" x14ac:dyDescent="0.3">
      <c r="A269" s="672" t="s">
        <v>3224</v>
      </c>
      <c r="B269" s="673" t="s">
        <v>3225</v>
      </c>
      <c r="C269" s="673" t="s">
        <v>2102</v>
      </c>
      <c r="D269" s="673" t="s">
        <v>3244</v>
      </c>
      <c r="E269" s="673" t="s">
        <v>3245</v>
      </c>
      <c r="F269" s="676">
        <v>3</v>
      </c>
      <c r="G269" s="676">
        <v>1140</v>
      </c>
      <c r="H269" s="676">
        <v>1.484375</v>
      </c>
      <c r="I269" s="676">
        <v>380</v>
      </c>
      <c r="J269" s="676">
        <v>2</v>
      </c>
      <c r="K269" s="676">
        <v>768</v>
      </c>
      <c r="L269" s="676">
        <v>1</v>
      </c>
      <c r="M269" s="676">
        <v>384</v>
      </c>
      <c r="N269" s="676">
        <v>2</v>
      </c>
      <c r="O269" s="676">
        <v>1106</v>
      </c>
      <c r="P269" s="697">
        <v>1.4401041666666667</v>
      </c>
      <c r="Q269" s="677">
        <v>553</v>
      </c>
    </row>
    <row r="270" spans="1:17" ht="14.4" customHeight="1" x14ac:dyDescent="0.3">
      <c r="A270" s="672" t="s">
        <v>3224</v>
      </c>
      <c r="B270" s="673" t="s">
        <v>3225</v>
      </c>
      <c r="C270" s="673" t="s">
        <v>2102</v>
      </c>
      <c r="D270" s="673" t="s">
        <v>3246</v>
      </c>
      <c r="E270" s="673" t="s">
        <v>3247</v>
      </c>
      <c r="F270" s="676">
        <v>378</v>
      </c>
      <c r="G270" s="676">
        <v>43848</v>
      </c>
      <c r="H270" s="676">
        <v>1.0468414267296948</v>
      </c>
      <c r="I270" s="676">
        <v>116</v>
      </c>
      <c r="J270" s="676">
        <v>358</v>
      </c>
      <c r="K270" s="676">
        <v>41886</v>
      </c>
      <c r="L270" s="676">
        <v>1</v>
      </c>
      <c r="M270" s="676">
        <v>117</v>
      </c>
      <c r="N270" s="676">
        <v>560</v>
      </c>
      <c r="O270" s="676">
        <v>76160</v>
      </c>
      <c r="P270" s="697">
        <v>1.8182686339110921</v>
      </c>
      <c r="Q270" s="677">
        <v>136</v>
      </c>
    </row>
    <row r="271" spans="1:17" ht="14.4" customHeight="1" x14ac:dyDescent="0.3">
      <c r="A271" s="672" t="s">
        <v>3224</v>
      </c>
      <c r="B271" s="673" t="s">
        <v>3225</v>
      </c>
      <c r="C271" s="673" t="s">
        <v>2102</v>
      </c>
      <c r="D271" s="673" t="s">
        <v>3248</v>
      </c>
      <c r="E271" s="673" t="s">
        <v>3249</v>
      </c>
      <c r="F271" s="676">
        <v>228</v>
      </c>
      <c r="G271" s="676">
        <v>19380</v>
      </c>
      <c r="H271" s="676">
        <v>1.009322431123379</v>
      </c>
      <c r="I271" s="676">
        <v>85</v>
      </c>
      <c r="J271" s="676">
        <v>211</v>
      </c>
      <c r="K271" s="676">
        <v>19201</v>
      </c>
      <c r="L271" s="676">
        <v>1</v>
      </c>
      <c r="M271" s="676">
        <v>91</v>
      </c>
      <c r="N271" s="676">
        <v>274</v>
      </c>
      <c r="O271" s="676">
        <v>24934</v>
      </c>
      <c r="P271" s="697">
        <v>1.2985781990521328</v>
      </c>
      <c r="Q271" s="677">
        <v>91</v>
      </c>
    </row>
    <row r="272" spans="1:17" ht="14.4" customHeight="1" x14ac:dyDescent="0.3">
      <c r="A272" s="672" t="s">
        <v>3224</v>
      </c>
      <c r="B272" s="673" t="s">
        <v>3225</v>
      </c>
      <c r="C272" s="673" t="s">
        <v>2102</v>
      </c>
      <c r="D272" s="673" t="s">
        <v>3250</v>
      </c>
      <c r="E272" s="673" t="s">
        <v>3251</v>
      </c>
      <c r="F272" s="676">
        <v>3</v>
      </c>
      <c r="G272" s="676">
        <v>294</v>
      </c>
      <c r="H272" s="676"/>
      <c r="I272" s="676">
        <v>98</v>
      </c>
      <c r="J272" s="676"/>
      <c r="K272" s="676"/>
      <c r="L272" s="676"/>
      <c r="M272" s="676"/>
      <c r="N272" s="676">
        <v>2</v>
      </c>
      <c r="O272" s="676">
        <v>274</v>
      </c>
      <c r="P272" s="697"/>
      <c r="Q272" s="677">
        <v>137</v>
      </c>
    </row>
    <row r="273" spans="1:17" ht="14.4" customHeight="1" x14ac:dyDescent="0.3">
      <c r="A273" s="672" t="s">
        <v>3224</v>
      </c>
      <c r="B273" s="673" t="s">
        <v>3225</v>
      </c>
      <c r="C273" s="673" t="s">
        <v>2102</v>
      </c>
      <c r="D273" s="673" t="s">
        <v>3252</v>
      </c>
      <c r="E273" s="673" t="s">
        <v>3253</v>
      </c>
      <c r="F273" s="676">
        <v>76</v>
      </c>
      <c r="G273" s="676">
        <v>1596</v>
      </c>
      <c r="H273" s="676">
        <v>3.1666666666666665</v>
      </c>
      <c r="I273" s="676">
        <v>21</v>
      </c>
      <c r="J273" s="676">
        <v>24</v>
      </c>
      <c r="K273" s="676">
        <v>504</v>
      </c>
      <c r="L273" s="676">
        <v>1</v>
      </c>
      <c r="M273" s="676">
        <v>21</v>
      </c>
      <c r="N273" s="676">
        <v>76</v>
      </c>
      <c r="O273" s="676">
        <v>5016</v>
      </c>
      <c r="P273" s="697">
        <v>9.9523809523809526</v>
      </c>
      <c r="Q273" s="677">
        <v>66</v>
      </c>
    </row>
    <row r="274" spans="1:17" ht="14.4" customHeight="1" x14ac:dyDescent="0.3">
      <c r="A274" s="672" t="s">
        <v>3224</v>
      </c>
      <c r="B274" s="673" t="s">
        <v>3225</v>
      </c>
      <c r="C274" s="673" t="s">
        <v>2102</v>
      </c>
      <c r="D274" s="673" t="s">
        <v>3137</v>
      </c>
      <c r="E274" s="673" t="s">
        <v>3138</v>
      </c>
      <c r="F274" s="676">
        <v>40</v>
      </c>
      <c r="G274" s="676">
        <v>19480</v>
      </c>
      <c r="H274" s="676">
        <v>1.4784456587735275</v>
      </c>
      <c r="I274" s="676">
        <v>487</v>
      </c>
      <c r="J274" s="676">
        <v>27</v>
      </c>
      <c r="K274" s="676">
        <v>13176</v>
      </c>
      <c r="L274" s="676">
        <v>1</v>
      </c>
      <c r="M274" s="676">
        <v>488</v>
      </c>
      <c r="N274" s="676">
        <v>55</v>
      </c>
      <c r="O274" s="676">
        <v>18040</v>
      </c>
      <c r="P274" s="697">
        <v>1.3691560412871888</v>
      </c>
      <c r="Q274" s="677">
        <v>328</v>
      </c>
    </row>
    <row r="275" spans="1:17" ht="14.4" customHeight="1" x14ac:dyDescent="0.3">
      <c r="A275" s="672" t="s">
        <v>3224</v>
      </c>
      <c r="B275" s="673" t="s">
        <v>3225</v>
      </c>
      <c r="C275" s="673" t="s">
        <v>2102</v>
      </c>
      <c r="D275" s="673" t="s">
        <v>3254</v>
      </c>
      <c r="E275" s="673" t="s">
        <v>3255</v>
      </c>
      <c r="F275" s="676">
        <v>76</v>
      </c>
      <c r="G275" s="676">
        <v>3116</v>
      </c>
      <c r="H275" s="676">
        <v>1.8536585365853659</v>
      </c>
      <c r="I275" s="676">
        <v>41</v>
      </c>
      <c r="J275" s="676">
        <v>41</v>
      </c>
      <c r="K275" s="676">
        <v>1681</v>
      </c>
      <c r="L275" s="676">
        <v>1</v>
      </c>
      <c r="M275" s="676">
        <v>41</v>
      </c>
      <c r="N275" s="676">
        <v>57</v>
      </c>
      <c r="O275" s="676">
        <v>2907</v>
      </c>
      <c r="P275" s="697">
        <v>1.7293277810826888</v>
      </c>
      <c r="Q275" s="677">
        <v>51</v>
      </c>
    </row>
    <row r="276" spans="1:17" ht="14.4" customHeight="1" x14ac:dyDescent="0.3">
      <c r="A276" s="672" t="s">
        <v>3224</v>
      </c>
      <c r="B276" s="673" t="s">
        <v>3225</v>
      </c>
      <c r="C276" s="673" t="s">
        <v>2102</v>
      </c>
      <c r="D276" s="673" t="s">
        <v>3256</v>
      </c>
      <c r="E276" s="673" t="s">
        <v>3257</v>
      </c>
      <c r="F276" s="676">
        <v>1</v>
      </c>
      <c r="G276" s="676">
        <v>2072</v>
      </c>
      <c r="H276" s="676"/>
      <c r="I276" s="676">
        <v>2072</v>
      </c>
      <c r="J276" s="676"/>
      <c r="K276" s="676"/>
      <c r="L276" s="676"/>
      <c r="M276" s="676"/>
      <c r="N276" s="676"/>
      <c r="O276" s="676"/>
      <c r="P276" s="697"/>
      <c r="Q276" s="677"/>
    </row>
    <row r="277" spans="1:17" ht="14.4" customHeight="1" x14ac:dyDescent="0.3">
      <c r="A277" s="672" t="s">
        <v>3224</v>
      </c>
      <c r="B277" s="673" t="s">
        <v>3225</v>
      </c>
      <c r="C277" s="673" t="s">
        <v>2102</v>
      </c>
      <c r="D277" s="673" t="s">
        <v>3258</v>
      </c>
      <c r="E277" s="673" t="s">
        <v>3259</v>
      </c>
      <c r="F277" s="676">
        <v>5</v>
      </c>
      <c r="G277" s="676">
        <v>3040</v>
      </c>
      <c r="H277" s="676">
        <v>1.2377850162866451</v>
      </c>
      <c r="I277" s="676">
        <v>608</v>
      </c>
      <c r="J277" s="676">
        <v>4</v>
      </c>
      <c r="K277" s="676">
        <v>2456</v>
      </c>
      <c r="L277" s="676">
        <v>1</v>
      </c>
      <c r="M277" s="676">
        <v>614</v>
      </c>
      <c r="N277" s="676">
        <v>3</v>
      </c>
      <c r="O277" s="676">
        <v>1836</v>
      </c>
      <c r="P277" s="697">
        <v>0.74755700325732899</v>
      </c>
      <c r="Q277" s="677">
        <v>612</v>
      </c>
    </row>
    <row r="278" spans="1:17" ht="14.4" customHeight="1" x14ac:dyDescent="0.3">
      <c r="A278" s="672" t="s">
        <v>3224</v>
      </c>
      <c r="B278" s="673" t="s">
        <v>3225</v>
      </c>
      <c r="C278" s="673" t="s">
        <v>2102</v>
      </c>
      <c r="D278" s="673" t="s">
        <v>3260</v>
      </c>
      <c r="E278" s="673" t="s">
        <v>3261</v>
      </c>
      <c r="F278" s="676"/>
      <c r="G278" s="676"/>
      <c r="H278" s="676"/>
      <c r="I278" s="676"/>
      <c r="J278" s="676">
        <v>2</v>
      </c>
      <c r="K278" s="676">
        <v>658</v>
      </c>
      <c r="L278" s="676">
        <v>1</v>
      </c>
      <c r="M278" s="676">
        <v>329</v>
      </c>
      <c r="N278" s="676"/>
      <c r="O278" s="676"/>
      <c r="P278" s="697"/>
      <c r="Q278" s="677"/>
    </row>
    <row r="279" spans="1:17" ht="14.4" customHeight="1" x14ac:dyDescent="0.3">
      <c r="A279" s="672" t="s">
        <v>3262</v>
      </c>
      <c r="B279" s="673" t="s">
        <v>2953</v>
      </c>
      <c r="C279" s="673" t="s">
        <v>2102</v>
      </c>
      <c r="D279" s="673" t="s">
        <v>3263</v>
      </c>
      <c r="E279" s="673" t="s">
        <v>3264</v>
      </c>
      <c r="F279" s="676">
        <v>1</v>
      </c>
      <c r="G279" s="676">
        <v>1184</v>
      </c>
      <c r="H279" s="676"/>
      <c r="I279" s="676">
        <v>1184</v>
      </c>
      <c r="J279" s="676"/>
      <c r="K279" s="676"/>
      <c r="L279" s="676"/>
      <c r="M279" s="676"/>
      <c r="N279" s="676"/>
      <c r="O279" s="676"/>
      <c r="P279" s="697"/>
      <c r="Q279" s="677"/>
    </row>
    <row r="280" spans="1:17" ht="14.4" customHeight="1" x14ac:dyDescent="0.3">
      <c r="A280" s="672" t="s">
        <v>3262</v>
      </c>
      <c r="B280" s="673" t="s">
        <v>2953</v>
      </c>
      <c r="C280" s="673" t="s">
        <v>2102</v>
      </c>
      <c r="D280" s="673" t="s">
        <v>3265</v>
      </c>
      <c r="E280" s="673" t="s">
        <v>3266</v>
      </c>
      <c r="F280" s="676"/>
      <c r="G280" s="676"/>
      <c r="H280" s="676"/>
      <c r="I280" s="676"/>
      <c r="J280" s="676">
        <v>1</v>
      </c>
      <c r="K280" s="676">
        <v>842</v>
      </c>
      <c r="L280" s="676">
        <v>1</v>
      </c>
      <c r="M280" s="676">
        <v>842</v>
      </c>
      <c r="N280" s="676"/>
      <c r="O280" s="676"/>
      <c r="P280" s="697"/>
      <c r="Q280" s="677"/>
    </row>
    <row r="281" spans="1:17" ht="14.4" customHeight="1" x14ac:dyDescent="0.3">
      <c r="A281" s="672" t="s">
        <v>3262</v>
      </c>
      <c r="B281" s="673" t="s">
        <v>2953</v>
      </c>
      <c r="C281" s="673" t="s">
        <v>2102</v>
      </c>
      <c r="D281" s="673" t="s">
        <v>3267</v>
      </c>
      <c r="E281" s="673" t="s">
        <v>3268</v>
      </c>
      <c r="F281" s="676">
        <v>1</v>
      </c>
      <c r="G281" s="676">
        <v>167</v>
      </c>
      <c r="H281" s="676">
        <v>0.1988095238095238</v>
      </c>
      <c r="I281" s="676">
        <v>167</v>
      </c>
      <c r="J281" s="676">
        <v>5</v>
      </c>
      <c r="K281" s="676">
        <v>840</v>
      </c>
      <c r="L281" s="676">
        <v>1</v>
      </c>
      <c r="M281" s="676">
        <v>168</v>
      </c>
      <c r="N281" s="676">
        <v>3</v>
      </c>
      <c r="O281" s="676">
        <v>504</v>
      </c>
      <c r="P281" s="697">
        <v>0.6</v>
      </c>
      <c r="Q281" s="677">
        <v>168</v>
      </c>
    </row>
    <row r="282" spans="1:17" ht="14.4" customHeight="1" x14ac:dyDescent="0.3">
      <c r="A282" s="672" t="s">
        <v>3262</v>
      </c>
      <c r="B282" s="673" t="s">
        <v>2953</v>
      </c>
      <c r="C282" s="673" t="s">
        <v>2102</v>
      </c>
      <c r="D282" s="673" t="s">
        <v>3269</v>
      </c>
      <c r="E282" s="673" t="s">
        <v>3270</v>
      </c>
      <c r="F282" s="676">
        <v>1</v>
      </c>
      <c r="G282" s="676">
        <v>173</v>
      </c>
      <c r="H282" s="676">
        <v>0.19885057471264367</v>
      </c>
      <c r="I282" s="676">
        <v>173</v>
      </c>
      <c r="J282" s="676">
        <v>5</v>
      </c>
      <c r="K282" s="676">
        <v>870</v>
      </c>
      <c r="L282" s="676">
        <v>1</v>
      </c>
      <c r="M282" s="676">
        <v>174</v>
      </c>
      <c r="N282" s="676">
        <v>3</v>
      </c>
      <c r="O282" s="676">
        <v>522</v>
      </c>
      <c r="P282" s="697">
        <v>0.6</v>
      </c>
      <c r="Q282" s="677">
        <v>174</v>
      </c>
    </row>
    <row r="283" spans="1:17" ht="14.4" customHeight="1" x14ac:dyDescent="0.3">
      <c r="A283" s="672" t="s">
        <v>3262</v>
      </c>
      <c r="B283" s="673" t="s">
        <v>2953</v>
      </c>
      <c r="C283" s="673" t="s">
        <v>2102</v>
      </c>
      <c r="D283" s="673" t="s">
        <v>3271</v>
      </c>
      <c r="E283" s="673" t="s">
        <v>3272</v>
      </c>
      <c r="F283" s="676">
        <v>3</v>
      </c>
      <c r="G283" s="676">
        <v>1047</v>
      </c>
      <c r="H283" s="676">
        <v>0.19942857142857143</v>
      </c>
      <c r="I283" s="676">
        <v>349</v>
      </c>
      <c r="J283" s="676">
        <v>15</v>
      </c>
      <c r="K283" s="676">
        <v>5250</v>
      </c>
      <c r="L283" s="676">
        <v>1</v>
      </c>
      <c r="M283" s="676">
        <v>350</v>
      </c>
      <c r="N283" s="676">
        <v>9</v>
      </c>
      <c r="O283" s="676">
        <v>3150</v>
      </c>
      <c r="P283" s="697">
        <v>0.6</v>
      </c>
      <c r="Q283" s="677">
        <v>350</v>
      </c>
    </row>
    <row r="284" spans="1:17" ht="14.4" customHeight="1" x14ac:dyDescent="0.3">
      <c r="A284" s="672" t="s">
        <v>3262</v>
      </c>
      <c r="B284" s="673" t="s">
        <v>2953</v>
      </c>
      <c r="C284" s="673" t="s">
        <v>2102</v>
      </c>
      <c r="D284" s="673" t="s">
        <v>3273</v>
      </c>
      <c r="E284" s="673" t="s">
        <v>3274</v>
      </c>
      <c r="F284" s="676">
        <v>1</v>
      </c>
      <c r="G284" s="676">
        <v>39</v>
      </c>
      <c r="H284" s="676">
        <v>0.19500000000000001</v>
      </c>
      <c r="I284" s="676">
        <v>39</v>
      </c>
      <c r="J284" s="676">
        <v>5</v>
      </c>
      <c r="K284" s="676">
        <v>200</v>
      </c>
      <c r="L284" s="676">
        <v>1</v>
      </c>
      <c r="M284" s="676">
        <v>40</v>
      </c>
      <c r="N284" s="676">
        <v>3</v>
      </c>
      <c r="O284" s="676">
        <v>120</v>
      </c>
      <c r="P284" s="697">
        <v>0.6</v>
      </c>
      <c r="Q284" s="677">
        <v>40</v>
      </c>
    </row>
    <row r="285" spans="1:17" ht="14.4" customHeight="1" x14ac:dyDescent="0.3">
      <c r="A285" s="672" t="s">
        <v>3262</v>
      </c>
      <c r="B285" s="673" t="s">
        <v>2953</v>
      </c>
      <c r="C285" s="673" t="s">
        <v>2102</v>
      </c>
      <c r="D285" s="673" t="s">
        <v>2885</v>
      </c>
      <c r="E285" s="673" t="s">
        <v>2886</v>
      </c>
      <c r="F285" s="676">
        <v>1</v>
      </c>
      <c r="G285" s="676">
        <v>170</v>
      </c>
      <c r="H285" s="676">
        <v>0.19883040935672514</v>
      </c>
      <c r="I285" s="676">
        <v>170</v>
      </c>
      <c r="J285" s="676">
        <v>5</v>
      </c>
      <c r="K285" s="676">
        <v>855</v>
      </c>
      <c r="L285" s="676">
        <v>1</v>
      </c>
      <c r="M285" s="676">
        <v>171</v>
      </c>
      <c r="N285" s="676">
        <v>3</v>
      </c>
      <c r="O285" s="676">
        <v>513</v>
      </c>
      <c r="P285" s="697">
        <v>0.6</v>
      </c>
      <c r="Q285" s="677">
        <v>171</v>
      </c>
    </row>
    <row r="286" spans="1:17" ht="14.4" customHeight="1" x14ac:dyDescent="0.3">
      <c r="A286" s="672" t="s">
        <v>3262</v>
      </c>
      <c r="B286" s="673" t="s">
        <v>2953</v>
      </c>
      <c r="C286" s="673" t="s">
        <v>2102</v>
      </c>
      <c r="D286" s="673" t="s">
        <v>3275</v>
      </c>
      <c r="E286" s="673" t="s">
        <v>3276</v>
      </c>
      <c r="F286" s="676"/>
      <c r="G286" s="676"/>
      <c r="H286" s="676"/>
      <c r="I286" s="676"/>
      <c r="J286" s="676"/>
      <c r="K286" s="676"/>
      <c r="L286" s="676"/>
      <c r="M286" s="676"/>
      <c r="N286" s="676">
        <v>1</v>
      </c>
      <c r="O286" s="676">
        <v>350</v>
      </c>
      <c r="P286" s="697"/>
      <c r="Q286" s="677">
        <v>350</v>
      </c>
    </row>
    <row r="287" spans="1:17" ht="14.4" customHeight="1" x14ac:dyDescent="0.3">
      <c r="A287" s="672" t="s">
        <v>3262</v>
      </c>
      <c r="B287" s="673" t="s">
        <v>2953</v>
      </c>
      <c r="C287" s="673" t="s">
        <v>2102</v>
      </c>
      <c r="D287" s="673" t="s">
        <v>2901</v>
      </c>
      <c r="E287" s="673" t="s">
        <v>2902</v>
      </c>
      <c r="F287" s="676">
        <v>1</v>
      </c>
      <c r="G287" s="676">
        <v>173</v>
      </c>
      <c r="H287" s="676">
        <v>0.19885057471264367</v>
      </c>
      <c r="I287" s="676">
        <v>173</v>
      </c>
      <c r="J287" s="676">
        <v>5</v>
      </c>
      <c r="K287" s="676">
        <v>870</v>
      </c>
      <c r="L287" s="676">
        <v>1</v>
      </c>
      <c r="M287" s="676">
        <v>174</v>
      </c>
      <c r="N287" s="676">
        <v>3</v>
      </c>
      <c r="O287" s="676">
        <v>522</v>
      </c>
      <c r="P287" s="697">
        <v>0.6</v>
      </c>
      <c r="Q287" s="677">
        <v>174</v>
      </c>
    </row>
    <row r="288" spans="1:17" ht="14.4" customHeight="1" x14ac:dyDescent="0.3">
      <c r="A288" s="672" t="s">
        <v>3262</v>
      </c>
      <c r="B288" s="673" t="s">
        <v>2953</v>
      </c>
      <c r="C288" s="673" t="s">
        <v>2102</v>
      </c>
      <c r="D288" s="673" t="s">
        <v>3277</v>
      </c>
      <c r="E288" s="673" t="s">
        <v>3278</v>
      </c>
      <c r="F288" s="676">
        <v>1</v>
      </c>
      <c r="G288" s="676">
        <v>167</v>
      </c>
      <c r="H288" s="676">
        <v>0.1988095238095238</v>
      </c>
      <c r="I288" s="676">
        <v>167</v>
      </c>
      <c r="J288" s="676">
        <v>5</v>
      </c>
      <c r="K288" s="676">
        <v>840</v>
      </c>
      <c r="L288" s="676">
        <v>1</v>
      </c>
      <c r="M288" s="676">
        <v>168</v>
      </c>
      <c r="N288" s="676">
        <v>3</v>
      </c>
      <c r="O288" s="676">
        <v>504</v>
      </c>
      <c r="P288" s="697">
        <v>0.6</v>
      </c>
      <c r="Q288" s="677">
        <v>168</v>
      </c>
    </row>
    <row r="289" spans="1:17" ht="14.4" customHeight="1" x14ac:dyDescent="0.3">
      <c r="A289" s="672" t="s">
        <v>3262</v>
      </c>
      <c r="B289" s="673" t="s">
        <v>2953</v>
      </c>
      <c r="C289" s="673" t="s">
        <v>2102</v>
      </c>
      <c r="D289" s="673" t="s">
        <v>3279</v>
      </c>
      <c r="E289" s="673" t="s">
        <v>3280</v>
      </c>
      <c r="F289" s="676"/>
      <c r="G289" s="676"/>
      <c r="H289" s="676"/>
      <c r="I289" s="676"/>
      <c r="J289" s="676">
        <v>1</v>
      </c>
      <c r="K289" s="676">
        <v>1022</v>
      </c>
      <c r="L289" s="676">
        <v>1</v>
      </c>
      <c r="M289" s="676">
        <v>1022</v>
      </c>
      <c r="N289" s="676"/>
      <c r="O289" s="676"/>
      <c r="P289" s="697"/>
      <c r="Q289" s="677"/>
    </row>
    <row r="290" spans="1:17" ht="14.4" customHeight="1" x14ac:dyDescent="0.3">
      <c r="A290" s="672" t="s">
        <v>478</v>
      </c>
      <c r="B290" s="673" t="s">
        <v>2627</v>
      </c>
      <c r="C290" s="673" t="s">
        <v>2102</v>
      </c>
      <c r="D290" s="673" t="s">
        <v>2628</v>
      </c>
      <c r="E290" s="673" t="s">
        <v>2629</v>
      </c>
      <c r="F290" s="676">
        <v>1</v>
      </c>
      <c r="G290" s="676">
        <v>259</v>
      </c>
      <c r="H290" s="676"/>
      <c r="I290" s="676">
        <v>259</v>
      </c>
      <c r="J290" s="676"/>
      <c r="K290" s="676"/>
      <c r="L290" s="676"/>
      <c r="M290" s="676"/>
      <c r="N290" s="676"/>
      <c r="O290" s="676"/>
      <c r="P290" s="697"/>
      <c r="Q290" s="677"/>
    </row>
    <row r="291" spans="1:17" ht="14.4" customHeight="1" x14ac:dyDescent="0.3">
      <c r="A291" s="672" t="s">
        <v>478</v>
      </c>
      <c r="B291" s="673" t="s">
        <v>2627</v>
      </c>
      <c r="C291" s="673" t="s">
        <v>2102</v>
      </c>
      <c r="D291" s="673" t="s">
        <v>2630</v>
      </c>
      <c r="E291" s="673" t="s">
        <v>2631</v>
      </c>
      <c r="F291" s="676"/>
      <c r="G291" s="676"/>
      <c r="H291" s="676"/>
      <c r="I291" s="676"/>
      <c r="J291" s="676">
        <v>2</v>
      </c>
      <c r="K291" s="676">
        <v>698</v>
      </c>
      <c r="L291" s="676">
        <v>1</v>
      </c>
      <c r="M291" s="676">
        <v>349</v>
      </c>
      <c r="N291" s="676"/>
      <c r="O291" s="676"/>
      <c r="P291" s="697"/>
      <c r="Q291" s="677"/>
    </row>
    <row r="292" spans="1:17" ht="14.4" customHeight="1" x14ac:dyDescent="0.3">
      <c r="A292" s="672" t="s">
        <v>478</v>
      </c>
      <c r="B292" s="673" t="s">
        <v>2627</v>
      </c>
      <c r="C292" s="673" t="s">
        <v>2102</v>
      </c>
      <c r="D292" s="673" t="s">
        <v>2632</v>
      </c>
      <c r="E292" s="673" t="s">
        <v>2633</v>
      </c>
      <c r="F292" s="676"/>
      <c r="G292" s="676"/>
      <c r="H292" s="676"/>
      <c r="I292" s="676"/>
      <c r="J292" s="676">
        <v>2</v>
      </c>
      <c r="K292" s="676">
        <v>566</v>
      </c>
      <c r="L292" s="676">
        <v>1</v>
      </c>
      <c r="M292" s="676">
        <v>283</v>
      </c>
      <c r="N292" s="676"/>
      <c r="O292" s="676"/>
      <c r="P292" s="697"/>
      <c r="Q292" s="677"/>
    </row>
    <row r="293" spans="1:17" ht="14.4" customHeight="1" x14ac:dyDescent="0.3">
      <c r="A293" s="672" t="s">
        <v>478</v>
      </c>
      <c r="B293" s="673" t="s">
        <v>2627</v>
      </c>
      <c r="C293" s="673" t="s">
        <v>2102</v>
      </c>
      <c r="D293" s="673" t="s">
        <v>2634</v>
      </c>
      <c r="E293" s="673" t="s">
        <v>2635</v>
      </c>
      <c r="F293" s="676"/>
      <c r="G293" s="676"/>
      <c r="H293" s="676"/>
      <c r="I293" s="676"/>
      <c r="J293" s="676">
        <v>2</v>
      </c>
      <c r="K293" s="676">
        <v>11194</v>
      </c>
      <c r="L293" s="676">
        <v>1</v>
      </c>
      <c r="M293" s="676">
        <v>5597</v>
      </c>
      <c r="N293" s="676"/>
      <c r="O293" s="676"/>
      <c r="P293" s="697"/>
      <c r="Q293" s="677"/>
    </row>
    <row r="294" spans="1:17" ht="14.4" customHeight="1" x14ac:dyDescent="0.3">
      <c r="A294" s="672" t="s">
        <v>3281</v>
      </c>
      <c r="B294" s="673" t="s">
        <v>3282</v>
      </c>
      <c r="C294" s="673" t="s">
        <v>2102</v>
      </c>
      <c r="D294" s="673" t="s">
        <v>3283</v>
      </c>
      <c r="E294" s="673" t="s">
        <v>3284</v>
      </c>
      <c r="F294" s="676">
        <v>2</v>
      </c>
      <c r="G294" s="676">
        <v>1006</v>
      </c>
      <c r="H294" s="676">
        <v>1.9803149606299213</v>
      </c>
      <c r="I294" s="676">
        <v>503</v>
      </c>
      <c r="J294" s="676">
        <v>1</v>
      </c>
      <c r="K294" s="676">
        <v>508</v>
      </c>
      <c r="L294" s="676">
        <v>1</v>
      </c>
      <c r="M294" s="676">
        <v>508</v>
      </c>
      <c r="N294" s="676">
        <v>3</v>
      </c>
      <c r="O294" s="676">
        <v>1524</v>
      </c>
      <c r="P294" s="697">
        <v>3</v>
      </c>
      <c r="Q294" s="677">
        <v>508</v>
      </c>
    </row>
    <row r="295" spans="1:17" ht="14.4" customHeight="1" x14ac:dyDescent="0.3">
      <c r="A295" s="672" t="s">
        <v>3281</v>
      </c>
      <c r="B295" s="673" t="s">
        <v>3282</v>
      </c>
      <c r="C295" s="673" t="s">
        <v>2102</v>
      </c>
      <c r="D295" s="673" t="s">
        <v>3285</v>
      </c>
      <c r="E295" s="673" t="s">
        <v>3286</v>
      </c>
      <c r="F295" s="676">
        <v>2</v>
      </c>
      <c r="G295" s="676">
        <v>12568</v>
      </c>
      <c r="H295" s="676">
        <v>1.9631365198375508</v>
      </c>
      <c r="I295" s="676">
        <v>6284</v>
      </c>
      <c r="J295" s="676">
        <v>1</v>
      </c>
      <c r="K295" s="676">
        <v>6402</v>
      </c>
      <c r="L295" s="676">
        <v>1</v>
      </c>
      <c r="M295" s="676">
        <v>6402</v>
      </c>
      <c r="N295" s="676">
        <v>3</v>
      </c>
      <c r="O295" s="676">
        <v>19212</v>
      </c>
      <c r="P295" s="697">
        <v>3.000937207122774</v>
      </c>
      <c r="Q295" s="677">
        <v>6404</v>
      </c>
    </row>
    <row r="296" spans="1:17" ht="14.4" customHeight="1" x14ac:dyDescent="0.3">
      <c r="A296" s="672" t="s">
        <v>3281</v>
      </c>
      <c r="B296" s="673" t="s">
        <v>3282</v>
      </c>
      <c r="C296" s="673" t="s">
        <v>2102</v>
      </c>
      <c r="D296" s="673" t="s">
        <v>3192</v>
      </c>
      <c r="E296" s="673" t="s">
        <v>3193</v>
      </c>
      <c r="F296" s="676"/>
      <c r="G296" s="676"/>
      <c r="H296" s="676"/>
      <c r="I296" s="676"/>
      <c r="J296" s="676">
        <v>1</v>
      </c>
      <c r="K296" s="676">
        <v>1283</v>
      </c>
      <c r="L296" s="676">
        <v>1</v>
      </c>
      <c r="M296" s="676">
        <v>1283</v>
      </c>
      <c r="N296" s="676">
        <v>4</v>
      </c>
      <c r="O296" s="676">
        <v>5140</v>
      </c>
      <c r="P296" s="697">
        <v>4.006235385814497</v>
      </c>
      <c r="Q296" s="677">
        <v>1285</v>
      </c>
    </row>
    <row r="297" spans="1:17" ht="14.4" customHeight="1" x14ac:dyDescent="0.3">
      <c r="A297" s="672" t="s">
        <v>3281</v>
      </c>
      <c r="B297" s="673" t="s">
        <v>3282</v>
      </c>
      <c r="C297" s="673" t="s">
        <v>2102</v>
      </c>
      <c r="D297" s="673" t="s">
        <v>3287</v>
      </c>
      <c r="E297" s="673" t="s">
        <v>3288</v>
      </c>
      <c r="F297" s="676"/>
      <c r="G297" s="676"/>
      <c r="H297" s="676"/>
      <c r="I297" s="676"/>
      <c r="J297" s="676"/>
      <c r="K297" s="676"/>
      <c r="L297" s="676"/>
      <c r="M297" s="676"/>
      <c r="N297" s="676">
        <v>2</v>
      </c>
      <c r="O297" s="676">
        <v>19524</v>
      </c>
      <c r="P297" s="697"/>
      <c r="Q297" s="677">
        <v>9762</v>
      </c>
    </row>
    <row r="298" spans="1:17" ht="14.4" customHeight="1" x14ac:dyDescent="0.3">
      <c r="A298" s="672" t="s">
        <v>3281</v>
      </c>
      <c r="B298" s="673" t="s">
        <v>3282</v>
      </c>
      <c r="C298" s="673" t="s">
        <v>2102</v>
      </c>
      <c r="D298" s="673" t="s">
        <v>3204</v>
      </c>
      <c r="E298" s="673" t="s">
        <v>3205</v>
      </c>
      <c r="F298" s="676">
        <v>2</v>
      </c>
      <c r="G298" s="676">
        <v>332</v>
      </c>
      <c r="H298" s="676">
        <v>1.8651685393258426</v>
      </c>
      <c r="I298" s="676">
        <v>166</v>
      </c>
      <c r="J298" s="676">
        <v>1</v>
      </c>
      <c r="K298" s="676">
        <v>178</v>
      </c>
      <c r="L298" s="676">
        <v>1</v>
      </c>
      <c r="M298" s="676">
        <v>178</v>
      </c>
      <c r="N298" s="676">
        <v>3</v>
      </c>
      <c r="O298" s="676">
        <v>534</v>
      </c>
      <c r="P298" s="697">
        <v>3</v>
      </c>
      <c r="Q298" s="677">
        <v>178</v>
      </c>
    </row>
    <row r="299" spans="1:17" ht="14.4" customHeight="1" thickBot="1" x14ac:dyDescent="0.35">
      <c r="A299" s="678" t="s">
        <v>3281</v>
      </c>
      <c r="B299" s="679" t="s">
        <v>3282</v>
      </c>
      <c r="C299" s="679" t="s">
        <v>2102</v>
      </c>
      <c r="D299" s="679" t="s">
        <v>3212</v>
      </c>
      <c r="E299" s="679" t="s">
        <v>3213</v>
      </c>
      <c r="F299" s="682"/>
      <c r="G299" s="682"/>
      <c r="H299" s="682"/>
      <c r="I299" s="682"/>
      <c r="J299" s="682"/>
      <c r="K299" s="682"/>
      <c r="L299" s="682"/>
      <c r="M299" s="682"/>
      <c r="N299" s="682">
        <v>20</v>
      </c>
      <c r="O299" s="682">
        <v>45940</v>
      </c>
      <c r="P299" s="690"/>
      <c r="Q299" s="683">
        <v>2297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0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73" bestFit="1" customWidth="1"/>
    <col min="2" max="2" width="15.6640625" style="173" bestFit="1" customWidth="1"/>
    <col min="3" max="3" width="8.33203125" style="181" hidden="1" customWidth="1" outlineLevel="1"/>
    <col min="4" max="4" width="8.33203125" style="181" customWidth="1" collapsed="1"/>
    <col min="5" max="5" width="8.33203125" style="181" customWidth="1"/>
    <col min="6" max="6" width="6.109375" style="182" customWidth="1"/>
    <col min="7" max="7" width="8.33203125" style="181" hidden="1" customWidth="1" outlineLevel="1"/>
    <col min="8" max="8" width="8.33203125" style="181" customWidth="1" collapsed="1"/>
    <col min="9" max="9" width="8.33203125" style="181" customWidth="1"/>
    <col min="10" max="10" width="6.109375" style="182" customWidth="1"/>
    <col min="11" max="11" width="8.33203125" style="181" hidden="1" customWidth="1" outlineLevel="1"/>
    <col min="12" max="12" width="8.33203125" style="181" customWidth="1" collapsed="1"/>
    <col min="13" max="14" width="8.33203125" style="181" customWidth="1"/>
    <col min="15" max="16384" width="8.88671875" style="173"/>
  </cols>
  <sheetData>
    <row r="1" spans="1:14" ht="18.600000000000001" customHeight="1" thickBot="1" x14ac:dyDescent="0.4">
      <c r="A1" s="617" t="s">
        <v>162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  <c r="M1" s="618"/>
      <c r="N1" s="618"/>
    </row>
    <row r="2" spans="1:14" ht="14.4" customHeight="1" thickBot="1" x14ac:dyDescent="0.35">
      <c r="A2" s="351" t="s">
        <v>288</v>
      </c>
      <c r="B2" s="174"/>
      <c r="C2" s="174"/>
      <c r="D2" s="174"/>
      <c r="E2" s="174"/>
      <c r="F2" s="174"/>
      <c r="G2" s="405"/>
      <c r="H2" s="405"/>
      <c r="I2" s="405"/>
      <c r="J2" s="174"/>
      <c r="K2" s="405"/>
      <c r="L2" s="405"/>
      <c r="M2" s="405"/>
      <c r="N2" s="174"/>
    </row>
    <row r="3" spans="1:14" ht="14.4" customHeight="1" thickBot="1" x14ac:dyDescent="0.35">
      <c r="A3" s="175"/>
      <c r="B3" s="176" t="s">
        <v>142</v>
      </c>
      <c r="C3" s="177">
        <f>SUBTOTAL(9,C6:C1048576)</f>
        <v>621</v>
      </c>
      <c r="D3" s="178">
        <f>SUBTOTAL(9,D6:D1048576)</f>
        <v>814</v>
      </c>
      <c r="E3" s="178">
        <f>SUBTOTAL(9,E6:E1048576)</f>
        <v>973</v>
      </c>
      <c r="F3" s="179">
        <f>IF(OR(E3=0,D3=0),"",E3/D3)</f>
        <v>1.1953316953316953</v>
      </c>
      <c r="G3" s="406">
        <f>SUBTOTAL(9,G6:G1048576)</f>
        <v>6720.9956999999986</v>
      </c>
      <c r="H3" s="407">
        <f>SUBTOTAL(9,H6:H1048576)</f>
        <v>8916.3315000000021</v>
      </c>
      <c r="I3" s="407">
        <f>SUBTOTAL(9,I6:I1048576)</f>
        <v>10488.1167</v>
      </c>
      <c r="J3" s="179">
        <f>IF(OR(I3=0,H3=0),"",I3/H3)</f>
        <v>1.1762816019121762</v>
      </c>
      <c r="K3" s="406">
        <f>SUBTOTAL(9,K6:K1048576)</f>
        <v>1398.5</v>
      </c>
      <c r="L3" s="407">
        <f>SUBTOTAL(9,L6:L1048576)</f>
        <v>1833</v>
      </c>
      <c r="M3" s="407">
        <f>SUBTOTAL(9,M6:M1048576)</f>
        <v>2067.5</v>
      </c>
      <c r="N3" s="180">
        <f>IF(OR(M3=0,E3=0),"",M3*1000/E3)</f>
        <v>2124.8715313463513</v>
      </c>
    </row>
    <row r="4" spans="1:14" ht="14.4" customHeight="1" x14ac:dyDescent="0.3">
      <c r="A4" s="619" t="s">
        <v>77</v>
      </c>
      <c r="B4" s="620" t="s">
        <v>11</v>
      </c>
      <c r="C4" s="621" t="s">
        <v>78</v>
      </c>
      <c r="D4" s="621"/>
      <c r="E4" s="621"/>
      <c r="F4" s="622"/>
      <c r="G4" s="623" t="s">
        <v>285</v>
      </c>
      <c r="H4" s="621"/>
      <c r="I4" s="621"/>
      <c r="J4" s="622"/>
      <c r="K4" s="623" t="s">
        <v>79</v>
      </c>
      <c r="L4" s="621"/>
      <c r="M4" s="621"/>
      <c r="N4" s="624"/>
    </row>
    <row r="5" spans="1:14" ht="14.4" customHeight="1" thickBot="1" x14ac:dyDescent="0.35">
      <c r="A5" s="823"/>
      <c r="B5" s="824"/>
      <c r="C5" s="831">
        <v>2015</v>
      </c>
      <c r="D5" s="831">
        <v>2016</v>
      </c>
      <c r="E5" s="831">
        <v>2017</v>
      </c>
      <c r="F5" s="832" t="s">
        <v>2</v>
      </c>
      <c r="G5" s="842">
        <v>2015</v>
      </c>
      <c r="H5" s="831">
        <v>2016</v>
      </c>
      <c r="I5" s="831">
        <v>2017</v>
      </c>
      <c r="J5" s="832" t="s">
        <v>2</v>
      </c>
      <c r="K5" s="842">
        <v>2015</v>
      </c>
      <c r="L5" s="831">
        <v>2016</v>
      </c>
      <c r="M5" s="831">
        <v>2017</v>
      </c>
      <c r="N5" s="843" t="s">
        <v>80</v>
      </c>
    </row>
    <row r="6" spans="1:14" ht="14.4" customHeight="1" x14ac:dyDescent="0.3">
      <c r="A6" s="825" t="s">
        <v>2565</v>
      </c>
      <c r="B6" s="828" t="s">
        <v>3290</v>
      </c>
      <c r="C6" s="833">
        <v>21</v>
      </c>
      <c r="D6" s="834">
        <v>20</v>
      </c>
      <c r="E6" s="834">
        <v>13</v>
      </c>
      <c r="F6" s="839">
        <v>0.65</v>
      </c>
      <c r="G6" s="833">
        <v>528.55740000000003</v>
      </c>
      <c r="H6" s="834">
        <v>503.38799999999998</v>
      </c>
      <c r="I6" s="834">
        <v>327.20220000000006</v>
      </c>
      <c r="J6" s="839">
        <v>0.65000000000000013</v>
      </c>
      <c r="K6" s="833">
        <v>189</v>
      </c>
      <c r="L6" s="834">
        <v>180</v>
      </c>
      <c r="M6" s="834">
        <v>117</v>
      </c>
      <c r="N6" s="844">
        <v>9000</v>
      </c>
    </row>
    <row r="7" spans="1:14" ht="14.4" customHeight="1" x14ac:dyDescent="0.3">
      <c r="A7" s="826" t="s">
        <v>2560</v>
      </c>
      <c r="B7" s="829" t="s">
        <v>3290</v>
      </c>
      <c r="C7" s="835">
        <v>23</v>
      </c>
      <c r="D7" s="836">
        <v>32</v>
      </c>
      <c r="E7" s="836">
        <v>22</v>
      </c>
      <c r="F7" s="840">
        <v>0.6875</v>
      </c>
      <c r="G7" s="835">
        <v>496.09620000000007</v>
      </c>
      <c r="H7" s="836">
        <v>690.22080000000005</v>
      </c>
      <c r="I7" s="836">
        <v>474.52680000000004</v>
      </c>
      <c r="J7" s="840">
        <v>0.6875</v>
      </c>
      <c r="K7" s="835">
        <v>161</v>
      </c>
      <c r="L7" s="836">
        <v>224</v>
      </c>
      <c r="M7" s="836">
        <v>154</v>
      </c>
      <c r="N7" s="845">
        <v>7000</v>
      </c>
    </row>
    <row r="8" spans="1:14" ht="14.4" customHeight="1" x14ac:dyDescent="0.3">
      <c r="A8" s="826" t="s">
        <v>2539</v>
      </c>
      <c r="B8" s="829" t="s">
        <v>3290</v>
      </c>
      <c r="C8" s="835">
        <v>477</v>
      </c>
      <c r="D8" s="836">
        <v>671</v>
      </c>
      <c r="E8" s="836">
        <v>865</v>
      </c>
      <c r="F8" s="840">
        <v>1.2891207153502235</v>
      </c>
      <c r="G8" s="835">
        <v>5107.3820999999989</v>
      </c>
      <c r="H8" s="836">
        <v>7184.5983000000015</v>
      </c>
      <c r="I8" s="836">
        <v>9261.8145000000004</v>
      </c>
      <c r="J8" s="840">
        <v>1.2891207153502233</v>
      </c>
      <c r="K8" s="835">
        <v>954</v>
      </c>
      <c r="L8" s="836">
        <v>1342</v>
      </c>
      <c r="M8" s="836">
        <v>1730</v>
      </c>
      <c r="N8" s="845">
        <v>2000</v>
      </c>
    </row>
    <row r="9" spans="1:14" ht="14.4" customHeight="1" x14ac:dyDescent="0.3">
      <c r="A9" s="826" t="s">
        <v>2562</v>
      </c>
      <c r="B9" s="829" t="s">
        <v>3290</v>
      </c>
      <c r="C9" s="835">
        <v>89</v>
      </c>
      <c r="D9" s="836">
        <v>83</v>
      </c>
      <c r="E9" s="836">
        <v>60</v>
      </c>
      <c r="F9" s="840">
        <v>0.72289156626506024</v>
      </c>
      <c r="G9" s="835">
        <v>534.74759999999992</v>
      </c>
      <c r="H9" s="836">
        <v>498.69720000000001</v>
      </c>
      <c r="I9" s="836">
        <v>360.50400000000002</v>
      </c>
      <c r="J9" s="840">
        <v>0.72289156626506024</v>
      </c>
      <c r="K9" s="835">
        <v>89</v>
      </c>
      <c r="L9" s="836">
        <v>83</v>
      </c>
      <c r="M9" s="836">
        <v>60</v>
      </c>
      <c r="N9" s="845">
        <v>1000</v>
      </c>
    </row>
    <row r="10" spans="1:14" ht="14.4" customHeight="1" thickBot="1" x14ac:dyDescent="0.35">
      <c r="A10" s="827" t="s">
        <v>2558</v>
      </c>
      <c r="B10" s="830" t="s">
        <v>3290</v>
      </c>
      <c r="C10" s="837">
        <v>11</v>
      </c>
      <c r="D10" s="838">
        <v>8</v>
      </c>
      <c r="E10" s="838">
        <v>13</v>
      </c>
      <c r="F10" s="841">
        <v>1.625</v>
      </c>
      <c r="G10" s="837">
        <v>54.212400000000009</v>
      </c>
      <c r="H10" s="838">
        <v>39.427199999999999</v>
      </c>
      <c r="I10" s="838">
        <v>64.069199999999995</v>
      </c>
      <c r="J10" s="841">
        <v>1.625</v>
      </c>
      <c r="K10" s="837">
        <v>5.5</v>
      </c>
      <c r="L10" s="838">
        <v>4</v>
      </c>
      <c r="M10" s="838">
        <v>6.5</v>
      </c>
      <c r="N10" s="846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31" bestFit="1" customWidth="1"/>
    <col min="2" max="2" width="9.5546875" style="231" hidden="1" customWidth="1" outlineLevel="1"/>
    <col min="3" max="3" width="9.5546875" style="231" customWidth="1" collapsed="1"/>
    <col min="4" max="4" width="2.21875" style="231" customWidth="1"/>
    <col min="5" max="8" width="9.5546875" style="231" customWidth="1"/>
    <col min="9" max="10" width="9.77734375" style="231" hidden="1" customWidth="1" outlineLevel="1"/>
    <col min="11" max="11" width="8.88671875" style="231" collapsed="1"/>
    <col min="12" max="16384" width="8.88671875" style="231"/>
  </cols>
  <sheetData>
    <row r="1" spans="1:10" ht="18.600000000000001" customHeight="1" thickBot="1" x14ac:dyDescent="0.4">
      <c r="A1" s="505" t="s">
        <v>157</v>
      </c>
      <c r="B1" s="505"/>
      <c r="C1" s="505"/>
      <c r="D1" s="505"/>
      <c r="E1" s="505"/>
      <c r="F1" s="505"/>
      <c r="G1" s="505"/>
      <c r="H1" s="505"/>
      <c r="I1" s="505"/>
      <c r="J1" s="505"/>
    </row>
    <row r="2" spans="1:10" ht="14.4" customHeight="1" thickBot="1" x14ac:dyDescent="0.35">
      <c r="A2" s="351" t="s">
        <v>288</v>
      </c>
      <c r="B2" s="204"/>
      <c r="C2" s="204"/>
      <c r="D2" s="204"/>
      <c r="E2" s="204"/>
      <c r="F2" s="204"/>
    </row>
    <row r="3" spans="1:10" ht="14.4" customHeight="1" x14ac:dyDescent="0.3">
      <c r="A3" s="496"/>
      <c r="B3" s="200">
        <v>2015</v>
      </c>
      <c r="C3" s="44">
        <v>2016</v>
      </c>
      <c r="D3" s="11"/>
      <c r="E3" s="500">
        <v>2017</v>
      </c>
      <c r="F3" s="501"/>
      <c r="G3" s="501"/>
      <c r="H3" s="502"/>
      <c r="I3" s="503">
        <v>2017</v>
      </c>
      <c r="J3" s="504"/>
    </row>
    <row r="4" spans="1:10" ht="14.4" customHeight="1" thickBot="1" x14ac:dyDescent="0.35">
      <c r="A4" s="497"/>
      <c r="B4" s="498" t="s">
        <v>81</v>
      </c>
      <c r="C4" s="499"/>
      <c r="D4" s="11"/>
      <c r="E4" s="221" t="s">
        <v>81</v>
      </c>
      <c r="F4" s="202" t="s">
        <v>82</v>
      </c>
      <c r="G4" s="202" t="s">
        <v>56</v>
      </c>
      <c r="H4" s="203" t="s">
        <v>83</v>
      </c>
      <c r="I4" s="447" t="s">
        <v>275</v>
      </c>
      <c r="J4" s="448" t="s">
        <v>276</v>
      </c>
    </row>
    <row r="5" spans="1:10" ht="14.4" customHeight="1" x14ac:dyDescent="0.3">
      <c r="A5" s="205" t="str">
        <f>HYPERLINK("#'Léky Žádanky'!A1","Léky (Kč)")</f>
        <v>Léky (Kč)</v>
      </c>
      <c r="B5" s="31">
        <v>2006.2574300000019</v>
      </c>
      <c r="C5" s="33">
        <v>1835.6442999999999</v>
      </c>
      <c r="D5" s="12"/>
      <c r="E5" s="210">
        <v>3276.5405400000009</v>
      </c>
      <c r="F5" s="32">
        <v>2863.01818880575</v>
      </c>
      <c r="G5" s="209">
        <f>E5-F5</f>
        <v>413.52235119425086</v>
      </c>
      <c r="H5" s="215">
        <f>IF(F5&lt;0.00000001,"",E5/F5)</f>
        <v>1.1444358100172403</v>
      </c>
    </row>
    <row r="6" spans="1:10" ht="14.4" customHeight="1" x14ac:dyDescent="0.3">
      <c r="A6" s="205" t="str">
        <f>HYPERLINK("#'Materiál Žádanky'!A1","Materiál - SZM (Kč)")</f>
        <v>Materiál - SZM (Kč)</v>
      </c>
      <c r="B6" s="14">
        <v>850.48025000000098</v>
      </c>
      <c r="C6" s="35">
        <v>822.66580999999996</v>
      </c>
      <c r="D6" s="12"/>
      <c r="E6" s="211">
        <v>1213.0982400000009</v>
      </c>
      <c r="F6" s="34">
        <v>1174.4324777023025</v>
      </c>
      <c r="G6" s="212">
        <f>E6-F6</f>
        <v>38.665762297698393</v>
      </c>
      <c r="H6" s="216">
        <f>IF(F6&lt;0.00000001,"",E6/F6)</f>
        <v>1.0329229334438581</v>
      </c>
    </row>
    <row r="7" spans="1:10" ht="14.4" customHeight="1" x14ac:dyDescent="0.3">
      <c r="A7" s="205" t="str">
        <f>HYPERLINK("#'Osobní náklady'!A1","Osobní náklady (Kč) *")</f>
        <v>Osobní náklady (Kč) *</v>
      </c>
      <c r="B7" s="14">
        <v>7820.1613800000096</v>
      </c>
      <c r="C7" s="35">
        <v>9789.5545600000005</v>
      </c>
      <c r="D7" s="12"/>
      <c r="E7" s="211">
        <v>10654.66198000001</v>
      </c>
      <c r="F7" s="34">
        <v>10982.75</v>
      </c>
      <c r="G7" s="212">
        <f>E7-F7</f>
        <v>-328.08801999999014</v>
      </c>
      <c r="H7" s="216">
        <f>IF(F7&lt;0.00000001,"",E7/F7)</f>
        <v>0.97012697002117043</v>
      </c>
    </row>
    <row r="8" spans="1:10" ht="14.4" customHeight="1" thickBot="1" x14ac:dyDescent="0.35">
      <c r="A8" s="1" t="s">
        <v>84</v>
      </c>
      <c r="B8" s="15">
        <v>1931.6660099999972</v>
      </c>
      <c r="C8" s="37">
        <v>2225.2025899999994</v>
      </c>
      <c r="D8" s="12"/>
      <c r="E8" s="213">
        <v>2157.088969999998</v>
      </c>
      <c r="F8" s="36">
        <v>2758.4526605122983</v>
      </c>
      <c r="G8" s="214">
        <f>E8-F8</f>
        <v>-601.36369051230031</v>
      </c>
      <c r="H8" s="217">
        <f>IF(F8&lt;0.00000001,"",E8/F8)</f>
        <v>0.78199238322233333</v>
      </c>
    </row>
    <row r="9" spans="1:10" ht="14.4" customHeight="1" thickBot="1" x14ac:dyDescent="0.35">
      <c r="A9" s="2" t="s">
        <v>85</v>
      </c>
      <c r="B9" s="3">
        <v>12608.56507000001</v>
      </c>
      <c r="C9" s="39">
        <v>14673.06726</v>
      </c>
      <c r="D9" s="12"/>
      <c r="E9" s="3">
        <v>17301.38973000001</v>
      </c>
      <c r="F9" s="38">
        <v>17778.653327020351</v>
      </c>
      <c r="G9" s="38">
        <f>E9-F9</f>
        <v>-477.26359702034097</v>
      </c>
      <c r="H9" s="218">
        <f>IF(F9&lt;0.00000001,"",E9/F9)</f>
        <v>0.97315524476226856</v>
      </c>
    </row>
    <row r="10" spans="1:10" ht="14.4" customHeight="1" thickBot="1" x14ac:dyDescent="0.35">
      <c r="A10" s="16"/>
      <c r="B10" s="16"/>
      <c r="C10" s="201"/>
      <c r="D10" s="12"/>
      <c r="E10" s="16"/>
      <c r="F10" s="17"/>
    </row>
    <row r="11" spans="1:10" ht="14.4" customHeight="1" x14ac:dyDescent="0.3">
      <c r="A11" s="234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IF(ISERROR(VLOOKUP("Celkem:",#REF!,5,0)),0,VLOOKUP("Celkem:",#REF!,5,0)/1000)</f>
        <v>0</v>
      </c>
      <c r="D11" s="12"/>
      <c r="E11" s="210">
        <f>IF(ISERROR(VLOOKUP("Celkem:",#REF!,8,0)),0,VLOOKUP("Celkem:",#REF!,8,0)/1000)</f>
        <v>0</v>
      </c>
      <c r="F11" s="32">
        <f>C11</f>
        <v>0</v>
      </c>
      <c r="G11" s="209">
        <f>E11-F11</f>
        <v>0</v>
      </c>
      <c r="H11" s="215" t="str">
        <f>IF(F11&lt;0.00000001,"",E11/F11)</f>
        <v/>
      </c>
      <c r="I11" s="209">
        <f>E11-B11</f>
        <v>0</v>
      </c>
      <c r="J11" s="215" t="str">
        <f>IF(B11&lt;0.00000001,"",E11/B11)</f>
        <v/>
      </c>
    </row>
    <row r="12" spans="1:10" ht="14.4" customHeight="1" thickBot="1" x14ac:dyDescent="0.35">
      <c r="A12" s="235" t="str">
        <f>HYPERLINK("#CaseMix!A1","Hospitalizace *")</f>
        <v>Hospitalizace *</v>
      </c>
      <c r="B12" s="15">
        <f>IF(ISERROR(VLOOKUP("Celkem",CaseMix!A:D,2,0)),0,VLOOKUP("Celkem",CaseMix!A:D,2,0)*30)</f>
        <v>3224.97</v>
      </c>
      <c r="C12" s="37">
        <f>IF(ISERROR(VLOOKUP("Celkem",CaseMix!A:D,3,0)),0,VLOOKUP("Celkem",CaseMix!A:D,3,0)*30)</f>
        <v>5087.3099999999995</v>
      </c>
      <c r="D12" s="12"/>
      <c r="E12" s="213">
        <f>IF(ISERROR(VLOOKUP("Celkem",CaseMix!A:D,4,0)),0,VLOOKUP("Celkem",CaseMix!A:D,4,0)*30)</f>
        <v>3520.5299999999997</v>
      </c>
      <c r="F12" s="36">
        <f>C12</f>
        <v>5087.3099999999995</v>
      </c>
      <c r="G12" s="214">
        <f>E12-F12</f>
        <v>-1566.7799999999997</v>
      </c>
      <c r="H12" s="217">
        <f>IF(F12&lt;0.00000001,"",E12/F12)</f>
        <v>0.69202191334909802</v>
      </c>
      <c r="I12" s="214">
        <f>E12-B12</f>
        <v>295.55999999999995</v>
      </c>
      <c r="J12" s="217">
        <f>IF(B12&lt;0.00000001,"",E12/B12)</f>
        <v>1.091647364161527</v>
      </c>
    </row>
    <row r="13" spans="1:10" ht="14.4" customHeight="1" thickBot="1" x14ac:dyDescent="0.35">
      <c r="A13" s="4" t="s">
        <v>88</v>
      </c>
      <c r="B13" s="9">
        <f>SUM(B11:B12)</f>
        <v>3224.97</v>
      </c>
      <c r="C13" s="41">
        <f>SUM(C11:C12)</f>
        <v>5087.3099999999995</v>
      </c>
      <c r="D13" s="12"/>
      <c r="E13" s="9">
        <f>SUM(E11:E12)</f>
        <v>3520.5299999999997</v>
      </c>
      <c r="F13" s="40">
        <f>SUM(F11:F12)</f>
        <v>5087.3099999999995</v>
      </c>
      <c r="G13" s="40">
        <f>E13-F13</f>
        <v>-1566.7799999999997</v>
      </c>
      <c r="H13" s="219">
        <f>IF(F13&lt;0.00000001,"",E13/F13)</f>
        <v>0.69202191334909802</v>
      </c>
      <c r="I13" s="40">
        <f>SUM(I11:I12)</f>
        <v>295.55999999999995</v>
      </c>
      <c r="J13" s="219">
        <f>IF(B13&lt;0.00000001,"",E13/B13)</f>
        <v>1.091647364161527</v>
      </c>
    </row>
    <row r="14" spans="1:10" ht="14.4" customHeight="1" thickBot="1" x14ac:dyDescent="0.35">
      <c r="A14" s="16"/>
      <c r="B14" s="16"/>
      <c r="C14" s="201"/>
      <c r="D14" s="12"/>
      <c r="E14" s="16"/>
      <c r="F14" s="17"/>
    </row>
    <row r="15" spans="1:10" ht="14.4" customHeight="1" thickBot="1" x14ac:dyDescent="0.35">
      <c r="A15" s="236" t="str">
        <f>HYPERLINK("#'HI Graf'!A1","Hospodářský index (Výnosy / Náklady) *")</f>
        <v>Hospodářský index (Výnosy / Náklady) *</v>
      </c>
      <c r="B15" s="10">
        <f>IF(B9=0,"",B13/B9)</f>
        <v>0.25577613170853847</v>
      </c>
      <c r="C15" s="43">
        <f>IF(C9=0,"",C13/C9)</f>
        <v>0.34671073946947883</v>
      </c>
      <c r="D15" s="12"/>
      <c r="E15" s="10">
        <f>IF(E9=0,"",E13/E9)</f>
        <v>0.20348249793457474</v>
      </c>
      <c r="F15" s="42">
        <f>IF(F9=0,"",F13/F9)</f>
        <v>0.28614709485719059</v>
      </c>
      <c r="G15" s="42">
        <f>IF(ISERROR(F15-E15),"",E15-F15)</f>
        <v>-8.2664596922615852E-2</v>
      </c>
      <c r="H15" s="220">
        <f>IF(ISERROR(F15-E15),"",IF(F15&lt;0.00000001,"",E15/F15))</f>
        <v>0.71111152827229696</v>
      </c>
    </row>
    <row r="17" spans="1:8" ht="14.4" customHeight="1" x14ac:dyDescent="0.3">
      <c r="A17" s="206" t="s">
        <v>177</v>
      </c>
    </row>
    <row r="18" spans="1:8" ht="14.4" customHeight="1" x14ac:dyDescent="0.3">
      <c r="A18" s="390" t="s">
        <v>212</v>
      </c>
      <c r="B18" s="391"/>
      <c r="C18" s="391"/>
      <c r="D18" s="391"/>
      <c r="E18" s="391"/>
      <c r="F18" s="391"/>
      <c r="G18" s="391"/>
      <c r="H18" s="391"/>
    </row>
    <row r="19" spans="1:8" x14ac:dyDescent="0.3">
      <c r="A19" s="389" t="s">
        <v>211</v>
      </c>
      <c r="B19" s="391"/>
      <c r="C19" s="391"/>
      <c r="D19" s="391"/>
      <c r="E19" s="391"/>
      <c r="F19" s="391"/>
      <c r="G19" s="391"/>
      <c r="H19" s="391"/>
    </row>
    <row r="20" spans="1:8" ht="14.4" customHeight="1" x14ac:dyDescent="0.3">
      <c r="A20" s="207" t="s">
        <v>237</v>
      </c>
    </row>
    <row r="21" spans="1:8" ht="14.4" customHeight="1" x14ac:dyDescent="0.3">
      <c r="A21" s="207" t="s">
        <v>178</v>
      </c>
    </row>
    <row r="22" spans="1:8" ht="14.4" customHeight="1" x14ac:dyDescent="0.3">
      <c r="A22" s="208" t="s">
        <v>274</v>
      </c>
    </row>
    <row r="23" spans="1:8" ht="14.4" customHeight="1" x14ac:dyDescent="0.3">
      <c r="A23" s="208" t="s">
        <v>179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0" priority="8" operator="greaterThan">
      <formula>0</formula>
    </cfRule>
  </conditionalFormatting>
  <conditionalFormatting sqref="G11:G13 G15">
    <cfRule type="cellIs" dxfId="69" priority="7" operator="lessThan">
      <formula>0</formula>
    </cfRule>
  </conditionalFormatting>
  <conditionalFormatting sqref="H5:H9">
    <cfRule type="cellIs" dxfId="68" priority="6" operator="greaterThan">
      <formula>1</formula>
    </cfRule>
  </conditionalFormatting>
  <conditionalFormatting sqref="H11:H13 H15">
    <cfRule type="cellIs" dxfId="67" priority="5" operator="lessThan">
      <formula>1</formula>
    </cfRule>
  </conditionalFormatting>
  <conditionalFormatting sqref="I11:I13">
    <cfRule type="cellIs" dxfId="66" priority="4" operator="lessThan">
      <formula>0</formula>
    </cfRule>
  </conditionalFormatting>
  <conditionalFormatting sqref="J11:J13">
    <cfRule type="cellIs" dxfId="6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1"/>
    <col min="2" max="13" width="8.88671875" style="231" customWidth="1"/>
    <col min="14" max="16384" width="8.88671875" style="231"/>
  </cols>
  <sheetData>
    <row r="1" spans="1:13" ht="18.600000000000001" customHeight="1" thickBot="1" x14ac:dyDescent="0.4">
      <c r="A1" s="494" t="s">
        <v>115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</row>
    <row r="2" spans="1:13" ht="14.4" customHeight="1" x14ac:dyDescent="0.3">
      <c r="A2" s="351" t="s">
        <v>288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3" ht="14.4" customHeight="1" x14ac:dyDescent="0.3">
      <c r="A3" s="301"/>
      <c r="B3" s="302" t="s">
        <v>90</v>
      </c>
      <c r="C3" s="303" t="s">
        <v>91</v>
      </c>
      <c r="D3" s="303" t="s">
        <v>92</v>
      </c>
      <c r="E3" s="302" t="s">
        <v>93</v>
      </c>
      <c r="F3" s="303" t="s">
        <v>94</v>
      </c>
      <c r="G3" s="303" t="s">
        <v>95</v>
      </c>
      <c r="H3" s="303" t="s">
        <v>96</v>
      </c>
      <c r="I3" s="303" t="s">
        <v>97</v>
      </c>
      <c r="J3" s="303" t="s">
        <v>98</v>
      </c>
      <c r="K3" s="303" t="s">
        <v>99</v>
      </c>
      <c r="L3" s="303" t="s">
        <v>100</v>
      </c>
      <c r="M3" s="303" t="s">
        <v>101</v>
      </c>
    </row>
    <row r="4" spans="1:13" ht="14.4" customHeight="1" x14ac:dyDescent="0.3">
      <c r="A4" s="301" t="s">
        <v>89</v>
      </c>
      <c r="B4" s="304">
        <f>(B10+B8)/B6</f>
        <v>0.10915317801177141</v>
      </c>
      <c r="C4" s="304">
        <f t="shared" ref="C4:M4" si="0">(C10+C8)/C6</f>
        <v>0.13430368277813926</v>
      </c>
      <c r="D4" s="304">
        <f t="shared" si="0"/>
        <v>0.20348249793457474</v>
      </c>
      <c r="E4" s="304">
        <f t="shared" si="0"/>
        <v>0</v>
      </c>
      <c r="F4" s="304">
        <f t="shared" si="0"/>
        <v>0</v>
      </c>
      <c r="G4" s="304">
        <f t="shared" si="0"/>
        <v>0</v>
      </c>
      <c r="H4" s="304">
        <f t="shared" si="0"/>
        <v>0</v>
      </c>
      <c r="I4" s="304">
        <f t="shared" si="0"/>
        <v>0</v>
      </c>
      <c r="J4" s="304">
        <f t="shared" si="0"/>
        <v>0</v>
      </c>
      <c r="K4" s="304">
        <f t="shared" si="0"/>
        <v>0</v>
      </c>
      <c r="L4" s="304">
        <f t="shared" si="0"/>
        <v>0</v>
      </c>
      <c r="M4" s="304">
        <f t="shared" si="0"/>
        <v>0</v>
      </c>
    </row>
    <row r="5" spans="1:13" ht="14.4" customHeight="1" x14ac:dyDescent="0.3">
      <c r="A5" s="305" t="s">
        <v>40</v>
      </c>
      <c r="B5" s="304">
        <f>IF(ISERROR(VLOOKUP($A5,'Man Tab'!$A:$Q,COLUMN()+2,0)),0,VLOOKUP($A5,'Man Tab'!$A:$Q,COLUMN()+2,0))</f>
        <v>6290.6093300000002</v>
      </c>
      <c r="C5" s="304">
        <f>IF(ISERROR(VLOOKUP($A5,'Man Tab'!$A:$Q,COLUMN()+2,0)),0,VLOOKUP($A5,'Man Tab'!$A:$Q,COLUMN()+2,0))</f>
        <v>5576.8239899999999</v>
      </c>
      <c r="D5" s="304">
        <f>IF(ISERROR(VLOOKUP($A5,'Man Tab'!$A:$Q,COLUMN()+2,0)),0,VLOOKUP($A5,'Man Tab'!$A:$Q,COLUMN()+2,0))</f>
        <v>5433.9564100000098</v>
      </c>
      <c r="E5" s="304">
        <f>IF(ISERROR(VLOOKUP($A5,'Man Tab'!$A:$Q,COLUMN()+2,0)),0,VLOOKUP($A5,'Man Tab'!$A:$Q,COLUMN()+2,0))</f>
        <v>0</v>
      </c>
      <c r="F5" s="304">
        <f>IF(ISERROR(VLOOKUP($A5,'Man Tab'!$A:$Q,COLUMN()+2,0)),0,VLOOKUP($A5,'Man Tab'!$A:$Q,COLUMN()+2,0))</f>
        <v>0</v>
      </c>
      <c r="G5" s="304">
        <f>IF(ISERROR(VLOOKUP($A5,'Man Tab'!$A:$Q,COLUMN()+2,0)),0,VLOOKUP($A5,'Man Tab'!$A:$Q,COLUMN()+2,0))</f>
        <v>0</v>
      </c>
      <c r="H5" s="304">
        <f>IF(ISERROR(VLOOKUP($A5,'Man Tab'!$A:$Q,COLUMN()+2,0)),0,VLOOKUP($A5,'Man Tab'!$A:$Q,COLUMN()+2,0))</f>
        <v>0</v>
      </c>
      <c r="I5" s="304">
        <f>IF(ISERROR(VLOOKUP($A5,'Man Tab'!$A:$Q,COLUMN()+2,0)),0,VLOOKUP($A5,'Man Tab'!$A:$Q,COLUMN()+2,0))</f>
        <v>0</v>
      </c>
      <c r="J5" s="304">
        <f>IF(ISERROR(VLOOKUP($A5,'Man Tab'!$A:$Q,COLUMN()+2,0)),0,VLOOKUP($A5,'Man Tab'!$A:$Q,COLUMN()+2,0))</f>
        <v>0</v>
      </c>
      <c r="K5" s="304">
        <f>IF(ISERROR(VLOOKUP($A5,'Man Tab'!$A:$Q,COLUMN()+2,0)),0,VLOOKUP($A5,'Man Tab'!$A:$Q,COLUMN()+2,0))</f>
        <v>0</v>
      </c>
      <c r="L5" s="304">
        <f>IF(ISERROR(VLOOKUP($A5,'Man Tab'!$A:$Q,COLUMN()+2,0)),0,VLOOKUP($A5,'Man Tab'!$A:$Q,COLUMN()+2,0))</f>
        <v>0</v>
      </c>
      <c r="M5" s="304">
        <f>IF(ISERROR(VLOOKUP($A5,'Man Tab'!$A:$Q,COLUMN()+2,0)),0,VLOOKUP($A5,'Man Tab'!$A:$Q,COLUMN()+2,0))</f>
        <v>0</v>
      </c>
    </row>
    <row r="6" spans="1:13" ht="14.4" customHeight="1" x14ac:dyDescent="0.3">
      <c r="A6" s="305" t="s">
        <v>85</v>
      </c>
      <c r="B6" s="306">
        <f>B5</f>
        <v>6290.6093300000002</v>
      </c>
      <c r="C6" s="306">
        <f t="shared" ref="C6:M6" si="1">C5+B6</f>
        <v>11867.43332</v>
      </c>
      <c r="D6" s="306">
        <f t="shared" si="1"/>
        <v>17301.38973000001</v>
      </c>
      <c r="E6" s="306">
        <f t="shared" si="1"/>
        <v>17301.38973000001</v>
      </c>
      <c r="F6" s="306">
        <f t="shared" si="1"/>
        <v>17301.38973000001</v>
      </c>
      <c r="G6" s="306">
        <f t="shared" si="1"/>
        <v>17301.38973000001</v>
      </c>
      <c r="H6" s="306">
        <f t="shared" si="1"/>
        <v>17301.38973000001</v>
      </c>
      <c r="I6" s="306">
        <f t="shared" si="1"/>
        <v>17301.38973000001</v>
      </c>
      <c r="J6" s="306">
        <f t="shared" si="1"/>
        <v>17301.38973000001</v>
      </c>
      <c r="K6" s="306">
        <f t="shared" si="1"/>
        <v>17301.38973000001</v>
      </c>
      <c r="L6" s="306">
        <f t="shared" si="1"/>
        <v>17301.38973000001</v>
      </c>
      <c r="M6" s="306">
        <f t="shared" si="1"/>
        <v>17301.38973000001</v>
      </c>
    </row>
    <row r="7" spans="1:13" ht="14.4" customHeight="1" x14ac:dyDescent="0.3">
      <c r="A7" s="305" t="s">
        <v>113</v>
      </c>
      <c r="B7" s="305">
        <v>22.888000000000002</v>
      </c>
      <c r="C7" s="305">
        <v>53.128</v>
      </c>
      <c r="D7" s="305">
        <v>117.351</v>
      </c>
      <c r="E7" s="305"/>
      <c r="F7" s="305"/>
      <c r="G7" s="305"/>
      <c r="H7" s="305"/>
      <c r="I7" s="305"/>
      <c r="J7" s="305"/>
      <c r="K7" s="305"/>
      <c r="L7" s="305"/>
      <c r="M7" s="305"/>
    </row>
    <row r="8" spans="1:13" ht="14.4" customHeight="1" x14ac:dyDescent="0.3">
      <c r="A8" s="305" t="s">
        <v>86</v>
      </c>
      <c r="B8" s="306">
        <f>B7*30</f>
        <v>686.6400000000001</v>
      </c>
      <c r="C8" s="306">
        <f t="shared" ref="C8:M8" si="2">C7*30</f>
        <v>1593.84</v>
      </c>
      <c r="D8" s="306">
        <f t="shared" si="2"/>
        <v>3520.5299999999997</v>
      </c>
      <c r="E8" s="306">
        <f t="shared" si="2"/>
        <v>0</v>
      </c>
      <c r="F8" s="306">
        <f t="shared" si="2"/>
        <v>0</v>
      </c>
      <c r="G8" s="306">
        <f t="shared" si="2"/>
        <v>0</v>
      </c>
      <c r="H8" s="306">
        <f t="shared" si="2"/>
        <v>0</v>
      </c>
      <c r="I8" s="306">
        <f t="shared" si="2"/>
        <v>0</v>
      </c>
      <c r="J8" s="306">
        <f t="shared" si="2"/>
        <v>0</v>
      </c>
      <c r="K8" s="306">
        <f t="shared" si="2"/>
        <v>0</v>
      </c>
      <c r="L8" s="306">
        <f t="shared" si="2"/>
        <v>0</v>
      </c>
      <c r="M8" s="306">
        <f t="shared" si="2"/>
        <v>0</v>
      </c>
    </row>
    <row r="9" spans="1:13" ht="14.4" customHeight="1" x14ac:dyDescent="0.3">
      <c r="A9" s="305" t="s">
        <v>114</v>
      </c>
      <c r="B9" s="305">
        <v>0</v>
      </c>
      <c r="C9" s="305">
        <v>0</v>
      </c>
      <c r="D9" s="305">
        <v>0</v>
      </c>
      <c r="E9" s="305">
        <v>0</v>
      </c>
      <c r="F9" s="305">
        <v>0</v>
      </c>
      <c r="G9" s="305">
        <v>0</v>
      </c>
      <c r="H9" s="305">
        <v>0</v>
      </c>
      <c r="I9" s="305">
        <v>0</v>
      </c>
      <c r="J9" s="305">
        <v>0</v>
      </c>
      <c r="K9" s="305">
        <v>0</v>
      </c>
      <c r="L9" s="305">
        <v>0</v>
      </c>
      <c r="M9" s="305">
        <v>0</v>
      </c>
    </row>
    <row r="10" spans="1:13" ht="14.4" customHeight="1" x14ac:dyDescent="0.3">
      <c r="A10" s="305" t="s">
        <v>87</v>
      </c>
      <c r="B10" s="306">
        <f>B9/1000</f>
        <v>0</v>
      </c>
      <c r="C10" s="306">
        <f t="shared" ref="C10:M10" si="3">C9/1000+B10</f>
        <v>0</v>
      </c>
      <c r="D10" s="306">
        <f t="shared" si="3"/>
        <v>0</v>
      </c>
      <c r="E10" s="306">
        <f t="shared" si="3"/>
        <v>0</v>
      </c>
      <c r="F10" s="306">
        <f t="shared" si="3"/>
        <v>0</v>
      </c>
      <c r="G10" s="306">
        <f t="shared" si="3"/>
        <v>0</v>
      </c>
      <c r="H10" s="306">
        <f t="shared" si="3"/>
        <v>0</v>
      </c>
      <c r="I10" s="306">
        <f t="shared" si="3"/>
        <v>0</v>
      </c>
      <c r="J10" s="306">
        <f t="shared" si="3"/>
        <v>0</v>
      </c>
      <c r="K10" s="306">
        <f t="shared" si="3"/>
        <v>0</v>
      </c>
      <c r="L10" s="306">
        <f t="shared" si="3"/>
        <v>0</v>
      </c>
      <c r="M10" s="306">
        <f t="shared" si="3"/>
        <v>0</v>
      </c>
    </row>
    <row r="11" spans="1:13" ht="14.4" customHeight="1" x14ac:dyDescent="0.3">
      <c r="A11" s="301"/>
      <c r="B11" s="301" t="s">
        <v>103</v>
      </c>
      <c r="C11" s="301">
        <f ca="1">IF(MONTH(TODAY())=1,12,MONTH(TODAY())-1)</f>
        <v>3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</row>
    <row r="12" spans="1:13" ht="14.4" customHeight="1" x14ac:dyDescent="0.3">
      <c r="A12" s="301">
        <v>0</v>
      </c>
      <c r="B12" s="304">
        <f>IF(ISERROR(HI!F15),#REF!,HI!F15)</f>
        <v>0.28614709485719059</v>
      </c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</row>
    <row r="13" spans="1:13" ht="14.4" customHeight="1" x14ac:dyDescent="0.3">
      <c r="A13" s="301">
        <v>1</v>
      </c>
      <c r="B13" s="304">
        <f>IF(ISERROR(HI!F15),#REF!,HI!F15)</f>
        <v>0.28614709485719059</v>
      </c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1" bestFit="1" customWidth="1"/>
    <col min="2" max="2" width="12.77734375" style="231" bestFit="1" customWidth="1"/>
    <col min="3" max="3" width="13.6640625" style="231" bestFit="1" customWidth="1"/>
    <col min="4" max="15" width="7.77734375" style="231" bestFit="1" customWidth="1"/>
    <col min="16" max="16" width="8.88671875" style="231" customWidth="1"/>
    <col min="17" max="17" width="6.6640625" style="231" bestFit="1" customWidth="1"/>
    <col min="18" max="16384" width="8.88671875" style="231"/>
  </cols>
  <sheetData>
    <row r="1" spans="1:17" s="307" customFormat="1" ht="18.600000000000001" customHeight="1" thickBot="1" x14ac:dyDescent="0.4">
      <c r="A1" s="506" t="s">
        <v>290</v>
      </c>
      <c r="B1" s="506"/>
      <c r="C1" s="506"/>
      <c r="D1" s="506"/>
      <c r="E1" s="506"/>
      <c r="F1" s="506"/>
      <c r="G1" s="506"/>
      <c r="H1" s="494"/>
      <c r="I1" s="494"/>
      <c r="J1" s="494"/>
      <c r="K1" s="494"/>
      <c r="L1" s="494"/>
      <c r="M1" s="494"/>
      <c r="N1" s="494"/>
      <c r="O1" s="494"/>
      <c r="P1" s="494"/>
      <c r="Q1" s="494"/>
    </row>
    <row r="2" spans="1:17" s="307" customFormat="1" ht="14.4" customHeight="1" thickBot="1" x14ac:dyDescent="0.3">
      <c r="A2" s="351" t="s">
        <v>288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</row>
    <row r="3" spans="1:17" ht="14.4" customHeight="1" x14ac:dyDescent="0.3">
      <c r="A3" s="92"/>
      <c r="B3" s="507" t="s">
        <v>16</v>
      </c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8"/>
      <c r="O3" s="508"/>
      <c r="P3" s="240"/>
      <c r="Q3" s="242"/>
    </row>
    <row r="4" spans="1:17" ht="14.4" customHeight="1" x14ac:dyDescent="0.3">
      <c r="A4" s="93"/>
      <c r="B4" s="24">
        <v>2017</v>
      </c>
      <c r="C4" s="241" t="s">
        <v>17</v>
      </c>
      <c r="D4" s="422" t="s">
        <v>243</v>
      </c>
      <c r="E4" s="422" t="s">
        <v>244</v>
      </c>
      <c r="F4" s="422" t="s">
        <v>245</v>
      </c>
      <c r="G4" s="422" t="s">
        <v>246</v>
      </c>
      <c r="H4" s="422" t="s">
        <v>247</v>
      </c>
      <c r="I4" s="422" t="s">
        <v>248</v>
      </c>
      <c r="J4" s="422" t="s">
        <v>249</v>
      </c>
      <c r="K4" s="422" t="s">
        <v>250</v>
      </c>
      <c r="L4" s="422" t="s">
        <v>251</v>
      </c>
      <c r="M4" s="422" t="s">
        <v>252</v>
      </c>
      <c r="N4" s="422" t="s">
        <v>253</v>
      </c>
      <c r="O4" s="422" t="s">
        <v>254</v>
      </c>
      <c r="P4" s="509" t="s">
        <v>3</v>
      </c>
      <c r="Q4" s="510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69" t="s">
        <v>289</v>
      </c>
    </row>
    <row r="7" spans="1:17" ht="14.4" customHeight="1" x14ac:dyDescent="0.3">
      <c r="A7" s="19" t="s">
        <v>22</v>
      </c>
      <c r="B7" s="55">
        <v>11452.072755223</v>
      </c>
      <c r="C7" s="56">
        <v>954.33939626858501</v>
      </c>
      <c r="D7" s="56">
        <v>1471.5908400000001</v>
      </c>
      <c r="E7" s="56">
        <v>937.63559999999995</v>
      </c>
      <c r="F7" s="56">
        <v>867.31410000000096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3276.54054</v>
      </c>
      <c r="Q7" s="170">
        <v>1.144435810017</v>
      </c>
    </row>
    <row r="8" spans="1:17" ht="14.4" customHeight="1" x14ac:dyDescent="0.3">
      <c r="A8" s="19" t="s">
        <v>23</v>
      </c>
      <c r="B8" s="55">
        <v>6052.8870346389103</v>
      </c>
      <c r="C8" s="56">
        <v>504.40725288657598</v>
      </c>
      <c r="D8" s="56">
        <v>380.01299999999998</v>
      </c>
      <c r="E8" s="56">
        <v>281.10000000000002</v>
      </c>
      <c r="F8" s="56">
        <v>223.89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885.00300000000004</v>
      </c>
      <c r="Q8" s="170">
        <v>0.58484686394100005</v>
      </c>
    </row>
    <row r="9" spans="1:17" ht="14.4" customHeight="1" x14ac:dyDescent="0.3">
      <c r="A9" s="19" t="s">
        <v>24</v>
      </c>
      <c r="B9" s="55">
        <v>4697.7299108092102</v>
      </c>
      <c r="C9" s="56">
        <v>391.47749256743401</v>
      </c>
      <c r="D9" s="56">
        <v>411.25175999999999</v>
      </c>
      <c r="E9" s="56">
        <v>424.17421000000002</v>
      </c>
      <c r="F9" s="56">
        <v>377.67227000000099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1213.09824</v>
      </c>
      <c r="Q9" s="170">
        <v>1.0329229334429999</v>
      </c>
    </row>
    <row r="10" spans="1:17" ht="14.4" customHeight="1" x14ac:dyDescent="0.3">
      <c r="A10" s="19" t="s">
        <v>25</v>
      </c>
      <c r="B10" s="55">
        <v>66.321911945281997</v>
      </c>
      <c r="C10" s="56">
        <v>5.5268259954400003</v>
      </c>
      <c r="D10" s="56">
        <v>7.1603500000000002</v>
      </c>
      <c r="E10" s="56">
        <v>3.4470100000000001</v>
      </c>
      <c r="F10" s="56">
        <v>6.0919600000000003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16.69932</v>
      </c>
      <c r="Q10" s="170">
        <v>1.0071675867109999</v>
      </c>
    </row>
    <row r="11" spans="1:17" ht="14.4" customHeight="1" x14ac:dyDescent="0.3">
      <c r="A11" s="19" t="s">
        <v>26</v>
      </c>
      <c r="B11" s="55">
        <v>482.40369210129899</v>
      </c>
      <c r="C11" s="56">
        <v>40.200307675108</v>
      </c>
      <c r="D11" s="56">
        <v>34.075679999999998</v>
      </c>
      <c r="E11" s="56">
        <v>40.740200000000002</v>
      </c>
      <c r="F11" s="56">
        <v>42.400979999999997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117.21686</v>
      </c>
      <c r="Q11" s="170">
        <v>0.97193999066900005</v>
      </c>
    </row>
    <row r="12" spans="1:17" ht="14.4" customHeight="1" x14ac:dyDescent="0.3">
      <c r="A12" s="19" t="s">
        <v>27</v>
      </c>
      <c r="B12" s="55">
        <v>260.93503331185599</v>
      </c>
      <c r="C12" s="56">
        <v>21.744586109320998</v>
      </c>
      <c r="D12" s="56">
        <v>3.1919999999999997E-2</v>
      </c>
      <c r="E12" s="56">
        <v>0</v>
      </c>
      <c r="F12" s="56">
        <v>0.70772000000000002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0.73963999999999996</v>
      </c>
      <c r="Q12" s="170">
        <v>1.1338301194E-2</v>
      </c>
    </row>
    <row r="13" spans="1:17" ht="14.4" customHeight="1" x14ac:dyDescent="0.3">
      <c r="A13" s="19" t="s">
        <v>28</v>
      </c>
      <c r="B13" s="55">
        <v>278.55983442335997</v>
      </c>
      <c r="C13" s="56">
        <v>23.21331953528</v>
      </c>
      <c r="D13" s="56">
        <v>14.18704</v>
      </c>
      <c r="E13" s="56">
        <v>8.4786099999999998</v>
      </c>
      <c r="F13" s="56">
        <v>15.990220000000001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38.65587</v>
      </c>
      <c r="Q13" s="170">
        <v>0.55508174866600002</v>
      </c>
    </row>
    <row r="14" spans="1:17" ht="14.4" customHeight="1" x14ac:dyDescent="0.3">
      <c r="A14" s="19" t="s">
        <v>29</v>
      </c>
      <c r="B14" s="55">
        <v>302.25195330528999</v>
      </c>
      <c r="C14" s="56">
        <v>25.18766277544</v>
      </c>
      <c r="D14" s="56">
        <v>39.463000000000001</v>
      </c>
      <c r="E14" s="56">
        <v>31.300999999999998</v>
      </c>
      <c r="F14" s="56">
        <v>28.062000000000001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98.825999999999993</v>
      </c>
      <c r="Q14" s="170">
        <v>1.307862515616</v>
      </c>
    </row>
    <row r="15" spans="1:17" ht="14.4" customHeight="1" x14ac:dyDescent="0.3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0" t="s">
        <v>289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0" t="s">
        <v>289</v>
      </c>
    </row>
    <row r="17" spans="1:17" ht="14.4" customHeight="1" x14ac:dyDescent="0.3">
      <c r="A17" s="19" t="s">
        <v>32</v>
      </c>
      <c r="B17" s="55">
        <v>746.73813139167498</v>
      </c>
      <c r="C17" s="56">
        <v>62.228177615973003</v>
      </c>
      <c r="D17" s="56">
        <v>44.842010000000002</v>
      </c>
      <c r="E17" s="56">
        <v>83.275400000000005</v>
      </c>
      <c r="F17" s="56">
        <v>129.67277999999999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257.79019</v>
      </c>
      <c r="Q17" s="170">
        <v>1.3808867080060001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0.90700000000000003</v>
      </c>
      <c r="E18" s="56">
        <v>38.023000000000003</v>
      </c>
      <c r="F18" s="56">
        <v>9.2569999999999997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48.186999999999998</v>
      </c>
      <c r="Q18" s="170" t="s">
        <v>289</v>
      </c>
    </row>
    <row r="19" spans="1:17" ht="14.4" customHeight="1" x14ac:dyDescent="0.3">
      <c r="A19" s="19" t="s">
        <v>34</v>
      </c>
      <c r="B19" s="55">
        <v>979.71305093147805</v>
      </c>
      <c r="C19" s="56">
        <v>81.642754244288994</v>
      </c>
      <c r="D19" s="56">
        <v>66.064300000000003</v>
      </c>
      <c r="E19" s="56">
        <v>48.62079</v>
      </c>
      <c r="F19" s="56">
        <v>101.8008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216.48589000000001</v>
      </c>
      <c r="Q19" s="170">
        <v>0.88387468062800001</v>
      </c>
    </row>
    <row r="20" spans="1:17" ht="14.4" customHeight="1" x14ac:dyDescent="0.3">
      <c r="A20" s="19" t="s">
        <v>35</v>
      </c>
      <c r="B20" s="55">
        <v>43931</v>
      </c>
      <c r="C20" s="56">
        <v>3660.9166666666702</v>
      </c>
      <c r="D20" s="56">
        <v>3669.9090900000001</v>
      </c>
      <c r="E20" s="56">
        <v>3506.4272299999998</v>
      </c>
      <c r="F20" s="56">
        <v>3478.32566000001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10654.661980000001</v>
      </c>
      <c r="Q20" s="170">
        <v>0.97012697002100001</v>
      </c>
    </row>
    <row r="21" spans="1:17" ht="14.4" customHeight="1" x14ac:dyDescent="0.3">
      <c r="A21" s="20" t="s">
        <v>36</v>
      </c>
      <c r="B21" s="55">
        <v>1884</v>
      </c>
      <c r="C21" s="56">
        <v>157</v>
      </c>
      <c r="D21" s="56">
        <v>151.113</v>
      </c>
      <c r="E21" s="56">
        <v>144.50200000000001</v>
      </c>
      <c r="F21" s="56">
        <v>144.15700000000001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439.77199999999999</v>
      </c>
      <c r="Q21" s="170">
        <v>0.93369851380000002</v>
      </c>
    </row>
    <row r="22" spans="1:17" ht="14.4" customHeight="1" x14ac:dyDescent="0.3">
      <c r="A22" s="19" t="s">
        <v>37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0</v>
      </c>
      <c r="Q22" s="170" t="s">
        <v>289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0" t="s">
        <v>289</v>
      </c>
    </row>
    <row r="24" spans="1:17" ht="14.4" customHeight="1" x14ac:dyDescent="0.3">
      <c r="A24" s="20" t="s">
        <v>39</v>
      </c>
      <c r="B24" s="55">
        <v>-1.45519152283669E-11</v>
      </c>
      <c r="C24" s="56">
        <v>-1.8189894035458601E-12</v>
      </c>
      <c r="D24" s="56">
        <v>3.4000000000000002E-4</v>
      </c>
      <c r="E24" s="56">
        <v>29.098939999997999</v>
      </c>
      <c r="F24" s="56">
        <v>8.6139200000010003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37.713200000001002</v>
      </c>
      <c r="Q24" s="170"/>
    </row>
    <row r="25" spans="1:17" ht="14.4" customHeight="1" x14ac:dyDescent="0.3">
      <c r="A25" s="21" t="s">
        <v>40</v>
      </c>
      <c r="B25" s="58">
        <v>71134.613308081403</v>
      </c>
      <c r="C25" s="59">
        <v>5927.8844423401097</v>
      </c>
      <c r="D25" s="59">
        <v>6290.6093300000002</v>
      </c>
      <c r="E25" s="59">
        <v>5576.8239899999999</v>
      </c>
      <c r="F25" s="59">
        <v>5433.9564100000098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17301.389729999999</v>
      </c>
      <c r="Q25" s="171">
        <v>0.972881635277</v>
      </c>
    </row>
    <row r="26" spans="1:17" ht="14.4" customHeight="1" x14ac:dyDescent="0.3">
      <c r="A26" s="19" t="s">
        <v>41</v>
      </c>
      <c r="B26" s="55">
        <v>5764.3193937791402</v>
      </c>
      <c r="C26" s="56">
        <v>480.35994948159498</v>
      </c>
      <c r="D26" s="56">
        <v>684.27739999999994</v>
      </c>
      <c r="E26" s="56">
        <v>681.55605000000003</v>
      </c>
      <c r="F26" s="56">
        <v>573.92006000000003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1939.75351</v>
      </c>
      <c r="Q26" s="170">
        <v>1.346041659033</v>
      </c>
    </row>
    <row r="27" spans="1:17" ht="14.4" customHeight="1" x14ac:dyDescent="0.3">
      <c r="A27" s="22" t="s">
        <v>42</v>
      </c>
      <c r="B27" s="58">
        <v>76898.932701860496</v>
      </c>
      <c r="C27" s="59">
        <v>6408.2443918217105</v>
      </c>
      <c r="D27" s="59">
        <v>6974.8867300000002</v>
      </c>
      <c r="E27" s="59">
        <v>6258.38004</v>
      </c>
      <c r="F27" s="59">
        <v>6007.8764700000102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19241.143240000001</v>
      </c>
      <c r="Q27" s="171">
        <v>1.0008535912759999</v>
      </c>
    </row>
    <row r="28" spans="1:17" ht="14.4" customHeight="1" x14ac:dyDescent="0.3">
      <c r="A28" s="20" t="s">
        <v>43</v>
      </c>
      <c r="B28" s="55">
        <v>0.45669018547099999</v>
      </c>
      <c r="C28" s="56">
        <v>3.8057515455000003E-2</v>
      </c>
      <c r="D28" s="56">
        <v>0</v>
      </c>
      <c r="E28" s="56">
        <v>0.39337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0.39337</v>
      </c>
      <c r="Q28" s="170">
        <v>0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0" t="s">
        <v>289</v>
      </c>
    </row>
    <row r="30" spans="1:17" ht="14.4" customHeight="1" x14ac:dyDescent="0.3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0">
        <v>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72" t="s">
        <v>289</v>
      </c>
    </row>
    <row r="32" spans="1:17" ht="14.4" customHeight="1" x14ac:dyDescent="0.3"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</row>
    <row r="33" spans="1:17" ht="14.4" customHeight="1" x14ac:dyDescent="0.3">
      <c r="A33" s="206" t="s">
        <v>177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</row>
    <row r="34" spans="1:17" ht="14.4" customHeight="1" x14ac:dyDescent="0.3">
      <c r="A34" s="237" t="s">
        <v>255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</row>
    <row r="35" spans="1:17" ht="14.4" customHeight="1" x14ac:dyDescent="0.3">
      <c r="A35" s="238" t="s">
        <v>47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1" customWidth="1"/>
    <col min="2" max="11" width="10" style="231" customWidth="1"/>
    <col min="12" max="16384" width="8.88671875" style="231"/>
  </cols>
  <sheetData>
    <row r="1" spans="1:11" s="64" customFormat="1" ht="18.600000000000001" customHeight="1" thickBot="1" x14ac:dyDescent="0.4">
      <c r="A1" s="506" t="s">
        <v>48</v>
      </c>
      <c r="B1" s="506"/>
      <c r="C1" s="506"/>
      <c r="D1" s="506"/>
      <c r="E1" s="506"/>
      <c r="F1" s="506"/>
      <c r="G1" s="506"/>
      <c r="H1" s="511"/>
      <c r="I1" s="511"/>
      <c r="J1" s="511"/>
      <c r="K1" s="511"/>
    </row>
    <row r="2" spans="1:11" s="64" customFormat="1" ht="14.4" customHeight="1" thickBot="1" x14ac:dyDescent="0.35">
      <c r="A2" s="351" t="s">
        <v>288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507" t="s">
        <v>49</v>
      </c>
      <c r="C3" s="508"/>
      <c r="D3" s="508"/>
      <c r="E3" s="508"/>
      <c r="F3" s="514" t="s">
        <v>50</v>
      </c>
      <c r="G3" s="508"/>
      <c r="H3" s="508"/>
      <c r="I3" s="508"/>
      <c r="J3" s="508"/>
      <c r="K3" s="515"/>
    </row>
    <row r="4" spans="1:11" ht="14.4" customHeight="1" x14ac:dyDescent="0.3">
      <c r="A4" s="93"/>
      <c r="B4" s="512"/>
      <c r="C4" s="513"/>
      <c r="D4" s="513"/>
      <c r="E4" s="513"/>
      <c r="F4" s="516" t="s">
        <v>256</v>
      </c>
      <c r="G4" s="518" t="s">
        <v>51</v>
      </c>
      <c r="H4" s="243" t="s">
        <v>164</v>
      </c>
      <c r="I4" s="516" t="s">
        <v>52</v>
      </c>
      <c r="J4" s="518" t="s">
        <v>266</v>
      </c>
      <c r="K4" s="519" t="s">
        <v>257</v>
      </c>
    </row>
    <row r="5" spans="1:11" ht="42" thickBot="1" x14ac:dyDescent="0.35">
      <c r="A5" s="94"/>
      <c r="B5" s="28" t="s">
        <v>259</v>
      </c>
      <c r="C5" s="29" t="s">
        <v>260</v>
      </c>
      <c r="D5" s="30" t="s">
        <v>261</v>
      </c>
      <c r="E5" s="30" t="s">
        <v>262</v>
      </c>
      <c r="F5" s="517"/>
      <c r="G5" s="517"/>
      <c r="H5" s="29" t="s">
        <v>258</v>
      </c>
      <c r="I5" s="517"/>
      <c r="J5" s="517"/>
      <c r="K5" s="520"/>
    </row>
    <row r="6" spans="1:11" ht="14.4" customHeight="1" thickBot="1" x14ac:dyDescent="0.35">
      <c r="A6" s="643" t="s">
        <v>291</v>
      </c>
      <c r="B6" s="625">
        <v>61301.105177258702</v>
      </c>
      <c r="C6" s="625">
        <v>67678.415850000005</v>
      </c>
      <c r="D6" s="626">
        <v>6377.3106727413297</v>
      </c>
      <c r="E6" s="627">
        <v>1.104032556253</v>
      </c>
      <c r="F6" s="625">
        <v>71134.613308081403</v>
      </c>
      <c r="G6" s="626">
        <v>17783.6533270203</v>
      </c>
      <c r="H6" s="628">
        <v>5433.9564100000098</v>
      </c>
      <c r="I6" s="625">
        <v>17301.389729999999</v>
      </c>
      <c r="J6" s="626">
        <v>-482.26359702033398</v>
      </c>
      <c r="K6" s="629">
        <v>0.24322040881900001</v>
      </c>
    </row>
    <row r="7" spans="1:11" ht="14.4" customHeight="1" thickBot="1" x14ac:dyDescent="0.35">
      <c r="A7" s="644" t="s">
        <v>292</v>
      </c>
      <c r="B7" s="625">
        <v>18974.7907705006</v>
      </c>
      <c r="C7" s="625">
        <v>20790.69284</v>
      </c>
      <c r="D7" s="626">
        <v>1815.9020694993701</v>
      </c>
      <c r="E7" s="627">
        <v>1.09570076906</v>
      </c>
      <c r="F7" s="625">
        <v>23593.162125758201</v>
      </c>
      <c r="G7" s="626">
        <v>5898.2905314395603</v>
      </c>
      <c r="H7" s="628">
        <v>1562.1311900000001</v>
      </c>
      <c r="I7" s="625">
        <v>5646.78269</v>
      </c>
      <c r="J7" s="626">
        <v>-251.507841439554</v>
      </c>
      <c r="K7" s="629">
        <v>0.23933979938300001</v>
      </c>
    </row>
    <row r="8" spans="1:11" ht="14.4" customHeight="1" thickBot="1" x14ac:dyDescent="0.35">
      <c r="A8" s="645" t="s">
        <v>293</v>
      </c>
      <c r="B8" s="625">
        <v>18670.105127699298</v>
      </c>
      <c r="C8" s="625">
        <v>20491.690839999999</v>
      </c>
      <c r="D8" s="626">
        <v>1821.5857123006699</v>
      </c>
      <c r="E8" s="627">
        <v>1.097566976717</v>
      </c>
      <c r="F8" s="625">
        <v>23290.910172452899</v>
      </c>
      <c r="G8" s="626">
        <v>5822.7275431132302</v>
      </c>
      <c r="H8" s="628">
        <v>1534.0691899999999</v>
      </c>
      <c r="I8" s="625">
        <v>5547.95669</v>
      </c>
      <c r="J8" s="626">
        <v>-274.770853113231</v>
      </c>
      <c r="K8" s="629">
        <v>0.23820265712700001</v>
      </c>
    </row>
    <row r="9" spans="1:11" ht="14.4" customHeight="1" thickBot="1" x14ac:dyDescent="0.35">
      <c r="A9" s="646" t="s">
        <v>294</v>
      </c>
      <c r="B9" s="630">
        <v>0</v>
      </c>
      <c r="C9" s="630">
        <v>8.2100000000000003E-3</v>
      </c>
      <c r="D9" s="631">
        <v>8.2100000000000003E-3</v>
      </c>
      <c r="E9" s="632" t="s">
        <v>289</v>
      </c>
      <c r="F9" s="630">
        <v>0</v>
      </c>
      <c r="G9" s="631">
        <v>0</v>
      </c>
      <c r="H9" s="633">
        <v>1.9400000000000001E-3</v>
      </c>
      <c r="I9" s="630">
        <v>3.2200000000000002E-3</v>
      </c>
      <c r="J9" s="631">
        <v>3.2200000000000002E-3</v>
      </c>
      <c r="K9" s="634" t="s">
        <v>289</v>
      </c>
    </row>
    <row r="10" spans="1:11" ht="14.4" customHeight="1" thickBot="1" x14ac:dyDescent="0.35">
      <c r="A10" s="647" t="s">
        <v>295</v>
      </c>
      <c r="B10" s="625">
        <v>0</v>
      </c>
      <c r="C10" s="625">
        <v>8.2100000000000003E-3</v>
      </c>
      <c r="D10" s="626">
        <v>8.2100000000000003E-3</v>
      </c>
      <c r="E10" s="635" t="s">
        <v>289</v>
      </c>
      <c r="F10" s="625">
        <v>0</v>
      </c>
      <c r="G10" s="626">
        <v>0</v>
      </c>
      <c r="H10" s="628">
        <v>1.9400000000000001E-3</v>
      </c>
      <c r="I10" s="625">
        <v>3.2200000000000002E-3</v>
      </c>
      <c r="J10" s="626">
        <v>3.2200000000000002E-3</v>
      </c>
      <c r="K10" s="636" t="s">
        <v>289</v>
      </c>
    </row>
    <row r="11" spans="1:11" ht="14.4" customHeight="1" thickBot="1" x14ac:dyDescent="0.35">
      <c r="A11" s="646" t="s">
        <v>296</v>
      </c>
      <c r="B11" s="630">
        <v>9400.2891524788192</v>
      </c>
      <c r="C11" s="630">
        <v>9973.4979400000102</v>
      </c>
      <c r="D11" s="631">
        <v>573.20878752118904</v>
      </c>
      <c r="E11" s="637">
        <v>1.060977782515</v>
      </c>
      <c r="F11" s="630">
        <v>11452.072755223</v>
      </c>
      <c r="G11" s="631">
        <v>2863.01818880575</v>
      </c>
      <c r="H11" s="633">
        <v>867.31410000000096</v>
      </c>
      <c r="I11" s="630">
        <v>3276.54054</v>
      </c>
      <c r="J11" s="631">
        <v>413.52235119424699</v>
      </c>
      <c r="K11" s="638">
        <v>0.28610895250399998</v>
      </c>
    </row>
    <row r="12" spans="1:11" ht="14.4" customHeight="1" thickBot="1" x14ac:dyDescent="0.35">
      <c r="A12" s="647" t="s">
        <v>297</v>
      </c>
      <c r="B12" s="625">
        <v>3999.8941597153398</v>
      </c>
      <c r="C12" s="625">
        <v>3783.8091599999998</v>
      </c>
      <c r="D12" s="626">
        <v>-216.08499971533999</v>
      </c>
      <c r="E12" s="627">
        <v>0.94597732062700002</v>
      </c>
      <c r="F12" s="625">
        <v>4731.9898391773304</v>
      </c>
      <c r="G12" s="626">
        <v>1182.9974597943301</v>
      </c>
      <c r="H12" s="628">
        <v>357.312960000001</v>
      </c>
      <c r="I12" s="625">
        <v>1405.0551599999999</v>
      </c>
      <c r="J12" s="626">
        <v>222.057700205668</v>
      </c>
      <c r="K12" s="629">
        <v>0.29692691822</v>
      </c>
    </row>
    <row r="13" spans="1:11" ht="14.4" customHeight="1" thickBot="1" x14ac:dyDescent="0.35">
      <c r="A13" s="647" t="s">
        <v>298</v>
      </c>
      <c r="B13" s="625">
        <v>1613.00013183803</v>
      </c>
      <c r="C13" s="625">
        <v>1581.2873</v>
      </c>
      <c r="D13" s="626">
        <v>-31.712831838027</v>
      </c>
      <c r="E13" s="627">
        <v>0.98033922551300001</v>
      </c>
      <c r="F13" s="625">
        <v>1749.6952657913</v>
      </c>
      <c r="G13" s="626">
        <v>437.423816447825</v>
      </c>
      <c r="H13" s="628">
        <v>196.38627</v>
      </c>
      <c r="I13" s="625">
        <v>499.26915000000002</v>
      </c>
      <c r="J13" s="626">
        <v>61.845333552174999</v>
      </c>
      <c r="K13" s="629">
        <v>0.28534634559499999</v>
      </c>
    </row>
    <row r="14" spans="1:11" ht="14.4" customHeight="1" thickBot="1" x14ac:dyDescent="0.35">
      <c r="A14" s="647" t="s">
        <v>299</v>
      </c>
      <c r="B14" s="625">
        <v>343.99993623060999</v>
      </c>
      <c r="C14" s="625">
        <v>172.96305000000001</v>
      </c>
      <c r="D14" s="626">
        <v>-171.03688623061001</v>
      </c>
      <c r="E14" s="627">
        <v>0.50279965715999997</v>
      </c>
      <c r="F14" s="625">
        <v>260.022059268514</v>
      </c>
      <c r="G14" s="626">
        <v>65.005514817128002</v>
      </c>
      <c r="H14" s="628">
        <v>15.726610000000001</v>
      </c>
      <c r="I14" s="625">
        <v>58.535339999999998</v>
      </c>
      <c r="J14" s="626">
        <v>-6.470174817128</v>
      </c>
      <c r="K14" s="629">
        <v>0.22511682341299999</v>
      </c>
    </row>
    <row r="15" spans="1:11" ht="14.4" customHeight="1" thickBot="1" x14ac:dyDescent="0.35">
      <c r="A15" s="647" t="s">
        <v>300</v>
      </c>
      <c r="B15" s="625">
        <v>0</v>
      </c>
      <c r="C15" s="625">
        <v>8.8119999999999994</v>
      </c>
      <c r="D15" s="626">
        <v>8.8119999999999994</v>
      </c>
      <c r="E15" s="635" t="s">
        <v>301</v>
      </c>
      <c r="F15" s="625">
        <v>0</v>
      </c>
      <c r="G15" s="626">
        <v>0</v>
      </c>
      <c r="H15" s="628">
        <v>0</v>
      </c>
      <c r="I15" s="625">
        <v>0</v>
      </c>
      <c r="J15" s="626">
        <v>0</v>
      </c>
      <c r="K15" s="636" t="s">
        <v>289</v>
      </c>
    </row>
    <row r="16" spans="1:11" ht="14.4" customHeight="1" thickBot="1" x14ac:dyDescent="0.35">
      <c r="A16" s="647" t="s">
        <v>302</v>
      </c>
      <c r="B16" s="625">
        <v>744.000067167937</v>
      </c>
      <c r="C16" s="625">
        <v>2107.5559600000001</v>
      </c>
      <c r="D16" s="626">
        <v>1363.55589283206</v>
      </c>
      <c r="E16" s="627">
        <v>2.8327362496380002</v>
      </c>
      <c r="F16" s="625">
        <v>2000</v>
      </c>
      <c r="G16" s="626">
        <v>500</v>
      </c>
      <c r="H16" s="628">
        <v>145.84732</v>
      </c>
      <c r="I16" s="625">
        <v>403.67993999999999</v>
      </c>
      <c r="J16" s="626">
        <v>-96.320059999999003</v>
      </c>
      <c r="K16" s="629">
        <v>0.20183997000000001</v>
      </c>
    </row>
    <row r="17" spans="1:11" ht="14.4" customHeight="1" thickBot="1" x14ac:dyDescent="0.35">
      <c r="A17" s="647" t="s">
        <v>303</v>
      </c>
      <c r="B17" s="625">
        <v>350.00003159782</v>
      </c>
      <c r="C17" s="625">
        <v>21.263470000000002</v>
      </c>
      <c r="D17" s="626">
        <v>-328.73656159782001</v>
      </c>
      <c r="E17" s="627">
        <v>6.0752765942999998E-2</v>
      </c>
      <c r="F17" s="625">
        <v>50</v>
      </c>
      <c r="G17" s="626">
        <v>12.5</v>
      </c>
      <c r="H17" s="628">
        <v>0</v>
      </c>
      <c r="I17" s="625">
        <v>0</v>
      </c>
      <c r="J17" s="626">
        <v>-12.5</v>
      </c>
      <c r="K17" s="629">
        <v>0</v>
      </c>
    </row>
    <row r="18" spans="1:11" ht="14.4" customHeight="1" thickBot="1" x14ac:dyDescent="0.35">
      <c r="A18" s="647" t="s">
        <v>304</v>
      </c>
      <c r="B18" s="625">
        <v>1293.2325199664399</v>
      </c>
      <c r="C18" s="625">
        <v>1164.84041</v>
      </c>
      <c r="D18" s="626">
        <v>-128.392109966443</v>
      </c>
      <c r="E18" s="627">
        <v>0.90072001130099999</v>
      </c>
      <c r="F18" s="625">
        <v>1460.8156791537399</v>
      </c>
      <c r="G18" s="626">
        <v>365.20391978843401</v>
      </c>
      <c r="H18" s="628">
        <v>129.46477999999999</v>
      </c>
      <c r="I18" s="625">
        <v>744.98910999999998</v>
      </c>
      <c r="J18" s="626">
        <v>379.78519021156598</v>
      </c>
      <c r="K18" s="629">
        <v>0.50998159496100004</v>
      </c>
    </row>
    <row r="19" spans="1:11" ht="14.4" customHeight="1" thickBot="1" x14ac:dyDescent="0.35">
      <c r="A19" s="647" t="s">
        <v>305</v>
      </c>
      <c r="B19" s="625">
        <v>909.16229269155497</v>
      </c>
      <c r="C19" s="625">
        <v>1004.80948</v>
      </c>
      <c r="D19" s="626">
        <v>95.647187308445993</v>
      </c>
      <c r="E19" s="627">
        <v>1.105203645242</v>
      </c>
      <c r="F19" s="625">
        <v>1069.54991183213</v>
      </c>
      <c r="G19" s="626">
        <v>267.38747795803403</v>
      </c>
      <c r="H19" s="628">
        <v>11.305249999999999</v>
      </c>
      <c r="I19" s="625">
        <v>126.1717</v>
      </c>
      <c r="J19" s="626">
        <v>-141.21577795803401</v>
      </c>
      <c r="K19" s="629">
        <v>0.117967098687</v>
      </c>
    </row>
    <row r="20" spans="1:11" ht="14.4" customHeight="1" thickBot="1" x14ac:dyDescent="0.35">
      <c r="A20" s="647" t="s">
        <v>306</v>
      </c>
      <c r="B20" s="625">
        <v>147.00001327108501</v>
      </c>
      <c r="C20" s="625">
        <v>128.15710999999999</v>
      </c>
      <c r="D20" s="626">
        <v>-18.842903271084001</v>
      </c>
      <c r="E20" s="627">
        <v>0.87181699612200003</v>
      </c>
      <c r="F20" s="625">
        <v>130</v>
      </c>
      <c r="G20" s="626">
        <v>32.5</v>
      </c>
      <c r="H20" s="628">
        <v>11.270910000000001</v>
      </c>
      <c r="I20" s="625">
        <v>38.840139999999998</v>
      </c>
      <c r="J20" s="626">
        <v>6.3401399999999999</v>
      </c>
      <c r="K20" s="629">
        <v>0.29877030769200003</v>
      </c>
    </row>
    <row r="21" spans="1:11" ht="14.4" customHeight="1" thickBot="1" x14ac:dyDescent="0.35">
      <c r="A21" s="646" t="s">
        <v>307</v>
      </c>
      <c r="B21" s="630">
        <v>4662.6962705982696</v>
      </c>
      <c r="C21" s="630">
        <v>5841.5079999999998</v>
      </c>
      <c r="D21" s="631">
        <v>1178.81172940173</v>
      </c>
      <c r="E21" s="637">
        <v>1.252817610453</v>
      </c>
      <c r="F21" s="630">
        <v>6052.8870346389103</v>
      </c>
      <c r="G21" s="631">
        <v>1513.2217586597301</v>
      </c>
      <c r="H21" s="633">
        <v>223.89</v>
      </c>
      <c r="I21" s="630">
        <v>885.00300000000004</v>
      </c>
      <c r="J21" s="631">
        <v>-628.218758659728</v>
      </c>
      <c r="K21" s="638">
        <v>0.14621171598499999</v>
      </c>
    </row>
    <row r="22" spans="1:11" ht="14.4" customHeight="1" thickBot="1" x14ac:dyDescent="0.35">
      <c r="A22" s="647" t="s">
        <v>308</v>
      </c>
      <c r="B22" s="625">
        <v>4101.84861955208</v>
      </c>
      <c r="C22" s="625">
        <v>5196.3580000000002</v>
      </c>
      <c r="D22" s="626">
        <v>1094.50938044792</v>
      </c>
      <c r="E22" s="627">
        <v>1.2668331969219999</v>
      </c>
      <c r="F22" s="625">
        <v>5357.5821639421902</v>
      </c>
      <c r="G22" s="626">
        <v>1339.39554098555</v>
      </c>
      <c r="H22" s="628">
        <v>207.27</v>
      </c>
      <c r="I22" s="625">
        <v>803.05499999999995</v>
      </c>
      <c r="J22" s="626">
        <v>-536.34054098554702</v>
      </c>
      <c r="K22" s="629">
        <v>0.14989130832200001</v>
      </c>
    </row>
    <row r="23" spans="1:11" ht="14.4" customHeight="1" thickBot="1" x14ac:dyDescent="0.35">
      <c r="A23" s="647" t="s">
        <v>309</v>
      </c>
      <c r="B23" s="625">
        <v>560.84765104618896</v>
      </c>
      <c r="C23" s="625">
        <v>645.15</v>
      </c>
      <c r="D23" s="626">
        <v>84.302348953809997</v>
      </c>
      <c r="E23" s="627">
        <v>1.15031238661</v>
      </c>
      <c r="F23" s="625">
        <v>695.30487069672199</v>
      </c>
      <c r="G23" s="626">
        <v>173.82621767417999</v>
      </c>
      <c r="H23" s="628">
        <v>16.62</v>
      </c>
      <c r="I23" s="625">
        <v>81.947999999999993</v>
      </c>
      <c r="J23" s="626">
        <v>-91.878217674179993</v>
      </c>
      <c r="K23" s="629">
        <v>0.117859090959</v>
      </c>
    </row>
    <row r="24" spans="1:11" ht="14.4" customHeight="1" thickBot="1" x14ac:dyDescent="0.35">
      <c r="A24" s="646" t="s">
        <v>310</v>
      </c>
      <c r="B24" s="630">
        <v>3910.0003529927899</v>
      </c>
      <c r="C24" s="630">
        <v>3747.9295200000001</v>
      </c>
      <c r="D24" s="631">
        <v>-162.07083299278401</v>
      </c>
      <c r="E24" s="637">
        <v>0.95854966282300003</v>
      </c>
      <c r="F24" s="630">
        <v>4697.7299108092102</v>
      </c>
      <c r="G24" s="631">
        <v>1174.4324777023</v>
      </c>
      <c r="H24" s="633">
        <v>377.67227000000099</v>
      </c>
      <c r="I24" s="630">
        <v>1213.09824</v>
      </c>
      <c r="J24" s="631">
        <v>38.665762297697</v>
      </c>
      <c r="K24" s="638">
        <v>0.25823073336000002</v>
      </c>
    </row>
    <row r="25" spans="1:11" ht="14.4" customHeight="1" thickBot="1" x14ac:dyDescent="0.35">
      <c r="A25" s="647" t="s">
        <v>311</v>
      </c>
      <c r="B25" s="625">
        <v>600.00005416769102</v>
      </c>
      <c r="C25" s="625">
        <v>578.27327000000105</v>
      </c>
      <c r="D25" s="626">
        <v>-21.726784167689999</v>
      </c>
      <c r="E25" s="627">
        <v>0.96378869632200004</v>
      </c>
      <c r="F25" s="625">
        <v>520.37806580690403</v>
      </c>
      <c r="G25" s="626">
        <v>130.09451645172601</v>
      </c>
      <c r="H25" s="628">
        <v>28.113009999999999</v>
      </c>
      <c r="I25" s="625">
        <v>128.68738999999999</v>
      </c>
      <c r="J25" s="626">
        <v>-1.4071264517249999</v>
      </c>
      <c r="K25" s="629">
        <v>0.24729595356799999</v>
      </c>
    </row>
    <row r="26" spans="1:11" ht="14.4" customHeight="1" thickBot="1" x14ac:dyDescent="0.35">
      <c r="A26" s="647" t="s">
        <v>312</v>
      </c>
      <c r="B26" s="625">
        <v>1.0000000902790001</v>
      </c>
      <c r="C26" s="625">
        <v>0.24743999999999999</v>
      </c>
      <c r="D26" s="626">
        <v>-0.75256009027899995</v>
      </c>
      <c r="E26" s="627">
        <v>0.24743997766100001</v>
      </c>
      <c r="F26" s="625">
        <v>1</v>
      </c>
      <c r="G26" s="626">
        <v>0.25</v>
      </c>
      <c r="H26" s="628">
        <v>0</v>
      </c>
      <c r="I26" s="625">
        <v>0.14349999999999999</v>
      </c>
      <c r="J26" s="626">
        <v>-0.1065</v>
      </c>
      <c r="K26" s="629">
        <v>0.14349999999999999</v>
      </c>
    </row>
    <row r="27" spans="1:11" ht="14.4" customHeight="1" thickBot="1" x14ac:dyDescent="0.35">
      <c r="A27" s="647" t="s">
        <v>313</v>
      </c>
      <c r="B27" s="625">
        <v>380.00003430620399</v>
      </c>
      <c r="C27" s="625">
        <v>390.47676000000001</v>
      </c>
      <c r="D27" s="626">
        <v>10.476725693796</v>
      </c>
      <c r="E27" s="627">
        <v>1.0275703282840001</v>
      </c>
      <c r="F27" s="625">
        <v>556.35228309926299</v>
      </c>
      <c r="G27" s="626">
        <v>139.088070774816</v>
      </c>
      <c r="H27" s="628">
        <v>45.62565</v>
      </c>
      <c r="I27" s="625">
        <v>131.48383000000001</v>
      </c>
      <c r="J27" s="626">
        <v>-7.6042407748149996</v>
      </c>
      <c r="K27" s="629">
        <v>0.23633196806000001</v>
      </c>
    </row>
    <row r="28" spans="1:11" ht="14.4" customHeight="1" thickBot="1" x14ac:dyDescent="0.35">
      <c r="A28" s="647" t="s">
        <v>314</v>
      </c>
      <c r="B28" s="625">
        <v>2253.0002033996798</v>
      </c>
      <c r="C28" s="625">
        <v>2071.8252699999998</v>
      </c>
      <c r="D28" s="626">
        <v>-181.174933399678</v>
      </c>
      <c r="E28" s="627">
        <v>0.91958503460100005</v>
      </c>
      <c r="F28" s="625">
        <v>2465.6489489773498</v>
      </c>
      <c r="G28" s="626">
        <v>616.41223724433905</v>
      </c>
      <c r="H28" s="628">
        <v>224.17807999999999</v>
      </c>
      <c r="I28" s="625">
        <v>714.01522999999997</v>
      </c>
      <c r="J28" s="626">
        <v>97.602992755661006</v>
      </c>
      <c r="K28" s="629">
        <v>0.28958511319899999</v>
      </c>
    </row>
    <row r="29" spans="1:11" ht="14.4" customHeight="1" thickBot="1" x14ac:dyDescent="0.35">
      <c r="A29" s="647" t="s">
        <v>315</v>
      </c>
      <c r="B29" s="625">
        <v>90.000008125153002</v>
      </c>
      <c r="C29" s="625">
        <v>116.51282</v>
      </c>
      <c r="D29" s="626">
        <v>26.512811874846001</v>
      </c>
      <c r="E29" s="627">
        <v>1.2945867720140001</v>
      </c>
      <c r="F29" s="625">
        <v>205.20152863258801</v>
      </c>
      <c r="G29" s="626">
        <v>51.300382158147002</v>
      </c>
      <c r="H29" s="628">
        <v>16.602399999999999</v>
      </c>
      <c r="I29" s="625">
        <v>61.297199999999997</v>
      </c>
      <c r="J29" s="626">
        <v>9.9968178418529998</v>
      </c>
      <c r="K29" s="629">
        <v>0.29871707295900002</v>
      </c>
    </row>
    <row r="30" spans="1:11" ht="14.4" customHeight="1" thickBot="1" x14ac:dyDescent="0.35">
      <c r="A30" s="647" t="s">
        <v>316</v>
      </c>
      <c r="B30" s="625">
        <v>20.000001805589001</v>
      </c>
      <c r="C30" s="625">
        <v>17.433129999999998</v>
      </c>
      <c r="D30" s="626">
        <v>-2.5668718055889999</v>
      </c>
      <c r="E30" s="627">
        <v>0.87165642130700005</v>
      </c>
      <c r="F30" s="625">
        <v>30.451505057039</v>
      </c>
      <c r="G30" s="626">
        <v>7.6128762642590004</v>
      </c>
      <c r="H30" s="628">
        <v>4.39703</v>
      </c>
      <c r="I30" s="625">
        <v>6.47865</v>
      </c>
      <c r="J30" s="626">
        <v>-1.134226264259</v>
      </c>
      <c r="K30" s="629">
        <v>0.21275303101900001</v>
      </c>
    </row>
    <row r="31" spans="1:11" ht="14.4" customHeight="1" thickBot="1" x14ac:dyDescent="0.35">
      <c r="A31" s="647" t="s">
        <v>317</v>
      </c>
      <c r="B31" s="625">
        <v>25.000002256986999</v>
      </c>
      <c r="C31" s="625">
        <v>29.179569999999998</v>
      </c>
      <c r="D31" s="626">
        <v>4.179567743012</v>
      </c>
      <c r="E31" s="627">
        <v>1.1671826946270001</v>
      </c>
      <c r="F31" s="625">
        <v>60.262671133044996</v>
      </c>
      <c r="G31" s="626">
        <v>15.065667783261</v>
      </c>
      <c r="H31" s="628">
        <v>1.8254300000000001</v>
      </c>
      <c r="I31" s="625">
        <v>6.45343</v>
      </c>
      <c r="J31" s="626">
        <v>-8.6122377832609995</v>
      </c>
      <c r="K31" s="629">
        <v>0.107088349697</v>
      </c>
    </row>
    <row r="32" spans="1:11" ht="14.4" customHeight="1" thickBot="1" x14ac:dyDescent="0.35">
      <c r="A32" s="647" t="s">
        <v>318</v>
      </c>
      <c r="B32" s="625">
        <v>180.000016250307</v>
      </c>
      <c r="C32" s="625">
        <v>190.00629000000001</v>
      </c>
      <c r="D32" s="626">
        <v>10.006273749691999</v>
      </c>
      <c r="E32" s="627">
        <v>1.0555904047010001</v>
      </c>
      <c r="F32" s="625">
        <v>364.76608864449503</v>
      </c>
      <c r="G32" s="626">
        <v>91.191522161123004</v>
      </c>
      <c r="H32" s="628">
        <v>21.18543</v>
      </c>
      <c r="I32" s="625">
        <v>55.327260000000003</v>
      </c>
      <c r="J32" s="626">
        <v>-35.864262161123001</v>
      </c>
      <c r="K32" s="629">
        <v>0.15167873802500001</v>
      </c>
    </row>
    <row r="33" spans="1:11" ht="14.4" customHeight="1" thickBot="1" x14ac:dyDescent="0.35">
      <c r="A33" s="647" t="s">
        <v>319</v>
      </c>
      <c r="B33" s="625">
        <v>200.00001805589699</v>
      </c>
      <c r="C33" s="625">
        <v>160.16390999999999</v>
      </c>
      <c r="D33" s="626">
        <v>-39.836108055895998</v>
      </c>
      <c r="E33" s="627">
        <v>0.80081947770200002</v>
      </c>
      <c r="F33" s="625">
        <v>209.93351122917301</v>
      </c>
      <c r="G33" s="626">
        <v>52.483377807293003</v>
      </c>
      <c r="H33" s="628">
        <v>15.799580000000001</v>
      </c>
      <c r="I33" s="625">
        <v>57.90258</v>
      </c>
      <c r="J33" s="626">
        <v>5.4192021927059999</v>
      </c>
      <c r="K33" s="629">
        <v>0.27581389774699999</v>
      </c>
    </row>
    <row r="34" spans="1:11" ht="14.4" customHeight="1" thickBot="1" x14ac:dyDescent="0.35">
      <c r="A34" s="647" t="s">
        <v>320</v>
      </c>
      <c r="B34" s="625">
        <v>157.00001417387901</v>
      </c>
      <c r="C34" s="625">
        <v>190.39203000000001</v>
      </c>
      <c r="D34" s="626">
        <v>33.392015826121003</v>
      </c>
      <c r="E34" s="627">
        <v>1.212687979691</v>
      </c>
      <c r="F34" s="625">
        <v>275.04118619689899</v>
      </c>
      <c r="G34" s="626">
        <v>68.760296549223995</v>
      </c>
      <c r="H34" s="628">
        <v>19.573260000000001</v>
      </c>
      <c r="I34" s="625">
        <v>50.936770000000003</v>
      </c>
      <c r="J34" s="626">
        <v>-17.823526549223999</v>
      </c>
      <c r="K34" s="629">
        <v>0.18519688161699999</v>
      </c>
    </row>
    <row r="35" spans="1:11" ht="14.4" customHeight="1" thickBot="1" x14ac:dyDescent="0.35">
      <c r="A35" s="647" t="s">
        <v>321</v>
      </c>
      <c r="B35" s="625">
        <v>4.0000003611170003</v>
      </c>
      <c r="C35" s="625">
        <v>3.4190299999999998</v>
      </c>
      <c r="D35" s="626">
        <v>-0.58097036111699996</v>
      </c>
      <c r="E35" s="627">
        <v>0.85475742283199996</v>
      </c>
      <c r="F35" s="625">
        <v>8.6941220324510002</v>
      </c>
      <c r="G35" s="626">
        <v>2.173530508112</v>
      </c>
      <c r="H35" s="628">
        <v>0.37240000000000001</v>
      </c>
      <c r="I35" s="625">
        <v>0.37240000000000001</v>
      </c>
      <c r="J35" s="626">
        <v>-1.8011305081119999</v>
      </c>
      <c r="K35" s="629">
        <v>4.2833537257000003E-2</v>
      </c>
    </row>
    <row r="36" spans="1:11" ht="14.4" customHeight="1" thickBot="1" x14ac:dyDescent="0.35">
      <c r="A36" s="646" t="s">
        <v>322</v>
      </c>
      <c r="B36" s="630">
        <v>65.408991560133998</v>
      </c>
      <c r="C36" s="630">
        <v>71.293369999999996</v>
      </c>
      <c r="D36" s="631">
        <v>5.8843784398650003</v>
      </c>
      <c r="E36" s="637">
        <v>1.0899628369050001</v>
      </c>
      <c r="F36" s="630">
        <v>66.321911945281997</v>
      </c>
      <c r="G36" s="631">
        <v>16.580477986319998</v>
      </c>
      <c r="H36" s="633">
        <v>6.0919600000000003</v>
      </c>
      <c r="I36" s="630">
        <v>16.69932</v>
      </c>
      <c r="J36" s="631">
        <v>0.11884201367900001</v>
      </c>
      <c r="K36" s="638">
        <v>0.25179189667700003</v>
      </c>
    </row>
    <row r="37" spans="1:11" ht="14.4" customHeight="1" thickBot="1" x14ac:dyDescent="0.35">
      <c r="A37" s="647" t="s">
        <v>323</v>
      </c>
      <c r="B37" s="625">
        <v>48.967497144989999</v>
      </c>
      <c r="C37" s="625">
        <v>46.453159999999997</v>
      </c>
      <c r="D37" s="626">
        <v>-2.5143371449899998</v>
      </c>
      <c r="E37" s="627">
        <v>0.94865293732300005</v>
      </c>
      <c r="F37" s="625">
        <v>59.227171949540001</v>
      </c>
      <c r="G37" s="626">
        <v>14.806792987385</v>
      </c>
      <c r="H37" s="628">
        <v>3.9251299999999998</v>
      </c>
      <c r="I37" s="625">
        <v>8.5400399999999994</v>
      </c>
      <c r="J37" s="626">
        <v>-6.2667529873849999</v>
      </c>
      <c r="K37" s="629">
        <v>0.14419125071899999</v>
      </c>
    </row>
    <row r="38" spans="1:11" ht="14.4" customHeight="1" thickBot="1" x14ac:dyDescent="0.35">
      <c r="A38" s="647" t="s">
        <v>324</v>
      </c>
      <c r="B38" s="625">
        <v>16.441494415143001</v>
      </c>
      <c r="C38" s="625">
        <v>24.840209999999999</v>
      </c>
      <c r="D38" s="626">
        <v>8.3987155848559993</v>
      </c>
      <c r="E38" s="627">
        <v>1.5108243431399999</v>
      </c>
      <c r="F38" s="625">
        <v>7.0947399957409996</v>
      </c>
      <c r="G38" s="626">
        <v>1.7736849989350001</v>
      </c>
      <c r="H38" s="628">
        <v>2.16683</v>
      </c>
      <c r="I38" s="625">
        <v>8.1592800000000008</v>
      </c>
      <c r="J38" s="626">
        <v>6.3855950010639999</v>
      </c>
      <c r="K38" s="629">
        <v>1.150046373073</v>
      </c>
    </row>
    <row r="39" spans="1:11" ht="14.4" customHeight="1" thickBot="1" x14ac:dyDescent="0.35">
      <c r="A39" s="646" t="s">
        <v>325</v>
      </c>
      <c r="B39" s="630">
        <v>378.481903829185</v>
      </c>
      <c r="C39" s="630">
        <v>403.56081999999998</v>
      </c>
      <c r="D39" s="631">
        <v>25.078916170814999</v>
      </c>
      <c r="E39" s="637">
        <v>1.066261863294</v>
      </c>
      <c r="F39" s="630">
        <v>482.40369210129899</v>
      </c>
      <c r="G39" s="631">
        <v>120.600923025325</v>
      </c>
      <c r="H39" s="633">
        <v>42.400979999999997</v>
      </c>
      <c r="I39" s="630">
        <v>117.21686</v>
      </c>
      <c r="J39" s="631">
        <v>-3.3840630253240001</v>
      </c>
      <c r="K39" s="638">
        <v>0.24298499766699999</v>
      </c>
    </row>
    <row r="40" spans="1:11" ht="14.4" customHeight="1" thickBot="1" x14ac:dyDescent="0.35">
      <c r="A40" s="647" t="s">
        <v>326</v>
      </c>
      <c r="B40" s="625">
        <v>19.697506190725001</v>
      </c>
      <c r="C40" s="625">
        <v>-1.4210854715202001E-14</v>
      </c>
      <c r="D40" s="626">
        <v>-19.697506190725001</v>
      </c>
      <c r="E40" s="627">
        <v>-7.2145451193681099E-16</v>
      </c>
      <c r="F40" s="625">
        <v>0</v>
      </c>
      <c r="G40" s="626">
        <v>0</v>
      </c>
      <c r="H40" s="628">
        <v>2.9403000000000001</v>
      </c>
      <c r="I40" s="625">
        <v>3.1663000000000001</v>
      </c>
      <c r="J40" s="626">
        <v>3.1663000000000001</v>
      </c>
      <c r="K40" s="636" t="s">
        <v>289</v>
      </c>
    </row>
    <row r="41" spans="1:11" ht="14.4" customHeight="1" thickBot="1" x14ac:dyDescent="0.35">
      <c r="A41" s="647" t="s">
        <v>327</v>
      </c>
      <c r="B41" s="625">
        <v>8.3343548604290003</v>
      </c>
      <c r="C41" s="625">
        <v>16.172930000000001</v>
      </c>
      <c r="D41" s="626">
        <v>7.8385751395699996</v>
      </c>
      <c r="E41" s="627">
        <v>1.940513725517</v>
      </c>
      <c r="F41" s="625">
        <v>118</v>
      </c>
      <c r="G41" s="626">
        <v>29.5</v>
      </c>
      <c r="H41" s="628">
        <v>2.3140900000000002</v>
      </c>
      <c r="I41" s="625">
        <v>8.9180899999999994</v>
      </c>
      <c r="J41" s="626">
        <v>-20.581910000000001</v>
      </c>
      <c r="K41" s="629">
        <v>7.5577033897999996E-2</v>
      </c>
    </row>
    <row r="42" spans="1:11" ht="14.4" customHeight="1" thickBot="1" x14ac:dyDescent="0.35">
      <c r="A42" s="647" t="s">
        <v>328</v>
      </c>
      <c r="B42" s="625">
        <v>191.80018709975499</v>
      </c>
      <c r="C42" s="625">
        <v>214.85581999999999</v>
      </c>
      <c r="D42" s="626">
        <v>23.055632900245001</v>
      </c>
      <c r="E42" s="627">
        <v>1.120206519341</v>
      </c>
      <c r="F42" s="625">
        <v>199.04881379336899</v>
      </c>
      <c r="G42" s="626">
        <v>49.762203448341999</v>
      </c>
      <c r="H42" s="628">
        <v>24.279489999999999</v>
      </c>
      <c r="I42" s="625">
        <v>58.906660000000002</v>
      </c>
      <c r="J42" s="626">
        <v>9.1444565516570009</v>
      </c>
      <c r="K42" s="629">
        <v>0.29594077391000001</v>
      </c>
    </row>
    <row r="43" spans="1:11" ht="14.4" customHeight="1" thickBot="1" x14ac:dyDescent="0.35">
      <c r="A43" s="647" t="s">
        <v>329</v>
      </c>
      <c r="B43" s="625">
        <v>55.601336356822998</v>
      </c>
      <c r="C43" s="625">
        <v>48.626390000000001</v>
      </c>
      <c r="D43" s="626">
        <v>-6.9749463568229997</v>
      </c>
      <c r="E43" s="627">
        <v>0.874554339628</v>
      </c>
      <c r="F43" s="625">
        <v>50</v>
      </c>
      <c r="G43" s="626">
        <v>12.5</v>
      </c>
      <c r="H43" s="628">
        <v>4.1012599999999999</v>
      </c>
      <c r="I43" s="625">
        <v>13.37757</v>
      </c>
      <c r="J43" s="626">
        <v>0.87756999999999996</v>
      </c>
      <c r="K43" s="629">
        <v>0.26755139999999999</v>
      </c>
    </row>
    <row r="44" spans="1:11" ht="14.4" customHeight="1" thickBot="1" x14ac:dyDescent="0.35">
      <c r="A44" s="647" t="s">
        <v>330</v>
      </c>
      <c r="B44" s="625">
        <v>7.2183597543599998</v>
      </c>
      <c r="C44" s="625">
        <v>11.74446</v>
      </c>
      <c r="D44" s="626">
        <v>4.5261002456390003</v>
      </c>
      <c r="E44" s="627">
        <v>1.6270261388539999</v>
      </c>
      <c r="F44" s="625">
        <v>12.480089223275</v>
      </c>
      <c r="G44" s="626">
        <v>3.1200223058179999</v>
      </c>
      <c r="H44" s="628">
        <v>0.21</v>
      </c>
      <c r="I44" s="625">
        <v>0.45400000000000001</v>
      </c>
      <c r="J44" s="626">
        <v>-2.6660223058180001</v>
      </c>
      <c r="K44" s="629">
        <v>3.6377945050999998E-2</v>
      </c>
    </row>
    <row r="45" spans="1:11" ht="14.4" customHeight="1" thickBot="1" x14ac:dyDescent="0.35">
      <c r="A45" s="647" t="s">
        <v>331</v>
      </c>
      <c r="B45" s="625">
        <v>0</v>
      </c>
      <c r="C45" s="625">
        <v>0.27224999999999999</v>
      </c>
      <c r="D45" s="626">
        <v>0.27224999999999999</v>
      </c>
      <c r="E45" s="635" t="s">
        <v>301</v>
      </c>
      <c r="F45" s="625">
        <v>0</v>
      </c>
      <c r="G45" s="626">
        <v>0</v>
      </c>
      <c r="H45" s="628">
        <v>2.3046899999999999</v>
      </c>
      <c r="I45" s="625">
        <v>6.9197499999999996</v>
      </c>
      <c r="J45" s="626">
        <v>6.9197499999999996</v>
      </c>
      <c r="K45" s="636" t="s">
        <v>289</v>
      </c>
    </row>
    <row r="46" spans="1:11" ht="14.4" customHeight="1" thickBot="1" x14ac:dyDescent="0.35">
      <c r="A46" s="647" t="s">
        <v>332</v>
      </c>
      <c r="B46" s="625">
        <v>19.466272473231999</v>
      </c>
      <c r="C46" s="625">
        <v>8.3102400000000003</v>
      </c>
      <c r="D46" s="626">
        <v>-11.156032473232001</v>
      </c>
      <c r="E46" s="627">
        <v>0.42690453508300003</v>
      </c>
      <c r="F46" s="625">
        <v>11</v>
      </c>
      <c r="G46" s="626">
        <v>2.75</v>
      </c>
      <c r="H46" s="628">
        <v>0</v>
      </c>
      <c r="I46" s="625">
        <v>0</v>
      </c>
      <c r="J46" s="626">
        <v>-2.75</v>
      </c>
      <c r="K46" s="629">
        <v>0</v>
      </c>
    </row>
    <row r="47" spans="1:11" ht="14.4" customHeight="1" thickBot="1" x14ac:dyDescent="0.35">
      <c r="A47" s="647" t="s">
        <v>333</v>
      </c>
      <c r="B47" s="625">
        <v>13.300507797807001</v>
      </c>
      <c r="C47" s="625">
        <v>21.898250000000001</v>
      </c>
      <c r="D47" s="626">
        <v>8.5977422021920002</v>
      </c>
      <c r="E47" s="627">
        <v>1.6464221015380001</v>
      </c>
      <c r="F47" s="625">
        <v>16.874789084652999</v>
      </c>
      <c r="G47" s="626">
        <v>4.2186972711630002</v>
      </c>
      <c r="H47" s="628">
        <v>1.0583800000000001</v>
      </c>
      <c r="I47" s="625">
        <v>7.8105200000000004</v>
      </c>
      <c r="J47" s="626">
        <v>3.5918227288360001</v>
      </c>
      <c r="K47" s="629">
        <v>0.46285141466399998</v>
      </c>
    </row>
    <row r="48" spans="1:11" ht="14.4" customHeight="1" thickBot="1" x14ac:dyDescent="0.35">
      <c r="A48" s="647" t="s">
        <v>334</v>
      </c>
      <c r="B48" s="625">
        <v>0</v>
      </c>
      <c r="C48" s="625">
        <v>2.9039999999999999</v>
      </c>
      <c r="D48" s="626">
        <v>2.9039999999999999</v>
      </c>
      <c r="E48" s="635" t="s">
        <v>301</v>
      </c>
      <c r="F48" s="625">
        <v>0</v>
      </c>
      <c r="G48" s="626">
        <v>0</v>
      </c>
      <c r="H48" s="628">
        <v>0</v>
      </c>
      <c r="I48" s="625">
        <v>0</v>
      </c>
      <c r="J48" s="626">
        <v>0</v>
      </c>
      <c r="K48" s="636" t="s">
        <v>289</v>
      </c>
    </row>
    <row r="49" spans="1:11" ht="14.4" customHeight="1" thickBot="1" x14ac:dyDescent="0.35">
      <c r="A49" s="647" t="s">
        <v>335</v>
      </c>
      <c r="B49" s="625">
        <v>0</v>
      </c>
      <c r="C49" s="625">
        <v>2.67</v>
      </c>
      <c r="D49" s="626">
        <v>2.67</v>
      </c>
      <c r="E49" s="635" t="s">
        <v>301</v>
      </c>
      <c r="F49" s="625">
        <v>0</v>
      </c>
      <c r="G49" s="626">
        <v>0</v>
      </c>
      <c r="H49" s="628">
        <v>0</v>
      </c>
      <c r="I49" s="625">
        <v>0</v>
      </c>
      <c r="J49" s="626">
        <v>0</v>
      </c>
      <c r="K49" s="636" t="s">
        <v>289</v>
      </c>
    </row>
    <row r="50" spans="1:11" ht="14.4" customHeight="1" thickBot="1" x14ac:dyDescent="0.35">
      <c r="A50" s="647" t="s">
        <v>336</v>
      </c>
      <c r="B50" s="625">
        <v>63.063379296050996</v>
      </c>
      <c r="C50" s="625">
        <v>76.106480000000005</v>
      </c>
      <c r="D50" s="626">
        <v>13.043100703947999</v>
      </c>
      <c r="E50" s="627">
        <v>1.2068252740259999</v>
      </c>
      <c r="F50" s="625">
        <v>75</v>
      </c>
      <c r="G50" s="626">
        <v>18.75</v>
      </c>
      <c r="H50" s="628">
        <v>5.1927700000000003</v>
      </c>
      <c r="I50" s="625">
        <v>17.663969999999999</v>
      </c>
      <c r="J50" s="626">
        <v>-1.086029999999</v>
      </c>
      <c r="K50" s="629">
        <v>0.2355196</v>
      </c>
    </row>
    <row r="51" spans="1:11" ht="14.4" customHeight="1" thickBot="1" x14ac:dyDescent="0.35">
      <c r="A51" s="646" t="s">
        <v>337</v>
      </c>
      <c r="B51" s="630">
        <v>111.10826860548801</v>
      </c>
      <c r="C51" s="630">
        <v>234.63054</v>
      </c>
      <c r="D51" s="631">
        <v>123.522271394512</v>
      </c>
      <c r="E51" s="637">
        <v>2.1117288834110002</v>
      </c>
      <c r="F51" s="630">
        <v>260.93503331185599</v>
      </c>
      <c r="G51" s="631">
        <v>65.233758327963997</v>
      </c>
      <c r="H51" s="633">
        <v>0.70772000000000002</v>
      </c>
      <c r="I51" s="630">
        <v>0.73963999999999996</v>
      </c>
      <c r="J51" s="631">
        <v>-64.494118327964003</v>
      </c>
      <c r="K51" s="638">
        <v>2.8345752979999999E-3</v>
      </c>
    </row>
    <row r="52" spans="1:11" ht="14.4" customHeight="1" thickBot="1" x14ac:dyDescent="0.35">
      <c r="A52" s="647" t="s">
        <v>338</v>
      </c>
      <c r="B52" s="625">
        <v>0</v>
      </c>
      <c r="C52" s="625">
        <v>18.774000000000001</v>
      </c>
      <c r="D52" s="626">
        <v>18.774000000000001</v>
      </c>
      <c r="E52" s="635" t="s">
        <v>301</v>
      </c>
      <c r="F52" s="625">
        <v>24.480147409762001</v>
      </c>
      <c r="G52" s="626">
        <v>6.1200368524400002</v>
      </c>
      <c r="H52" s="628">
        <v>0</v>
      </c>
      <c r="I52" s="625">
        <v>0</v>
      </c>
      <c r="J52" s="626">
        <v>-6.1200368524400002</v>
      </c>
      <c r="K52" s="629">
        <v>0</v>
      </c>
    </row>
    <row r="53" spans="1:11" ht="14.4" customHeight="1" thickBot="1" x14ac:dyDescent="0.35">
      <c r="A53" s="647" t="s">
        <v>339</v>
      </c>
      <c r="B53" s="625">
        <v>105.258731244354</v>
      </c>
      <c r="C53" s="625">
        <v>207.90558999999999</v>
      </c>
      <c r="D53" s="626">
        <v>102.64685875564599</v>
      </c>
      <c r="E53" s="627">
        <v>1.9751861678560001</v>
      </c>
      <c r="F53" s="625">
        <v>228.02309124639601</v>
      </c>
      <c r="G53" s="626">
        <v>57.005772811598</v>
      </c>
      <c r="H53" s="628">
        <v>0.51122999999999996</v>
      </c>
      <c r="I53" s="625">
        <v>0.51122999999999996</v>
      </c>
      <c r="J53" s="626">
        <v>-56.494542811598002</v>
      </c>
      <c r="K53" s="629">
        <v>2.242009777E-3</v>
      </c>
    </row>
    <row r="54" spans="1:11" ht="14.4" customHeight="1" thickBot="1" x14ac:dyDescent="0.35">
      <c r="A54" s="647" t="s">
        <v>340</v>
      </c>
      <c r="B54" s="625">
        <v>5.8495373611329997</v>
      </c>
      <c r="C54" s="625">
        <v>7.9509499999999997</v>
      </c>
      <c r="D54" s="626">
        <v>2.1014126388659999</v>
      </c>
      <c r="E54" s="627">
        <v>1.359244246019</v>
      </c>
      <c r="F54" s="625">
        <v>8.4317946556980008</v>
      </c>
      <c r="G54" s="626">
        <v>2.1079486639240002</v>
      </c>
      <c r="H54" s="628">
        <v>0.19649</v>
      </c>
      <c r="I54" s="625">
        <v>0.22841</v>
      </c>
      <c r="J54" s="626">
        <v>-1.8795386639239999</v>
      </c>
      <c r="K54" s="629">
        <v>2.7089132185999999E-2</v>
      </c>
    </row>
    <row r="55" spans="1:11" ht="14.4" customHeight="1" thickBot="1" x14ac:dyDescent="0.35">
      <c r="A55" s="646" t="s">
        <v>341</v>
      </c>
      <c r="B55" s="630">
        <v>142.120187634671</v>
      </c>
      <c r="C55" s="630">
        <v>219.26244</v>
      </c>
      <c r="D55" s="631">
        <v>77.142252365329</v>
      </c>
      <c r="E55" s="637">
        <v>1.542795880368</v>
      </c>
      <c r="F55" s="630">
        <v>278.55983442335997</v>
      </c>
      <c r="G55" s="631">
        <v>69.639958605839993</v>
      </c>
      <c r="H55" s="633">
        <v>15.990220000000001</v>
      </c>
      <c r="I55" s="630">
        <v>38.65587</v>
      </c>
      <c r="J55" s="631">
        <v>-30.98408860584</v>
      </c>
      <c r="K55" s="638">
        <v>0.13877043716599999</v>
      </c>
    </row>
    <row r="56" spans="1:11" ht="14.4" customHeight="1" thickBot="1" x14ac:dyDescent="0.35">
      <c r="A56" s="647" t="s">
        <v>342</v>
      </c>
      <c r="B56" s="625">
        <v>0</v>
      </c>
      <c r="C56" s="625">
        <v>0</v>
      </c>
      <c r="D56" s="626">
        <v>0</v>
      </c>
      <c r="E56" s="627">
        <v>1</v>
      </c>
      <c r="F56" s="625">
        <v>20</v>
      </c>
      <c r="G56" s="626">
        <v>5</v>
      </c>
      <c r="H56" s="628">
        <v>0</v>
      </c>
      <c r="I56" s="625">
        <v>0</v>
      </c>
      <c r="J56" s="626">
        <v>-5</v>
      </c>
      <c r="K56" s="629">
        <v>0</v>
      </c>
    </row>
    <row r="57" spans="1:11" ht="14.4" customHeight="1" thickBot="1" x14ac:dyDescent="0.35">
      <c r="A57" s="647" t="s">
        <v>343</v>
      </c>
      <c r="B57" s="625">
        <v>0</v>
      </c>
      <c r="C57" s="625">
        <v>8.9540699999999998</v>
      </c>
      <c r="D57" s="626">
        <v>8.9540699999999998</v>
      </c>
      <c r="E57" s="635" t="s">
        <v>289</v>
      </c>
      <c r="F57" s="625">
        <v>10</v>
      </c>
      <c r="G57" s="626">
        <v>2.5</v>
      </c>
      <c r="H57" s="628">
        <v>1.1398200000000001</v>
      </c>
      <c r="I57" s="625">
        <v>1.452</v>
      </c>
      <c r="J57" s="626">
        <v>-1.048</v>
      </c>
      <c r="K57" s="629">
        <v>0.1452</v>
      </c>
    </row>
    <row r="58" spans="1:11" ht="14.4" customHeight="1" thickBot="1" x14ac:dyDescent="0.35">
      <c r="A58" s="647" t="s">
        <v>344</v>
      </c>
      <c r="B58" s="625">
        <v>4.540210264673</v>
      </c>
      <c r="C58" s="625">
        <v>6.1095300000000003</v>
      </c>
      <c r="D58" s="626">
        <v>1.569319735326</v>
      </c>
      <c r="E58" s="627">
        <v>1.3456491316129999</v>
      </c>
      <c r="F58" s="625">
        <v>0</v>
      </c>
      <c r="G58" s="626">
        <v>0</v>
      </c>
      <c r="H58" s="628">
        <v>0</v>
      </c>
      <c r="I58" s="625">
        <v>0.68969999999999998</v>
      </c>
      <c r="J58" s="626">
        <v>0.68969999999999998</v>
      </c>
      <c r="K58" s="636" t="s">
        <v>289</v>
      </c>
    </row>
    <row r="59" spans="1:11" ht="14.4" customHeight="1" thickBot="1" x14ac:dyDescent="0.35">
      <c r="A59" s="647" t="s">
        <v>345</v>
      </c>
      <c r="B59" s="625">
        <v>0</v>
      </c>
      <c r="C59" s="625">
        <v>10.1477</v>
      </c>
      <c r="D59" s="626">
        <v>10.1477</v>
      </c>
      <c r="E59" s="635" t="s">
        <v>289</v>
      </c>
      <c r="F59" s="625">
        <v>0</v>
      </c>
      <c r="G59" s="626">
        <v>0</v>
      </c>
      <c r="H59" s="628">
        <v>0</v>
      </c>
      <c r="I59" s="625">
        <v>0</v>
      </c>
      <c r="J59" s="626">
        <v>0</v>
      </c>
      <c r="K59" s="636" t="s">
        <v>289</v>
      </c>
    </row>
    <row r="60" spans="1:11" ht="14.4" customHeight="1" thickBot="1" x14ac:dyDescent="0.35">
      <c r="A60" s="647" t="s">
        <v>346</v>
      </c>
      <c r="B60" s="625">
        <v>18.787730906566001</v>
      </c>
      <c r="C60" s="625">
        <v>23.82281</v>
      </c>
      <c r="D60" s="626">
        <v>5.0350790934329996</v>
      </c>
      <c r="E60" s="627">
        <v>1.2679982547369999</v>
      </c>
      <c r="F60" s="625">
        <v>73.734175836877</v>
      </c>
      <c r="G60" s="626">
        <v>18.433543959219001</v>
      </c>
      <c r="H60" s="628">
        <v>3.0991399999999998</v>
      </c>
      <c r="I60" s="625">
        <v>7.5826200000000004</v>
      </c>
      <c r="J60" s="626">
        <v>-10.850923959218999</v>
      </c>
      <c r="K60" s="629">
        <v>0.102837251707</v>
      </c>
    </row>
    <row r="61" spans="1:11" ht="14.4" customHeight="1" thickBot="1" x14ac:dyDescent="0.35">
      <c r="A61" s="647" t="s">
        <v>347</v>
      </c>
      <c r="B61" s="625">
        <v>6.0700633676519997</v>
      </c>
      <c r="C61" s="625">
        <v>10.051410000000001</v>
      </c>
      <c r="D61" s="626">
        <v>3.9813466323469999</v>
      </c>
      <c r="E61" s="627">
        <v>1.6558986935060001</v>
      </c>
      <c r="F61" s="625">
        <v>59.825658586482</v>
      </c>
      <c r="G61" s="626">
        <v>14.956414646620001</v>
      </c>
      <c r="H61" s="628">
        <v>0</v>
      </c>
      <c r="I61" s="625">
        <v>2.2559999999999998</v>
      </c>
      <c r="J61" s="626">
        <v>-12.700414646620001</v>
      </c>
      <c r="K61" s="629">
        <v>3.7709572334999997E-2</v>
      </c>
    </row>
    <row r="62" spans="1:11" ht="14.4" customHeight="1" thickBot="1" x14ac:dyDescent="0.35">
      <c r="A62" s="647" t="s">
        <v>348</v>
      </c>
      <c r="B62" s="625">
        <v>112.722183095779</v>
      </c>
      <c r="C62" s="625">
        <v>160.17692</v>
      </c>
      <c r="D62" s="626">
        <v>47.454736904221001</v>
      </c>
      <c r="E62" s="627">
        <v>1.420988447889</v>
      </c>
      <c r="F62" s="625">
        <v>115</v>
      </c>
      <c r="G62" s="626">
        <v>28.75</v>
      </c>
      <c r="H62" s="628">
        <v>11.75126</v>
      </c>
      <c r="I62" s="625">
        <v>26.675550000000001</v>
      </c>
      <c r="J62" s="626">
        <v>-2.074449999999</v>
      </c>
      <c r="K62" s="629">
        <v>0.23196130434699999</v>
      </c>
    </row>
    <row r="63" spans="1:11" ht="14.4" customHeight="1" thickBot="1" x14ac:dyDescent="0.35">
      <c r="A63" s="645" t="s">
        <v>29</v>
      </c>
      <c r="B63" s="625">
        <v>304.68564280130101</v>
      </c>
      <c r="C63" s="625">
        <v>299.00200000000001</v>
      </c>
      <c r="D63" s="626">
        <v>-5.6836428013000004</v>
      </c>
      <c r="E63" s="627">
        <v>0.981345879152</v>
      </c>
      <c r="F63" s="625">
        <v>302.25195330528999</v>
      </c>
      <c r="G63" s="626">
        <v>75.562988326321999</v>
      </c>
      <c r="H63" s="628">
        <v>28.062000000000001</v>
      </c>
      <c r="I63" s="625">
        <v>98.825999999999993</v>
      </c>
      <c r="J63" s="626">
        <v>23.263011673676999</v>
      </c>
      <c r="K63" s="629">
        <v>0.32696562890399999</v>
      </c>
    </row>
    <row r="64" spans="1:11" ht="14.4" customHeight="1" thickBot="1" x14ac:dyDescent="0.35">
      <c r="A64" s="646" t="s">
        <v>349</v>
      </c>
      <c r="B64" s="630">
        <v>304.68564280130101</v>
      </c>
      <c r="C64" s="630">
        <v>299.00200000000001</v>
      </c>
      <c r="D64" s="631">
        <v>-5.6836428013000004</v>
      </c>
      <c r="E64" s="637">
        <v>0.981345879152</v>
      </c>
      <c r="F64" s="630">
        <v>302.25195330528999</v>
      </c>
      <c r="G64" s="631">
        <v>75.562988326321999</v>
      </c>
      <c r="H64" s="633">
        <v>28.062000000000001</v>
      </c>
      <c r="I64" s="630">
        <v>98.825999999999993</v>
      </c>
      <c r="J64" s="631">
        <v>23.263011673676999</v>
      </c>
      <c r="K64" s="638">
        <v>0.32696562890399999</v>
      </c>
    </row>
    <row r="65" spans="1:11" ht="14.4" customHeight="1" thickBot="1" x14ac:dyDescent="0.35">
      <c r="A65" s="647" t="s">
        <v>350</v>
      </c>
      <c r="B65" s="625">
        <v>104.655162717577</v>
      </c>
      <c r="C65" s="625">
        <v>95.093999999999994</v>
      </c>
      <c r="D65" s="626">
        <v>-9.561162717577</v>
      </c>
      <c r="E65" s="627">
        <v>0.90864127034599995</v>
      </c>
      <c r="F65" s="625">
        <v>97.999999999999005</v>
      </c>
      <c r="G65" s="626">
        <v>24.499999999999002</v>
      </c>
      <c r="H65" s="628">
        <v>7.9269999999999996</v>
      </c>
      <c r="I65" s="625">
        <v>24.146999999999998</v>
      </c>
      <c r="J65" s="626">
        <v>-0.352999999999</v>
      </c>
      <c r="K65" s="629">
        <v>0.246397959183</v>
      </c>
    </row>
    <row r="66" spans="1:11" ht="14.4" customHeight="1" thickBot="1" x14ac:dyDescent="0.35">
      <c r="A66" s="647" t="s">
        <v>351</v>
      </c>
      <c r="B66" s="625">
        <v>25.940625280494999</v>
      </c>
      <c r="C66" s="625">
        <v>27.087</v>
      </c>
      <c r="D66" s="626">
        <v>1.1463747195039999</v>
      </c>
      <c r="E66" s="627">
        <v>1.0441922547010001</v>
      </c>
      <c r="F66" s="625">
        <v>29.251953305290002</v>
      </c>
      <c r="G66" s="626">
        <v>7.3129883263220004</v>
      </c>
      <c r="H66" s="628">
        <v>2.544</v>
      </c>
      <c r="I66" s="625">
        <v>7.6449999999999996</v>
      </c>
      <c r="J66" s="626">
        <v>0.33201167367700002</v>
      </c>
      <c r="K66" s="629">
        <v>0.26135006849600001</v>
      </c>
    </row>
    <row r="67" spans="1:11" ht="14.4" customHeight="1" thickBot="1" x14ac:dyDescent="0.35">
      <c r="A67" s="647" t="s">
        <v>352</v>
      </c>
      <c r="B67" s="625">
        <v>174.08985480322801</v>
      </c>
      <c r="C67" s="625">
        <v>176.821</v>
      </c>
      <c r="D67" s="626">
        <v>2.7311451967720002</v>
      </c>
      <c r="E67" s="627">
        <v>1.0156881353010001</v>
      </c>
      <c r="F67" s="625">
        <v>174.99999999999901</v>
      </c>
      <c r="G67" s="626">
        <v>43.749999999998998</v>
      </c>
      <c r="H67" s="628">
        <v>17.591000000000001</v>
      </c>
      <c r="I67" s="625">
        <v>67.034000000000006</v>
      </c>
      <c r="J67" s="626">
        <v>23.283999999999999</v>
      </c>
      <c r="K67" s="629">
        <v>0.383051428571</v>
      </c>
    </row>
    <row r="68" spans="1:11" ht="14.4" customHeight="1" thickBot="1" x14ac:dyDescent="0.35">
      <c r="A68" s="648" t="s">
        <v>353</v>
      </c>
      <c r="B68" s="630">
        <v>1546.9264129926</v>
      </c>
      <c r="C68" s="630">
        <v>1838.4109599999999</v>
      </c>
      <c r="D68" s="631">
        <v>291.48454700740399</v>
      </c>
      <c r="E68" s="637">
        <v>1.188428191903</v>
      </c>
      <c r="F68" s="630">
        <v>1726.4511823231501</v>
      </c>
      <c r="G68" s="631">
        <v>431.61279558078797</v>
      </c>
      <c r="H68" s="633">
        <v>240.73058</v>
      </c>
      <c r="I68" s="630">
        <v>522.46307999999999</v>
      </c>
      <c r="J68" s="631">
        <v>90.850284419212002</v>
      </c>
      <c r="K68" s="638">
        <v>0.30262256202100002</v>
      </c>
    </row>
    <row r="69" spans="1:11" ht="14.4" customHeight="1" thickBot="1" x14ac:dyDescent="0.35">
      <c r="A69" s="645" t="s">
        <v>32</v>
      </c>
      <c r="B69" s="625">
        <v>578.10704015763395</v>
      </c>
      <c r="C69" s="625">
        <v>628.76692000000003</v>
      </c>
      <c r="D69" s="626">
        <v>50.659879842366003</v>
      </c>
      <c r="E69" s="627">
        <v>1.087630622572</v>
      </c>
      <c r="F69" s="625">
        <v>746.73813139167498</v>
      </c>
      <c r="G69" s="626">
        <v>186.684532847919</v>
      </c>
      <c r="H69" s="628">
        <v>129.67277999999999</v>
      </c>
      <c r="I69" s="625">
        <v>257.79019</v>
      </c>
      <c r="J69" s="626">
        <v>71.105657152080994</v>
      </c>
      <c r="K69" s="629">
        <v>0.34522167700099998</v>
      </c>
    </row>
    <row r="70" spans="1:11" ht="14.4" customHeight="1" thickBot="1" x14ac:dyDescent="0.35">
      <c r="A70" s="649" t="s">
        <v>354</v>
      </c>
      <c r="B70" s="625">
        <v>578.10704015763395</v>
      </c>
      <c r="C70" s="625">
        <v>628.76692000000003</v>
      </c>
      <c r="D70" s="626">
        <v>50.659879842366003</v>
      </c>
      <c r="E70" s="627">
        <v>1.087630622572</v>
      </c>
      <c r="F70" s="625">
        <v>746.73813139167498</v>
      </c>
      <c r="G70" s="626">
        <v>186.684532847919</v>
      </c>
      <c r="H70" s="628">
        <v>129.67277999999999</v>
      </c>
      <c r="I70" s="625">
        <v>257.79019</v>
      </c>
      <c r="J70" s="626">
        <v>71.105657152080994</v>
      </c>
      <c r="K70" s="629">
        <v>0.34522167700099998</v>
      </c>
    </row>
    <row r="71" spans="1:11" ht="14.4" customHeight="1" thickBot="1" x14ac:dyDescent="0.35">
      <c r="A71" s="647" t="s">
        <v>355</v>
      </c>
      <c r="B71" s="625">
        <v>524.76082482663401</v>
      </c>
      <c r="C71" s="625">
        <v>497.05614000000003</v>
      </c>
      <c r="D71" s="626">
        <v>-27.704684826634001</v>
      </c>
      <c r="E71" s="627">
        <v>0.94720511990199996</v>
      </c>
      <c r="F71" s="625">
        <v>612.73151418735301</v>
      </c>
      <c r="G71" s="626">
        <v>153.182878546838</v>
      </c>
      <c r="H71" s="628">
        <v>127.53672</v>
      </c>
      <c r="I71" s="625">
        <v>249.00197</v>
      </c>
      <c r="J71" s="626">
        <v>95.819091453160993</v>
      </c>
      <c r="K71" s="629">
        <v>0.40638022402000001</v>
      </c>
    </row>
    <row r="72" spans="1:11" ht="14.4" customHeight="1" thickBot="1" x14ac:dyDescent="0.35">
      <c r="A72" s="647" t="s">
        <v>356</v>
      </c>
      <c r="B72" s="625">
        <v>0</v>
      </c>
      <c r="C72" s="625">
        <v>6.1201299999999996</v>
      </c>
      <c r="D72" s="626">
        <v>6.1201299999999996</v>
      </c>
      <c r="E72" s="635" t="s">
        <v>289</v>
      </c>
      <c r="F72" s="625">
        <v>3.782589646425</v>
      </c>
      <c r="G72" s="626">
        <v>0.94564741160599997</v>
      </c>
      <c r="H72" s="628">
        <v>0</v>
      </c>
      <c r="I72" s="625">
        <v>0.13829</v>
      </c>
      <c r="J72" s="626">
        <v>-0.80735741160600005</v>
      </c>
      <c r="K72" s="629">
        <v>3.6559609400999997E-2</v>
      </c>
    </row>
    <row r="73" spans="1:11" ht="14.4" customHeight="1" thickBot="1" x14ac:dyDescent="0.35">
      <c r="A73" s="647" t="s">
        <v>357</v>
      </c>
      <c r="B73" s="625">
        <v>23.684919065047001</v>
      </c>
      <c r="C73" s="625">
        <v>95.282449999999997</v>
      </c>
      <c r="D73" s="626">
        <v>71.597530934952999</v>
      </c>
      <c r="E73" s="627">
        <v>4.0229164278890002</v>
      </c>
      <c r="F73" s="625">
        <v>98.224027557895994</v>
      </c>
      <c r="G73" s="626">
        <v>24.556006889473998</v>
      </c>
      <c r="H73" s="628">
        <v>0.62678</v>
      </c>
      <c r="I73" s="625">
        <v>1.69279</v>
      </c>
      <c r="J73" s="626">
        <v>-22.863216889474</v>
      </c>
      <c r="K73" s="629">
        <v>1.7233970567E-2</v>
      </c>
    </row>
    <row r="74" spans="1:11" ht="14.4" customHeight="1" thickBot="1" x14ac:dyDescent="0.35">
      <c r="A74" s="647" t="s">
        <v>358</v>
      </c>
      <c r="B74" s="625">
        <v>29.661296265952</v>
      </c>
      <c r="C74" s="625">
        <v>30.308199999999999</v>
      </c>
      <c r="D74" s="626">
        <v>0.64690373404699997</v>
      </c>
      <c r="E74" s="627">
        <v>1.021809691938</v>
      </c>
      <c r="F74" s="625">
        <v>31.999999999999002</v>
      </c>
      <c r="G74" s="626">
        <v>7.9999999999989999</v>
      </c>
      <c r="H74" s="628">
        <v>1.50928</v>
      </c>
      <c r="I74" s="625">
        <v>6.9571399999999999</v>
      </c>
      <c r="J74" s="626">
        <v>-1.042859999999</v>
      </c>
      <c r="K74" s="629">
        <v>0.217410625</v>
      </c>
    </row>
    <row r="75" spans="1:11" ht="14.4" customHeight="1" thickBot="1" x14ac:dyDescent="0.35">
      <c r="A75" s="650" t="s">
        <v>33</v>
      </c>
      <c r="B75" s="630">
        <v>0</v>
      </c>
      <c r="C75" s="630">
        <v>198.92202</v>
      </c>
      <c r="D75" s="631">
        <v>198.92202</v>
      </c>
      <c r="E75" s="632" t="s">
        <v>289</v>
      </c>
      <c r="F75" s="630">
        <v>0</v>
      </c>
      <c r="G75" s="631">
        <v>0</v>
      </c>
      <c r="H75" s="633">
        <v>9.2569999999999997</v>
      </c>
      <c r="I75" s="630">
        <v>48.186999999999998</v>
      </c>
      <c r="J75" s="631">
        <v>48.186999999999998</v>
      </c>
      <c r="K75" s="634" t="s">
        <v>289</v>
      </c>
    </row>
    <row r="76" spans="1:11" ht="14.4" customHeight="1" thickBot="1" x14ac:dyDescent="0.35">
      <c r="A76" s="646" t="s">
        <v>359</v>
      </c>
      <c r="B76" s="630">
        <v>0</v>
      </c>
      <c r="C76" s="630">
        <v>164.571</v>
      </c>
      <c r="D76" s="631">
        <v>164.571</v>
      </c>
      <c r="E76" s="632" t="s">
        <v>289</v>
      </c>
      <c r="F76" s="630">
        <v>0</v>
      </c>
      <c r="G76" s="631">
        <v>0</v>
      </c>
      <c r="H76" s="633">
        <v>9.2569999999999997</v>
      </c>
      <c r="I76" s="630">
        <v>30.202999999999999</v>
      </c>
      <c r="J76" s="631">
        <v>30.202999999999999</v>
      </c>
      <c r="K76" s="634" t="s">
        <v>289</v>
      </c>
    </row>
    <row r="77" spans="1:11" ht="14.4" customHeight="1" thickBot="1" x14ac:dyDescent="0.35">
      <c r="A77" s="647" t="s">
        <v>360</v>
      </c>
      <c r="B77" s="625">
        <v>0</v>
      </c>
      <c r="C77" s="625">
        <v>77.301000000000002</v>
      </c>
      <c r="D77" s="626">
        <v>77.301000000000002</v>
      </c>
      <c r="E77" s="635" t="s">
        <v>289</v>
      </c>
      <c r="F77" s="625">
        <v>0</v>
      </c>
      <c r="G77" s="626">
        <v>0</v>
      </c>
      <c r="H77" s="628">
        <v>7.5970000000000004</v>
      </c>
      <c r="I77" s="625">
        <v>18.582999999999998</v>
      </c>
      <c r="J77" s="626">
        <v>18.582999999999998</v>
      </c>
      <c r="K77" s="636" t="s">
        <v>289</v>
      </c>
    </row>
    <row r="78" spans="1:11" ht="14.4" customHeight="1" thickBot="1" x14ac:dyDescent="0.35">
      <c r="A78" s="647" t="s">
        <v>361</v>
      </c>
      <c r="B78" s="625">
        <v>0</v>
      </c>
      <c r="C78" s="625">
        <v>87.27</v>
      </c>
      <c r="D78" s="626">
        <v>87.27</v>
      </c>
      <c r="E78" s="635" t="s">
        <v>289</v>
      </c>
      <c r="F78" s="625">
        <v>0</v>
      </c>
      <c r="G78" s="626">
        <v>0</v>
      </c>
      <c r="H78" s="628">
        <v>1.66</v>
      </c>
      <c r="I78" s="625">
        <v>11.62</v>
      </c>
      <c r="J78" s="626">
        <v>11.62</v>
      </c>
      <c r="K78" s="636" t="s">
        <v>289</v>
      </c>
    </row>
    <row r="79" spans="1:11" ht="14.4" customHeight="1" thickBot="1" x14ac:dyDescent="0.35">
      <c r="A79" s="646" t="s">
        <v>362</v>
      </c>
      <c r="B79" s="630">
        <v>0</v>
      </c>
      <c r="C79" s="630">
        <v>34.351019999999998</v>
      </c>
      <c r="D79" s="631">
        <v>34.351019999999998</v>
      </c>
      <c r="E79" s="632" t="s">
        <v>289</v>
      </c>
      <c r="F79" s="630">
        <v>0</v>
      </c>
      <c r="G79" s="631">
        <v>0</v>
      </c>
      <c r="H79" s="633">
        <v>0</v>
      </c>
      <c r="I79" s="630">
        <v>17.984000000000002</v>
      </c>
      <c r="J79" s="631">
        <v>17.984000000000002</v>
      </c>
      <c r="K79" s="634" t="s">
        <v>289</v>
      </c>
    </row>
    <row r="80" spans="1:11" ht="14.4" customHeight="1" thickBot="1" x14ac:dyDescent="0.35">
      <c r="A80" s="647" t="s">
        <v>363</v>
      </c>
      <c r="B80" s="625">
        <v>0</v>
      </c>
      <c r="C80" s="625">
        <v>17.568000000000001</v>
      </c>
      <c r="D80" s="626">
        <v>17.568000000000001</v>
      </c>
      <c r="E80" s="635" t="s">
        <v>289</v>
      </c>
      <c r="F80" s="625">
        <v>0</v>
      </c>
      <c r="G80" s="626">
        <v>0</v>
      </c>
      <c r="H80" s="628">
        <v>0</v>
      </c>
      <c r="I80" s="625">
        <v>17.984000000000002</v>
      </c>
      <c r="J80" s="626">
        <v>17.984000000000002</v>
      </c>
      <c r="K80" s="636" t="s">
        <v>289</v>
      </c>
    </row>
    <row r="81" spans="1:11" ht="14.4" customHeight="1" thickBot="1" x14ac:dyDescent="0.35">
      <c r="A81" s="647" t="s">
        <v>364</v>
      </c>
      <c r="B81" s="625">
        <v>0</v>
      </c>
      <c r="C81" s="625">
        <v>16.78302</v>
      </c>
      <c r="D81" s="626">
        <v>16.78302</v>
      </c>
      <c r="E81" s="635" t="s">
        <v>301</v>
      </c>
      <c r="F81" s="625">
        <v>0</v>
      </c>
      <c r="G81" s="626">
        <v>0</v>
      </c>
      <c r="H81" s="628">
        <v>0</v>
      </c>
      <c r="I81" s="625">
        <v>0</v>
      </c>
      <c r="J81" s="626">
        <v>0</v>
      </c>
      <c r="K81" s="636" t="s">
        <v>289</v>
      </c>
    </row>
    <row r="82" spans="1:11" ht="14.4" customHeight="1" thickBot="1" x14ac:dyDescent="0.35">
      <c r="A82" s="645" t="s">
        <v>34</v>
      </c>
      <c r="B82" s="625">
        <v>968.81937283496302</v>
      </c>
      <c r="C82" s="625">
        <v>1010.72202</v>
      </c>
      <c r="D82" s="626">
        <v>41.902647165037003</v>
      </c>
      <c r="E82" s="627">
        <v>1.0432512482089999</v>
      </c>
      <c r="F82" s="625">
        <v>979.71305093147805</v>
      </c>
      <c r="G82" s="626">
        <v>244.928262732869</v>
      </c>
      <c r="H82" s="628">
        <v>101.8008</v>
      </c>
      <c r="I82" s="625">
        <v>216.48589000000001</v>
      </c>
      <c r="J82" s="626">
        <v>-28.442372732869</v>
      </c>
      <c r="K82" s="629">
        <v>0.220968670157</v>
      </c>
    </row>
    <row r="83" spans="1:11" ht="14.4" customHeight="1" thickBot="1" x14ac:dyDescent="0.35">
      <c r="A83" s="646" t="s">
        <v>365</v>
      </c>
      <c r="B83" s="630">
        <v>5.2766745769999996</v>
      </c>
      <c r="C83" s="630">
        <v>0</v>
      </c>
      <c r="D83" s="631">
        <v>-5.2766745769999996</v>
      </c>
      <c r="E83" s="637">
        <v>0</v>
      </c>
      <c r="F83" s="630">
        <v>0</v>
      </c>
      <c r="G83" s="631">
        <v>0</v>
      </c>
      <c r="H83" s="633">
        <v>0</v>
      </c>
      <c r="I83" s="630">
        <v>0</v>
      </c>
      <c r="J83" s="631">
        <v>0</v>
      </c>
      <c r="K83" s="638">
        <v>0</v>
      </c>
    </row>
    <row r="84" spans="1:11" ht="14.4" customHeight="1" thickBot="1" x14ac:dyDescent="0.35">
      <c r="A84" s="647" t="s">
        <v>366</v>
      </c>
      <c r="B84" s="625">
        <v>5.2766745769999996</v>
      </c>
      <c r="C84" s="625">
        <v>0</v>
      </c>
      <c r="D84" s="626">
        <v>-5.2766745769999996</v>
      </c>
      <c r="E84" s="627">
        <v>0</v>
      </c>
      <c r="F84" s="625">
        <v>0</v>
      </c>
      <c r="G84" s="626">
        <v>0</v>
      </c>
      <c r="H84" s="628">
        <v>0</v>
      </c>
      <c r="I84" s="625">
        <v>0</v>
      </c>
      <c r="J84" s="626">
        <v>0</v>
      </c>
      <c r="K84" s="629">
        <v>0</v>
      </c>
    </row>
    <row r="85" spans="1:11" ht="14.4" customHeight="1" thickBot="1" x14ac:dyDescent="0.35">
      <c r="A85" s="646" t="s">
        <v>367</v>
      </c>
      <c r="B85" s="630">
        <v>5.8516966701799999</v>
      </c>
      <c r="C85" s="630">
        <v>5.7067899999999998</v>
      </c>
      <c r="D85" s="631">
        <v>-0.14490667018</v>
      </c>
      <c r="E85" s="637">
        <v>0.97523681107399995</v>
      </c>
      <c r="F85" s="630">
        <v>6.088952058446</v>
      </c>
      <c r="G85" s="631">
        <v>1.5222380146109999</v>
      </c>
      <c r="H85" s="633">
        <v>0.37919999999999998</v>
      </c>
      <c r="I85" s="630">
        <v>1.13856</v>
      </c>
      <c r="J85" s="631">
        <v>-0.38367801461099998</v>
      </c>
      <c r="K85" s="638">
        <v>0.18698784110399999</v>
      </c>
    </row>
    <row r="86" spans="1:11" ht="14.4" customHeight="1" thickBot="1" x14ac:dyDescent="0.35">
      <c r="A86" s="647" t="s">
        <v>368</v>
      </c>
      <c r="B86" s="625">
        <v>0.73088596033300002</v>
      </c>
      <c r="C86" s="625">
        <v>1.2236</v>
      </c>
      <c r="D86" s="626">
        <v>0.49271403966600003</v>
      </c>
      <c r="E86" s="627">
        <v>1.674132582108</v>
      </c>
      <c r="F86" s="625">
        <v>1.100716192493</v>
      </c>
      <c r="G86" s="626">
        <v>0.27517904812299998</v>
      </c>
      <c r="H86" s="628">
        <v>8.3900000000000002E-2</v>
      </c>
      <c r="I86" s="625">
        <v>0.29980000000000001</v>
      </c>
      <c r="J86" s="626">
        <v>2.4620951876E-2</v>
      </c>
      <c r="K86" s="629">
        <v>0.272368119997</v>
      </c>
    </row>
    <row r="87" spans="1:11" ht="14.4" customHeight="1" thickBot="1" x14ac:dyDescent="0.35">
      <c r="A87" s="647" t="s">
        <v>369</v>
      </c>
      <c r="B87" s="625">
        <v>5.1208107098470004</v>
      </c>
      <c r="C87" s="625">
        <v>4.4831899999999996</v>
      </c>
      <c r="D87" s="626">
        <v>-0.63762070984700003</v>
      </c>
      <c r="E87" s="627">
        <v>0.87548442112400005</v>
      </c>
      <c r="F87" s="625">
        <v>4.9882358659520003</v>
      </c>
      <c r="G87" s="626">
        <v>1.2470589664880001</v>
      </c>
      <c r="H87" s="628">
        <v>0.29530000000000001</v>
      </c>
      <c r="I87" s="625">
        <v>0.83875999999999995</v>
      </c>
      <c r="J87" s="626">
        <v>-0.40829896648800001</v>
      </c>
      <c r="K87" s="629">
        <v>0.168147622233</v>
      </c>
    </row>
    <row r="88" spans="1:11" ht="14.4" customHeight="1" thickBot="1" x14ac:dyDescent="0.35">
      <c r="A88" s="646" t="s">
        <v>370</v>
      </c>
      <c r="B88" s="630">
        <v>35.893306920904003</v>
      </c>
      <c r="C88" s="630">
        <v>34.533819999999999</v>
      </c>
      <c r="D88" s="631">
        <v>-1.3594869209039999</v>
      </c>
      <c r="E88" s="637">
        <v>0.96212422210299997</v>
      </c>
      <c r="F88" s="630">
        <v>33</v>
      </c>
      <c r="G88" s="631">
        <v>8.25</v>
      </c>
      <c r="H88" s="633">
        <v>0</v>
      </c>
      <c r="I88" s="630">
        <v>21.148</v>
      </c>
      <c r="J88" s="631">
        <v>12.898</v>
      </c>
      <c r="K88" s="638">
        <v>0.64084848484800006</v>
      </c>
    </row>
    <row r="89" spans="1:11" ht="14.4" customHeight="1" thickBot="1" x14ac:dyDescent="0.35">
      <c r="A89" s="647" t="s">
        <v>371</v>
      </c>
      <c r="B89" s="625">
        <v>12.999979310038</v>
      </c>
      <c r="C89" s="625">
        <v>12.96</v>
      </c>
      <c r="D89" s="626">
        <v>-3.9979310038000003E-2</v>
      </c>
      <c r="E89" s="627">
        <v>0.996924663564</v>
      </c>
      <c r="F89" s="625">
        <v>11</v>
      </c>
      <c r="G89" s="626">
        <v>2.75</v>
      </c>
      <c r="H89" s="628">
        <v>0</v>
      </c>
      <c r="I89" s="625">
        <v>3.24</v>
      </c>
      <c r="J89" s="626">
        <v>0.48999999999900001</v>
      </c>
      <c r="K89" s="629">
        <v>0.29454545454499997</v>
      </c>
    </row>
    <row r="90" spans="1:11" ht="14.4" customHeight="1" thickBot="1" x14ac:dyDescent="0.35">
      <c r="A90" s="647" t="s">
        <v>372</v>
      </c>
      <c r="B90" s="625">
        <v>22.893327610865999</v>
      </c>
      <c r="C90" s="625">
        <v>21.573820000000001</v>
      </c>
      <c r="D90" s="626">
        <v>-1.319507610866</v>
      </c>
      <c r="E90" s="627">
        <v>0.94236278651600003</v>
      </c>
      <c r="F90" s="625">
        <v>22</v>
      </c>
      <c r="G90" s="626">
        <v>5.5</v>
      </c>
      <c r="H90" s="628">
        <v>0</v>
      </c>
      <c r="I90" s="625">
        <v>17.908000000000001</v>
      </c>
      <c r="J90" s="626">
        <v>12.407999999999999</v>
      </c>
      <c r="K90" s="629">
        <v>0.81399999999899997</v>
      </c>
    </row>
    <row r="91" spans="1:11" ht="14.4" customHeight="1" thickBot="1" x14ac:dyDescent="0.35">
      <c r="A91" s="646" t="s">
        <v>373</v>
      </c>
      <c r="B91" s="630">
        <v>448.06023074944898</v>
      </c>
      <c r="C91" s="630">
        <v>455.68596000000002</v>
      </c>
      <c r="D91" s="631">
        <v>7.6257292505510001</v>
      </c>
      <c r="E91" s="637">
        <v>1.0170194289229999</v>
      </c>
      <c r="F91" s="630">
        <v>428.22825453617202</v>
      </c>
      <c r="G91" s="631">
        <v>107.057063634043</v>
      </c>
      <c r="H91" s="633">
        <v>34.371250000000003</v>
      </c>
      <c r="I91" s="630">
        <v>101.82021</v>
      </c>
      <c r="J91" s="631">
        <v>-5.2368536340420002</v>
      </c>
      <c r="K91" s="638">
        <v>0.23777088251699999</v>
      </c>
    </row>
    <row r="92" spans="1:11" ht="14.4" customHeight="1" thickBot="1" x14ac:dyDescent="0.35">
      <c r="A92" s="647" t="s">
        <v>374</v>
      </c>
      <c r="B92" s="625">
        <v>448.06023074944898</v>
      </c>
      <c r="C92" s="625">
        <v>405.51229999999998</v>
      </c>
      <c r="D92" s="626">
        <v>-42.547930749448</v>
      </c>
      <c r="E92" s="627">
        <v>0.90503970709799997</v>
      </c>
      <c r="F92" s="625">
        <v>421</v>
      </c>
      <c r="G92" s="626">
        <v>105.25</v>
      </c>
      <c r="H92" s="628">
        <v>34.371250000000003</v>
      </c>
      <c r="I92" s="625">
        <v>101.82021</v>
      </c>
      <c r="J92" s="626">
        <v>-3.4297900000000001</v>
      </c>
      <c r="K92" s="629">
        <v>0.241853230403</v>
      </c>
    </row>
    <row r="93" spans="1:11" ht="14.4" customHeight="1" thickBot="1" x14ac:dyDescent="0.35">
      <c r="A93" s="647" t="s">
        <v>375</v>
      </c>
      <c r="B93" s="625">
        <v>0</v>
      </c>
      <c r="C93" s="625">
        <v>43.736660000000001</v>
      </c>
      <c r="D93" s="626">
        <v>43.736660000000001</v>
      </c>
      <c r="E93" s="635" t="s">
        <v>301</v>
      </c>
      <c r="F93" s="625">
        <v>0</v>
      </c>
      <c r="G93" s="626">
        <v>0</v>
      </c>
      <c r="H93" s="628">
        <v>0</v>
      </c>
      <c r="I93" s="625">
        <v>0</v>
      </c>
      <c r="J93" s="626">
        <v>0</v>
      </c>
      <c r="K93" s="636" t="s">
        <v>289</v>
      </c>
    </row>
    <row r="94" spans="1:11" ht="14.4" customHeight="1" thickBot="1" x14ac:dyDescent="0.35">
      <c r="A94" s="647" t="s">
        <v>376</v>
      </c>
      <c r="B94" s="625">
        <v>0</v>
      </c>
      <c r="C94" s="625">
        <v>6.4370000000000003</v>
      </c>
      <c r="D94" s="626">
        <v>6.4370000000000003</v>
      </c>
      <c r="E94" s="635" t="s">
        <v>301</v>
      </c>
      <c r="F94" s="625">
        <v>7.2282545361709998</v>
      </c>
      <c r="G94" s="626">
        <v>1.8070636340420001</v>
      </c>
      <c r="H94" s="628">
        <v>0</v>
      </c>
      <c r="I94" s="625">
        <v>0</v>
      </c>
      <c r="J94" s="626">
        <v>-1.8070636340420001</v>
      </c>
      <c r="K94" s="629">
        <v>0</v>
      </c>
    </row>
    <row r="95" spans="1:11" ht="14.4" customHeight="1" thickBot="1" x14ac:dyDescent="0.35">
      <c r="A95" s="646" t="s">
        <v>377</v>
      </c>
      <c r="B95" s="630">
        <v>473.73746391742799</v>
      </c>
      <c r="C95" s="630">
        <v>514.79544999999996</v>
      </c>
      <c r="D95" s="631">
        <v>41.057986082570999</v>
      </c>
      <c r="E95" s="637">
        <v>1.0866682270450001</v>
      </c>
      <c r="F95" s="630">
        <v>512.39584433686002</v>
      </c>
      <c r="G95" s="631">
        <v>128.09896108421501</v>
      </c>
      <c r="H95" s="633">
        <v>67.050349999999995</v>
      </c>
      <c r="I95" s="630">
        <v>92.37912</v>
      </c>
      <c r="J95" s="631">
        <v>-35.719841084214004</v>
      </c>
      <c r="K95" s="638">
        <v>0.18028858161299999</v>
      </c>
    </row>
    <row r="96" spans="1:11" ht="14.4" customHeight="1" thickBot="1" x14ac:dyDescent="0.35">
      <c r="A96" s="647" t="s">
        <v>378</v>
      </c>
      <c r="B96" s="625">
        <v>0.99999840846400001</v>
      </c>
      <c r="C96" s="625">
        <v>0.90500000000000003</v>
      </c>
      <c r="D96" s="626">
        <v>-9.4998408463999998E-2</v>
      </c>
      <c r="E96" s="627">
        <v>0.90500144034100005</v>
      </c>
      <c r="F96" s="625">
        <v>14.103999999998999</v>
      </c>
      <c r="G96" s="626">
        <v>3.5259999999990002</v>
      </c>
      <c r="H96" s="628">
        <v>0</v>
      </c>
      <c r="I96" s="625">
        <v>0</v>
      </c>
      <c r="J96" s="626">
        <v>-3.5259999999990002</v>
      </c>
      <c r="K96" s="629">
        <v>0</v>
      </c>
    </row>
    <row r="97" spans="1:11" ht="14.4" customHeight="1" thickBot="1" x14ac:dyDescent="0.35">
      <c r="A97" s="647" t="s">
        <v>379</v>
      </c>
      <c r="B97" s="625">
        <v>380.53282531032397</v>
      </c>
      <c r="C97" s="625">
        <v>458.89452999999997</v>
      </c>
      <c r="D97" s="626">
        <v>78.361704689674994</v>
      </c>
      <c r="E97" s="627">
        <v>1.20592626832</v>
      </c>
      <c r="F97" s="625">
        <v>414.07075081599601</v>
      </c>
      <c r="G97" s="626">
        <v>103.517687703999</v>
      </c>
      <c r="H97" s="628">
        <v>58.890009999999997</v>
      </c>
      <c r="I97" s="625">
        <v>80.716610000000003</v>
      </c>
      <c r="J97" s="626">
        <v>-22.801077703998999</v>
      </c>
      <c r="K97" s="629">
        <v>0.194934343565</v>
      </c>
    </row>
    <row r="98" spans="1:11" ht="14.4" customHeight="1" thickBot="1" x14ac:dyDescent="0.35">
      <c r="A98" s="647" t="s">
        <v>380</v>
      </c>
      <c r="B98" s="625">
        <v>5.999990450786</v>
      </c>
      <c r="C98" s="625">
        <v>4.2519999999999998</v>
      </c>
      <c r="D98" s="626">
        <v>-1.747990450786</v>
      </c>
      <c r="E98" s="627">
        <v>0.70866779453600004</v>
      </c>
      <c r="F98" s="625">
        <v>5</v>
      </c>
      <c r="G98" s="626">
        <v>1.25</v>
      </c>
      <c r="H98" s="628">
        <v>0</v>
      </c>
      <c r="I98" s="625">
        <v>0</v>
      </c>
      <c r="J98" s="626">
        <v>-1.25</v>
      </c>
      <c r="K98" s="629">
        <v>0</v>
      </c>
    </row>
    <row r="99" spans="1:11" ht="14.4" customHeight="1" thickBot="1" x14ac:dyDescent="0.35">
      <c r="A99" s="647" t="s">
        <v>381</v>
      </c>
      <c r="B99" s="625">
        <v>1.7826979080700001</v>
      </c>
      <c r="C99" s="625">
        <v>0.77439999999999998</v>
      </c>
      <c r="D99" s="626">
        <v>-1.0082979080700001</v>
      </c>
      <c r="E99" s="627">
        <v>0.43439777232799998</v>
      </c>
      <c r="F99" s="625">
        <v>1.3958282360259999</v>
      </c>
      <c r="G99" s="626">
        <v>0.34895705900599999</v>
      </c>
      <c r="H99" s="628">
        <v>0</v>
      </c>
      <c r="I99" s="625">
        <v>0</v>
      </c>
      <c r="J99" s="626">
        <v>-0.34895705900599999</v>
      </c>
      <c r="K99" s="629">
        <v>0</v>
      </c>
    </row>
    <row r="100" spans="1:11" ht="14.4" customHeight="1" thickBot="1" x14ac:dyDescent="0.35">
      <c r="A100" s="647" t="s">
        <v>382</v>
      </c>
      <c r="B100" s="625">
        <v>84.421951839781997</v>
      </c>
      <c r="C100" s="625">
        <v>49.969520000000003</v>
      </c>
      <c r="D100" s="626">
        <v>-34.452431839782001</v>
      </c>
      <c r="E100" s="627">
        <v>0.59190197467600003</v>
      </c>
      <c r="F100" s="625">
        <v>77.825265284835993</v>
      </c>
      <c r="G100" s="626">
        <v>19.456316321208998</v>
      </c>
      <c r="H100" s="628">
        <v>8.1603399999999997</v>
      </c>
      <c r="I100" s="625">
        <v>11.662509999999999</v>
      </c>
      <c r="J100" s="626">
        <v>-7.7938063212089999</v>
      </c>
      <c r="K100" s="629">
        <v>0.149855062585</v>
      </c>
    </row>
    <row r="101" spans="1:11" ht="14.4" customHeight="1" thickBot="1" x14ac:dyDescent="0.35">
      <c r="A101" s="644" t="s">
        <v>35</v>
      </c>
      <c r="B101" s="625">
        <v>38949.383767820298</v>
      </c>
      <c r="C101" s="625">
        <v>42785.85441</v>
      </c>
      <c r="D101" s="626">
        <v>3836.47064217969</v>
      </c>
      <c r="E101" s="627">
        <v>1.098498879084</v>
      </c>
      <c r="F101" s="625">
        <v>43931</v>
      </c>
      <c r="G101" s="626">
        <v>10982.75</v>
      </c>
      <c r="H101" s="628">
        <v>3478.32566000001</v>
      </c>
      <c r="I101" s="625">
        <v>10654.661980000001</v>
      </c>
      <c r="J101" s="626">
        <v>-328.08801999999599</v>
      </c>
      <c r="K101" s="629">
        <v>0.24253174250500001</v>
      </c>
    </row>
    <row r="102" spans="1:11" ht="14.4" customHeight="1" thickBot="1" x14ac:dyDescent="0.35">
      <c r="A102" s="650" t="s">
        <v>383</v>
      </c>
      <c r="B102" s="630">
        <v>28782.183045425601</v>
      </c>
      <c r="C102" s="630">
        <v>31677.327000000001</v>
      </c>
      <c r="D102" s="631">
        <v>2895.1439545743801</v>
      </c>
      <c r="E102" s="637">
        <v>1.1005880599810001</v>
      </c>
      <c r="F102" s="630">
        <v>32345</v>
      </c>
      <c r="G102" s="631">
        <v>8086.25000000001</v>
      </c>
      <c r="H102" s="633">
        <v>2560.7199999999998</v>
      </c>
      <c r="I102" s="630">
        <v>7842.6909999999998</v>
      </c>
      <c r="J102" s="631">
        <v>-243.55900000000099</v>
      </c>
      <c r="K102" s="638">
        <v>0.24246996444499999</v>
      </c>
    </row>
    <row r="103" spans="1:11" ht="14.4" customHeight="1" thickBot="1" x14ac:dyDescent="0.35">
      <c r="A103" s="646" t="s">
        <v>384</v>
      </c>
      <c r="B103" s="630">
        <v>28640.0020342934</v>
      </c>
      <c r="C103" s="630">
        <v>31543.356</v>
      </c>
      <c r="D103" s="631">
        <v>2903.3539657065799</v>
      </c>
      <c r="E103" s="637">
        <v>1.1013740837799999</v>
      </c>
      <c r="F103" s="630">
        <v>32185</v>
      </c>
      <c r="G103" s="631">
        <v>8046.25000000001</v>
      </c>
      <c r="H103" s="633">
        <v>2548.4949999999999</v>
      </c>
      <c r="I103" s="630">
        <v>7810.0330000000004</v>
      </c>
      <c r="J103" s="631">
        <v>-236.21700000000101</v>
      </c>
      <c r="K103" s="638">
        <v>0.24266064937000001</v>
      </c>
    </row>
    <row r="104" spans="1:11" ht="14.4" customHeight="1" thickBot="1" x14ac:dyDescent="0.35">
      <c r="A104" s="647" t="s">
        <v>385</v>
      </c>
      <c r="B104" s="625">
        <v>28640.0020342934</v>
      </c>
      <c r="C104" s="625">
        <v>31543.356</v>
      </c>
      <c r="D104" s="626">
        <v>2903.3539657065799</v>
      </c>
      <c r="E104" s="627">
        <v>1.1013740837799999</v>
      </c>
      <c r="F104" s="625">
        <v>32185</v>
      </c>
      <c r="G104" s="626">
        <v>8046.25000000001</v>
      </c>
      <c r="H104" s="628">
        <v>2548.4949999999999</v>
      </c>
      <c r="I104" s="625">
        <v>7810.0330000000004</v>
      </c>
      <c r="J104" s="626">
        <v>-236.21700000000101</v>
      </c>
      <c r="K104" s="629">
        <v>0.24266064937000001</v>
      </c>
    </row>
    <row r="105" spans="1:11" ht="14.4" customHeight="1" thickBot="1" x14ac:dyDescent="0.35">
      <c r="A105" s="646" t="s">
        <v>386</v>
      </c>
      <c r="B105" s="630">
        <v>60.000005416769</v>
      </c>
      <c r="C105" s="630">
        <v>67.2</v>
      </c>
      <c r="D105" s="631">
        <v>7.1999945832299996</v>
      </c>
      <c r="E105" s="637">
        <v>1.119999898886</v>
      </c>
      <c r="F105" s="630">
        <v>69.999999999999005</v>
      </c>
      <c r="G105" s="631">
        <v>17.5</v>
      </c>
      <c r="H105" s="633">
        <v>4.8</v>
      </c>
      <c r="I105" s="630">
        <v>14.4</v>
      </c>
      <c r="J105" s="631">
        <v>-3.099999999999</v>
      </c>
      <c r="K105" s="638">
        <v>0.20571428571399999</v>
      </c>
    </row>
    <row r="106" spans="1:11" ht="14.4" customHeight="1" thickBot="1" x14ac:dyDescent="0.35">
      <c r="A106" s="647" t="s">
        <v>387</v>
      </c>
      <c r="B106" s="625">
        <v>60.000005416769</v>
      </c>
      <c r="C106" s="625">
        <v>67.2</v>
      </c>
      <c r="D106" s="626">
        <v>7.1999945832299996</v>
      </c>
      <c r="E106" s="627">
        <v>1.119999898886</v>
      </c>
      <c r="F106" s="625">
        <v>69.999999999999005</v>
      </c>
      <c r="G106" s="626">
        <v>17.5</v>
      </c>
      <c r="H106" s="628">
        <v>4.8</v>
      </c>
      <c r="I106" s="625">
        <v>14.4</v>
      </c>
      <c r="J106" s="626">
        <v>-3.099999999999</v>
      </c>
      <c r="K106" s="629">
        <v>0.20571428571399999</v>
      </c>
    </row>
    <row r="107" spans="1:11" ht="14.4" customHeight="1" thickBot="1" x14ac:dyDescent="0.35">
      <c r="A107" s="646" t="s">
        <v>388</v>
      </c>
      <c r="B107" s="630">
        <v>82.181005715430999</v>
      </c>
      <c r="C107" s="630">
        <v>66.771000000000001</v>
      </c>
      <c r="D107" s="631">
        <v>-15.410005715431</v>
      </c>
      <c r="E107" s="637">
        <v>0.81248701471399998</v>
      </c>
      <c r="F107" s="630">
        <v>90</v>
      </c>
      <c r="G107" s="631">
        <v>22.5</v>
      </c>
      <c r="H107" s="633">
        <v>7.4249999999999998</v>
      </c>
      <c r="I107" s="630">
        <v>18.257999999999999</v>
      </c>
      <c r="J107" s="631">
        <v>-4.242</v>
      </c>
      <c r="K107" s="638">
        <v>0.20286666666600001</v>
      </c>
    </row>
    <row r="108" spans="1:11" ht="14.4" customHeight="1" thickBot="1" x14ac:dyDescent="0.35">
      <c r="A108" s="647" t="s">
        <v>389</v>
      </c>
      <c r="B108" s="625">
        <v>82.181005715430999</v>
      </c>
      <c r="C108" s="625">
        <v>66.771000000000001</v>
      </c>
      <c r="D108" s="626">
        <v>-15.410005715431</v>
      </c>
      <c r="E108" s="627">
        <v>0.81248701471399998</v>
      </c>
      <c r="F108" s="625">
        <v>90</v>
      </c>
      <c r="G108" s="626">
        <v>22.5</v>
      </c>
      <c r="H108" s="628">
        <v>7.4249999999999998</v>
      </c>
      <c r="I108" s="625">
        <v>18.257999999999999</v>
      </c>
      <c r="J108" s="626">
        <v>-4.242</v>
      </c>
      <c r="K108" s="629">
        <v>0.20286666666600001</v>
      </c>
    </row>
    <row r="109" spans="1:11" ht="14.4" customHeight="1" thickBot="1" x14ac:dyDescent="0.35">
      <c r="A109" s="645" t="s">
        <v>390</v>
      </c>
      <c r="B109" s="625">
        <v>9737.6006917700306</v>
      </c>
      <c r="C109" s="625">
        <v>10634.37478</v>
      </c>
      <c r="D109" s="626">
        <v>896.77408822997302</v>
      </c>
      <c r="E109" s="627">
        <v>1.0920939476380001</v>
      </c>
      <c r="F109" s="625">
        <v>10942</v>
      </c>
      <c r="G109" s="626">
        <v>2735.5</v>
      </c>
      <c r="H109" s="628">
        <v>866.48815000000195</v>
      </c>
      <c r="I109" s="625">
        <v>2655.40715</v>
      </c>
      <c r="J109" s="626">
        <v>-80.092849999994996</v>
      </c>
      <c r="K109" s="629">
        <v>0.24268023670200001</v>
      </c>
    </row>
    <row r="110" spans="1:11" ht="14.4" customHeight="1" thickBot="1" x14ac:dyDescent="0.35">
      <c r="A110" s="646" t="s">
        <v>391</v>
      </c>
      <c r="B110" s="630">
        <v>2577.6001831966701</v>
      </c>
      <c r="C110" s="630">
        <v>2838.89878</v>
      </c>
      <c r="D110" s="631">
        <v>261.29859680332999</v>
      </c>
      <c r="E110" s="637">
        <v>1.1013728189909999</v>
      </c>
      <c r="F110" s="630">
        <v>2895.99999999999</v>
      </c>
      <c r="G110" s="631">
        <v>723.99999999999704</v>
      </c>
      <c r="H110" s="633">
        <v>229.36439999999999</v>
      </c>
      <c r="I110" s="630">
        <v>702.89890000000003</v>
      </c>
      <c r="J110" s="631">
        <v>-21.101099999995999</v>
      </c>
      <c r="K110" s="638">
        <v>0.24271370856300001</v>
      </c>
    </row>
    <row r="111" spans="1:11" ht="14.4" customHeight="1" thickBot="1" x14ac:dyDescent="0.35">
      <c r="A111" s="647" t="s">
        <v>392</v>
      </c>
      <c r="B111" s="625">
        <v>2577.6001831966701</v>
      </c>
      <c r="C111" s="625">
        <v>2838.89878</v>
      </c>
      <c r="D111" s="626">
        <v>261.29859680332999</v>
      </c>
      <c r="E111" s="627">
        <v>1.1013728189909999</v>
      </c>
      <c r="F111" s="625">
        <v>2895.99999999999</v>
      </c>
      <c r="G111" s="626">
        <v>723.99999999999704</v>
      </c>
      <c r="H111" s="628">
        <v>229.36439999999999</v>
      </c>
      <c r="I111" s="625">
        <v>702.89890000000003</v>
      </c>
      <c r="J111" s="626">
        <v>-21.101099999995999</v>
      </c>
      <c r="K111" s="629">
        <v>0.24271370856300001</v>
      </c>
    </row>
    <row r="112" spans="1:11" ht="14.4" customHeight="1" thickBot="1" x14ac:dyDescent="0.35">
      <c r="A112" s="646" t="s">
        <v>393</v>
      </c>
      <c r="B112" s="630">
        <v>7160.0005085733601</v>
      </c>
      <c r="C112" s="630">
        <v>7795.4759999999997</v>
      </c>
      <c r="D112" s="631">
        <v>635.475491426644</v>
      </c>
      <c r="E112" s="637">
        <v>1.08875355395</v>
      </c>
      <c r="F112" s="630">
        <v>8046</v>
      </c>
      <c r="G112" s="631">
        <v>2011.5</v>
      </c>
      <c r="H112" s="633">
        <v>637.123750000001</v>
      </c>
      <c r="I112" s="630">
        <v>1952.5082500000001</v>
      </c>
      <c r="J112" s="631">
        <v>-58.991749999998</v>
      </c>
      <c r="K112" s="638">
        <v>0.242668189162</v>
      </c>
    </row>
    <row r="113" spans="1:11" ht="14.4" customHeight="1" thickBot="1" x14ac:dyDescent="0.35">
      <c r="A113" s="647" t="s">
        <v>394</v>
      </c>
      <c r="B113" s="625">
        <v>7160.0005085733601</v>
      </c>
      <c r="C113" s="625">
        <v>7795.4759999999997</v>
      </c>
      <c r="D113" s="626">
        <v>635.475491426644</v>
      </c>
      <c r="E113" s="627">
        <v>1.08875355395</v>
      </c>
      <c r="F113" s="625">
        <v>8046</v>
      </c>
      <c r="G113" s="626">
        <v>2011.5</v>
      </c>
      <c r="H113" s="628">
        <v>637.123750000001</v>
      </c>
      <c r="I113" s="625">
        <v>1952.5082500000001</v>
      </c>
      <c r="J113" s="626">
        <v>-58.991749999998</v>
      </c>
      <c r="K113" s="629">
        <v>0.242668189162</v>
      </c>
    </row>
    <row r="114" spans="1:11" ht="14.4" customHeight="1" thickBot="1" x14ac:dyDescent="0.35">
      <c r="A114" s="645" t="s">
        <v>395</v>
      </c>
      <c r="B114" s="625">
        <v>429.60003062466399</v>
      </c>
      <c r="C114" s="625">
        <v>474.15262999999999</v>
      </c>
      <c r="D114" s="626">
        <v>44.552599375336001</v>
      </c>
      <c r="E114" s="627">
        <v>1.1037071606119999</v>
      </c>
      <c r="F114" s="625">
        <v>644.00000000000102</v>
      </c>
      <c r="G114" s="626">
        <v>161</v>
      </c>
      <c r="H114" s="628">
        <v>51.117510000000003</v>
      </c>
      <c r="I114" s="625">
        <v>156.56383</v>
      </c>
      <c r="J114" s="626">
        <v>-4.4361699999999997</v>
      </c>
      <c r="K114" s="629">
        <v>0.24311153726699999</v>
      </c>
    </row>
    <row r="115" spans="1:11" ht="14.4" customHeight="1" thickBot="1" x14ac:dyDescent="0.35">
      <c r="A115" s="646" t="s">
        <v>396</v>
      </c>
      <c r="B115" s="630">
        <v>429.60003062466399</v>
      </c>
      <c r="C115" s="630">
        <v>474.15262999999999</v>
      </c>
      <c r="D115" s="631">
        <v>44.552599375336001</v>
      </c>
      <c r="E115" s="637">
        <v>1.1037071606119999</v>
      </c>
      <c r="F115" s="630">
        <v>644.00000000000102</v>
      </c>
      <c r="G115" s="631">
        <v>161</v>
      </c>
      <c r="H115" s="633">
        <v>51.117510000000003</v>
      </c>
      <c r="I115" s="630">
        <v>156.56383</v>
      </c>
      <c r="J115" s="631">
        <v>-4.4361699999999997</v>
      </c>
      <c r="K115" s="638">
        <v>0.24311153726699999</v>
      </c>
    </row>
    <row r="116" spans="1:11" ht="14.4" customHeight="1" thickBot="1" x14ac:dyDescent="0.35">
      <c r="A116" s="647" t="s">
        <v>397</v>
      </c>
      <c r="B116" s="625">
        <v>429.60003062466399</v>
      </c>
      <c r="C116" s="625">
        <v>474.15262999999999</v>
      </c>
      <c r="D116" s="626">
        <v>44.552599375336001</v>
      </c>
      <c r="E116" s="627">
        <v>1.1037071606119999</v>
      </c>
      <c r="F116" s="625">
        <v>644.00000000000102</v>
      </c>
      <c r="G116" s="626">
        <v>161</v>
      </c>
      <c r="H116" s="628">
        <v>51.117510000000003</v>
      </c>
      <c r="I116" s="625">
        <v>156.56383</v>
      </c>
      <c r="J116" s="626">
        <v>-4.4361699999999997</v>
      </c>
      <c r="K116" s="629">
        <v>0.24311153726699999</v>
      </c>
    </row>
    <row r="117" spans="1:11" ht="14.4" customHeight="1" thickBot="1" x14ac:dyDescent="0.35">
      <c r="A117" s="644" t="s">
        <v>398</v>
      </c>
      <c r="B117" s="625">
        <v>0</v>
      </c>
      <c r="C117" s="625">
        <v>327.65883000000002</v>
      </c>
      <c r="D117" s="626">
        <v>327.65883000000002</v>
      </c>
      <c r="E117" s="635" t="s">
        <v>289</v>
      </c>
      <c r="F117" s="625">
        <v>0</v>
      </c>
      <c r="G117" s="626">
        <v>0</v>
      </c>
      <c r="H117" s="628">
        <v>8.5690500000000007</v>
      </c>
      <c r="I117" s="625">
        <v>37.667050000000003</v>
      </c>
      <c r="J117" s="626">
        <v>37.667050000000003</v>
      </c>
      <c r="K117" s="636" t="s">
        <v>289</v>
      </c>
    </row>
    <row r="118" spans="1:11" ht="14.4" customHeight="1" thickBot="1" x14ac:dyDescent="0.35">
      <c r="A118" s="645" t="s">
        <v>399</v>
      </c>
      <c r="B118" s="625">
        <v>0</v>
      </c>
      <c r="C118" s="625">
        <v>327.65883000000002</v>
      </c>
      <c r="D118" s="626">
        <v>327.65883000000002</v>
      </c>
      <c r="E118" s="635" t="s">
        <v>289</v>
      </c>
      <c r="F118" s="625">
        <v>0</v>
      </c>
      <c r="G118" s="626">
        <v>0</v>
      </c>
      <c r="H118" s="628">
        <v>8.5690500000000007</v>
      </c>
      <c r="I118" s="625">
        <v>37.667050000000003</v>
      </c>
      <c r="J118" s="626">
        <v>37.667050000000003</v>
      </c>
      <c r="K118" s="636" t="s">
        <v>289</v>
      </c>
    </row>
    <row r="119" spans="1:11" ht="14.4" customHeight="1" thickBot="1" x14ac:dyDescent="0.35">
      <c r="A119" s="646" t="s">
        <v>400</v>
      </c>
      <c r="B119" s="630">
        <v>0</v>
      </c>
      <c r="C119" s="630">
        <v>298.55883</v>
      </c>
      <c r="D119" s="631">
        <v>298.55883</v>
      </c>
      <c r="E119" s="632" t="s">
        <v>289</v>
      </c>
      <c r="F119" s="630">
        <v>0</v>
      </c>
      <c r="G119" s="631">
        <v>0</v>
      </c>
      <c r="H119" s="633">
        <v>5.5690499999999998</v>
      </c>
      <c r="I119" s="630">
        <v>31.767050000000001</v>
      </c>
      <c r="J119" s="631">
        <v>31.767050000000001</v>
      </c>
      <c r="K119" s="634" t="s">
        <v>289</v>
      </c>
    </row>
    <row r="120" spans="1:11" ht="14.4" customHeight="1" thickBot="1" x14ac:dyDescent="0.35">
      <c r="A120" s="647" t="s">
        <v>401</v>
      </c>
      <c r="B120" s="625">
        <v>0</v>
      </c>
      <c r="C120" s="625">
        <v>1.88083</v>
      </c>
      <c r="D120" s="626">
        <v>1.88083</v>
      </c>
      <c r="E120" s="635" t="s">
        <v>289</v>
      </c>
      <c r="F120" s="625">
        <v>0</v>
      </c>
      <c r="G120" s="626">
        <v>0</v>
      </c>
      <c r="H120" s="628">
        <v>0.85304999999999997</v>
      </c>
      <c r="I120" s="625">
        <v>0.85304999999999997</v>
      </c>
      <c r="J120" s="626">
        <v>0.85304999999999997</v>
      </c>
      <c r="K120" s="636" t="s">
        <v>289</v>
      </c>
    </row>
    <row r="121" spans="1:11" ht="14.4" customHeight="1" thickBot="1" x14ac:dyDescent="0.35">
      <c r="A121" s="647" t="s">
        <v>402</v>
      </c>
      <c r="B121" s="625">
        <v>0</v>
      </c>
      <c r="C121" s="625">
        <v>5</v>
      </c>
      <c r="D121" s="626">
        <v>5</v>
      </c>
      <c r="E121" s="635" t="s">
        <v>289</v>
      </c>
      <c r="F121" s="625">
        <v>0</v>
      </c>
      <c r="G121" s="626">
        <v>0</v>
      </c>
      <c r="H121" s="628">
        <v>0</v>
      </c>
      <c r="I121" s="625">
        <v>0</v>
      </c>
      <c r="J121" s="626">
        <v>0</v>
      </c>
      <c r="K121" s="636" t="s">
        <v>289</v>
      </c>
    </row>
    <row r="122" spans="1:11" ht="14.4" customHeight="1" thickBot="1" x14ac:dyDescent="0.35">
      <c r="A122" s="647" t="s">
        <v>403</v>
      </c>
      <c r="B122" s="625">
        <v>0</v>
      </c>
      <c r="C122" s="625">
        <v>194.39699999999999</v>
      </c>
      <c r="D122" s="626">
        <v>194.39699999999999</v>
      </c>
      <c r="E122" s="635" t="s">
        <v>289</v>
      </c>
      <c r="F122" s="625">
        <v>0</v>
      </c>
      <c r="G122" s="626">
        <v>0</v>
      </c>
      <c r="H122" s="628">
        <v>4.7160000000000002</v>
      </c>
      <c r="I122" s="625">
        <v>30.914000000000001</v>
      </c>
      <c r="J122" s="626">
        <v>30.914000000000001</v>
      </c>
      <c r="K122" s="636" t="s">
        <v>289</v>
      </c>
    </row>
    <row r="123" spans="1:11" ht="14.4" customHeight="1" thickBot="1" x14ac:dyDescent="0.35">
      <c r="A123" s="647" t="s">
        <v>404</v>
      </c>
      <c r="B123" s="625">
        <v>0</v>
      </c>
      <c r="C123" s="625">
        <v>97.281000000000006</v>
      </c>
      <c r="D123" s="626">
        <v>97.281000000000006</v>
      </c>
      <c r="E123" s="635" t="s">
        <v>289</v>
      </c>
      <c r="F123" s="625">
        <v>0</v>
      </c>
      <c r="G123" s="626">
        <v>0</v>
      </c>
      <c r="H123" s="628">
        <v>0</v>
      </c>
      <c r="I123" s="625">
        <v>0</v>
      </c>
      <c r="J123" s="626">
        <v>0</v>
      </c>
      <c r="K123" s="636" t="s">
        <v>289</v>
      </c>
    </row>
    <row r="124" spans="1:11" ht="14.4" customHeight="1" thickBot="1" x14ac:dyDescent="0.35">
      <c r="A124" s="649" t="s">
        <v>405</v>
      </c>
      <c r="B124" s="625">
        <v>0</v>
      </c>
      <c r="C124" s="625">
        <v>27.6</v>
      </c>
      <c r="D124" s="626">
        <v>27.6</v>
      </c>
      <c r="E124" s="635" t="s">
        <v>289</v>
      </c>
      <c r="F124" s="625">
        <v>0</v>
      </c>
      <c r="G124" s="626">
        <v>0</v>
      </c>
      <c r="H124" s="628">
        <v>3</v>
      </c>
      <c r="I124" s="625">
        <v>5.9</v>
      </c>
      <c r="J124" s="626">
        <v>5.9</v>
      </c>
      <c r="K124" s="636" t="s">
        <v>289</v>
      </c>
    </row>
    <row r="125" spans="1:11" ht="14.4" customHeight="1" thickBot="1" x14ac:dyDescent="0.35">
      <c r="A125" s="647" t="s">
        <v>406</v>
      </c>
      <c r="B125" s="625">
        <v>0</v>
      </c>
      <c r="C125" s="625">
        <v>27.6</v>
      </c>
      <c r="D125" s="626">
        <v>27.6</v>
      </c>
      <c r="E125" s="635" t="s">
        <v>289</v>
      </c>
      <c r="F125" s="625">
        <v>0</v>
      </c>
      <c r="G125" s="626">
        <v>0</v>
      </c>
      <c r="H125" s="628">
        <v>3</v>
      </c>
      <c r="I125" s="625">
        <v>5.9</v>
      </c>
      <c r="J125" s="626">
        <v>5.9</v>
      </c>
      <c r="K125" s="636" t="s">
        <v>289</v>
      </c>
    </row>
    <row r="126" spans="1:11" ht="14.4" customHeight="1" thickBot="1" x14ac:dyDescent="0.35">
      <c r="A126" s="649" t="s">
        <v>407</v>
      </c>
      <c r="B126" s="625">
        <v>0</v>
      </c>
      <c r="C126" s="625">
        <v>1.5</v>
      </c>
      <c r="D126" s="626">
        <v>1.5</v>
      </c>
      <c r="E126" s="635" t="s">
        <v>301</v>
      </c>
      <c r="F126" s="625">
        <v>0</v>
      </c>
      <c r="G126" s="626">
        <v>0</v>
      </c>
      <c r="H126" s="628">
        <v>0</v>
      </c>
      <c r="I126" s="625">
        <v>0</v>
      </c>
      <c r="J126" s="626">
        <v>0</v>
      </c>
      <c r="K126" s="636" t="s">
        <v>289</v>
      </c>
    </row>
    <row r="127" spans="1:11" ht="14.4" customHeight="1" thickBot="1" x14ac:dyDescent="0.35">
      <c r="A127" s="647" t="s">
        <v>408</v>
      </c>
      <c r="B127" s="625">
        <v>0</v>
      </c>
      <c r="C127" s="625">
        <v>1.5</v>
      </c>
      <c r="D127" s="626">
        <v>1.5</v>
      </c>
      <c r="E127" s="635" t="s">
        <v>301</v>
      </c>
      <c r="F127" s="625">
        <v>0</v>
      </c>
      <c r="G127" s="626">
        <v>0</v>
      </c>
      <c r="H127" s="628">
        <v>0</v>
      </c>
      <c r="I127" s="625">
        <v>0</v>
      </c>
      <c r="J127" s="626">
        <v>0</v>
      </c>
      <c r="K127" s="636" t="s">
        <v>289</v>
      </c>
    </row>
    <row r="128" spans="1:11" ht="14.4" customHeight="1" thickBot="1" x14ac:dyDescent="0.35">
      <c r="A128" s="644" t="s">
        <v>409</v>
      </c>
      <c r="B128" s="625">
        <v>1830.00422594517</v>
      </c>
      <c r="C128" s="625">
        <v>1932.9524899999999</v>
      </c>
      <c r="D128" s="626">
        <v>102.948264054834</v>
      </c>
      <c r="E128" s="627">
        <v>1.056255752088</v>
      </c>
      <c r="F128" s="625">
        <v>1884</v>
      </c>
      <c r="G128" s="626">
        <v>471.00000000000102</v>
      </c>
      <c r="H128" s="628">
        <v>144.15700000000001</v>
      </c>
      <c r="I128" s="625">
        <v>439.77199999999999</v>
      </c>
      <c r="J128" s="626">
        <v>-31.228000000000002</v>
      </c>
      <c r="K128" s="629">
        <v>0.23342462845</v>
      </c>
    </row>
    <row r="129" spans="1:11" ht="14.4" customHeight="1" thickBot="1" x14ac:dyDescent="0.35">
      <c r="A129" s="645" t="s">
        <v>410</v>
      </c>
      <c r="B129" s="625">
        <v>1830.00422594517</v>
      </c>
      <c r="C129" s="625">
        <v>1836.3420000000001</v>
      </c>
      <c r="D129" s="626">
        <v>6.3377740548329999</v>
      </c>
      <c r="E129" s="627">
        <v>1.0034632565129999</v>
      </c>
      <c r="F129" s="625">
        <v>1884</v>
      </c>
      <c r="G129" s="626">
        <v>471.00000000000102</v>
      </c>
      <c r="H129" s="628">
        <v>144.15700000000001</v>
      </c>
      <c r="I129" s="625">
        <v>439.77199999999999</v>
      </c>
      <c r="J129" s="626">
        <v>-31.228000000000002</v>
      </c>
      <c r="K129" s="629">
        <v>0.23342462845</v>
      </c>
    </row>
    <row r="130" spans="1:11" ht="14.4" customHeight="1" thickBot="1" x14ac:dyDescent="0.35">
      <c r="A130" s="646" t="s">
        <v>411</v>
      </c>
      <c r="B130" s="630">
        <v>1830.00422594517</v>
      </c>
      <c r="C130" s="630">
        <v>1836.3420000000001</v>
      </c>
      <c r="D130" s="631">
        <v>6.3377740548329999</v>
      </c>
      <c r="E130" s="637">
        <v>1.0034632565129999</v>
      </c>
      <c r="F130" s="630">
        <v>1884</v>
      </c>
      <c r="G130" s="631">
        <v>471.00000000000102</v>
      </c>
      <c r="H130" s="633">
        <v>144.15700000000001</v>
      </c>
      <c r="I130" s="630">
        <v>439.77199999999999</v>
      </c>
      <c r="J130" s="631">
        <v>-31.228000000000002</v>
      </c>
      <c r="K130" s="638">
        <v>0.23342462845</v>
      </c>
    </row>
    <row r="131" spans="1:11" ht="14.4" customHeight="1" thickBot="1" x14ac:dyDescent="0.35">
      <c r="A131" s="647" t="s">
        <v>412</v>
      </c>
      <c r="B131" s="625">
        <v>73.000168575954007</v>
      </c>
      <c r="C131" s="625">
        <v>74.475999999999999</v>
      </c>
      <c r="D131" s="626">
        <v>1.4758314240449999</v>
      </c>
      <c r="E131" s="627">
        <v>1.020216822136</v>
      </c>
      <c r="F131" s="625">
        <v>78</v>
      </c>
      <c r="G131" s="626">
        <v>19.5</v>
      </c>
      <c r="H131" s="628">
        <v>6.4610000000000003</v>
      </c>
      <c r="I131" s="625">
        <v>19.382999999999999</v>
      </c>
      <c r="J131" s="626">
        <v>-0.11700000000000001</v>
      </c>
      <c r="K131" s="629">
        <v>0.2485</v>
      </c>
    </row>
    <row r="132" spans="1:11" ht="14.4" customHeight="1" thickBot="1" x14ac:dyDescent="0.35">
      <c r="A132" s="647" t="s">
        <v>413</v>
      </c>
      <c r="B132" s="625">
        <v>1061.00245012449</v>
      </c>
      <c r="C132" s="625">
        <v>1067.693</v>
      </c>
      <c r="D132" s="626">
        <v>6.6905498755070001</v>
      </c>
      <c r="E132" s="627">
        <v>1.006305875989</v>
      </c>
      <c r="F132" s="625">
        <v>1193</v>
      </c>
      <c r="G132" s="626">
        <v>298.25000000000102</v>
      </c>
      <c r="H132" s="628">
        <v>86.947000000000003</v>
      </c>
      <c r="I132" s="625">
        <v>260.84100000000001</v>
      </c>
      <c r="J132" s="626">
        <v>-37.408999999999999</v>
      </c>
      <c r="K132" s="629">
        <v>0.21864291701499999</v>
      </c>
    </row>
    <row r="133" spans="1:11" ht="14.4" customHeight="1" thickBot="1" x14ac:dyDescent="0.35">
      <c r="A133" s="647" t="s">
        <v>414</v>
      </c>
      <c r="B133" s="625">
        <v>593.00136939097501</v>
      </c>
      <c r="C133" s="625">
        <v>596.52800000000002</v>
      </c>
      <c r="D133" s="626">
        <v>3.5266306090250001</v>
      </c>
      <c r="E133" s="627">
        <v>1.005947086787</v>
      </c>
      <c r="F133" s="625">
        <v>604.00000000000102</v>
      </c>
      <c r="G133" s="626">
        <v>151</v>
      </c>
      <c r="H133" s="628">
        <v>50.345999999999997</v>
      </c>
      <c r="I133" s="625">
        <v>151.03800000000001</v>
      </c>
      <c r="J133" s="626">
        <v>3.7999999999E-2</v>
      </c>
      <c r="K133" s="629">
        <v>0.25006291390699997</v>
      </c>
    </row>
    <row r="134" spans="1:11" ht="14.4" customHeight="1" thickBot="1" x14ac:dyDescent="0.35">
      <c r="A134" s="647" t="s">
        <v>415</v>
      </c>
      <c r="B134" s="625">
        <v>103.000237853744</v>
      </c>
      <c r="C134" s="625">
        <v>97.644999999999996</v>
      </c>
      <c r="D134" s="626">
        <v>-5.3552378537439997</v>
      </c>
      <c r="E134" s="627">
        <v>0.94800751954200002</v>
      </c>
      <c r="F134" s="625">
        <v>9</v>
      </c>
      <c r="G134" s="626">
        <v>2.25</v>
      </c>
      <c r="H134" s="628">
        <v>0.40300000000000002</v>
      </c>
      <c r="I134" s="625">
        <v>8.51</v>
      </c>
      <c r="J134" s="626">
        <v>6.26</v>
      </c>
      <c r="K134" s="629">
        <v>0.94555555555500004</v>
      </c>
    </row>
    <row r="135" spans="1:11" ht="14.4" customHeight="1" thickBot="1" x14ac:dyDescent="0.35">
      <c r="A135" s="645" t="s">
        <v>416</v>
      </c>
      <c r="B135" s="625">
        <v>0</v>
      </c>
      <c r="C135" s="625">
        <v>96.610489999999999</v>
      </c>
      <c r="D135" s="626">
        <v>96.610489999999999</v>
      </c>
      <c r="E135" s="635" t="s">
        <v>289</v>
      </c>
      <c r="F135" s="625">
        <v>0</v>
      </c>
      <c r="G135" s="626">
        <v>0</v>
      </c>
      <c r="H135" s="628">
        <v>0</v>
      </c>
      <c r="I135" s="625">
        <v>0</v>
      </c>
      <c r="J135" s="626">
        <v>0</v>
      </c>
      <c r="K135" s="636" t="s">
        <v>289</v>
      </c>
    </row>
    <row r="136" spans="1:11" ht="14.4" customHeight="1" thickBot="1" x14ac:dyDescent="0.35">
      <c r="A136" s="646" t="s">
        <v>417</v>
      </c>
      <c r="B136" s="630">
        <v>0</v>
      </c>
      <c r="C136" s="630">
        <v>92.042490000000001</v>
      </c>
      <c r="D136" s="631">
        <v>92.042490000000001</v>
      </c>
      <c r="E136" s="632" t="s">
        <v>289</v>
      </c>
      <c r="F136" s="630">
        <v>0</v>
      </c>
      <c r="G136" s="631">
        <v>0</v>
      </c>
      <c r="H136" s="633">
        <v>0</v>
      </c>
      <c r="I136" s="630">
        <v>0</v>
      </c>
      <c r="J136" s="631">
        <v>0</v>
      </c>
      <c r="K136" s="634" t="s">
        <v>289</v>
      </c>
    </row>
    <row r="137" spans="1:11" ht="14.4" customHeight="1" thickBot="1" x14ac:dyDescent="0.35">
      <c r="A137" s="647" t="s">
        <v>418</v>
      </c>
      <c r="B137" s="625">
        <v>0</v>
      </c>
      <c r="C137" s="625">
        <v>92.042490000000001</v>
      </c>
      <c r="D137" s="626">
        <v>92.042490000000001</v>
      </c>
      <c r="E137" s="635" t="s">
        <v>289</v>
      </c>
      <c r="F137" s="625">
        <v>0</v>
      </c>
      <c r="G137" s="626">
        <v>0</v>
      </c>
      <c r="H137" s="628">
        <v>0</v>
      </c>
      <c r="I137" s="625">
        <v>0</v>
      </c>
      <c r="J137" s="626">
        <v>0</v>
      </c>
      <c r="K137" s="636" t="s">
        <v>289</v>
      </c>
    </row>
    <row r="138" spans="1:11" ht="14.4" customHeight="1" thickBot="1" x14ac:dyDescent="0.35">
      <c r="A138" s="646" t="s">
        <v>419</v>
      </c>
      <c r="B138" s="630">
        <v>0</v>
      </c>
      <c r="C138" s="630">
        <v>4.5679999999999996</v>
      </c>
      <c r="D138" s="631">
        <v>4.5679999999999996</v>
      </c>
      <c r="E138" s="632" t="s">
        <v>289</v>
      </c>
      <c r="F138" s="630">
        <v>0</v>
      </c>
      <c r="G138" s="631">
        <v>0</v>
      </c>
      <c r="H138" s="633">
        <v>0</v>
      </c>
      <c r="I138" s="630">
        <v>0</v>
      </c>
      <c r="J138" s="631">
        <v>0</v>
      </c>
      <c r="K138" s="634" t="s">
        <v>289</v>
      </c>
    </row>
    <row r="139" spans="1:11" ht="14.4" customHeight="1" thickBot="1" x14ac:dyDescent="0.35">
      <c r="A139" s="647" t="s">
        <v>420</v>
      </c>
      <c r="B139" s="625">
        <v>0</v>
      </c>
      <c r="C139" s="625">
        <v>4.5679999999999996</v>
      </c>
      <c r="D139" s="626">
        <v>4.5679999999999996</v>
      </c>
      <c r="E139" s="635" t="s">
        <v>301</v>
      </c>
      <c r="F139" s="625">
        <v>0</v>
      </c>
      <c r="G139" s="626">
        <v>0</v>
      </c>
      <c r="H139" s="628">
        <v>0</v>
      </c>
      <c r="I139" s="625">
        <v>0</v>
      </c>
      <c r="J139" s="626">
        <v>0</v>
      </c>
      <c r="K139" s="636" t="s">
        <v>289</v>
      </c>
    </row>
    <row r="140" spans="1:11" ht="14.4" customHeight="1" thickBot="1" x14ac:dyDescent="0.35">
      <c r="A140" s="644" t="s">
        <v>421</v>
      </c>
      <c r="B140" s="625">
        <v>0</v>
      </c>
      <c r="C140" s="625">
        <v>2.84632</v>
      </c>
      <c r="D140" s="626">
        <v>2.84632</v>
      </c>
      <c r="E140" s="635" t="s">
        <v>289</v>
      </c>
      <c r="F140" s="625">
        <v>0</v>
      </c>
      <c r="G140" s="626">
        <v>0</v>
      </c>
      <c r="H140" s="628">
        <v>4.2930000000000003E-2</v>
      </c>
      <c r="I140" s="625">
        <v>4.2930000000000003E-2</v>
      </c>
      <c r="J140" s="626">
        <v>4.2930000000000003E-2</v>
      </c>
      <c r="K140" s="636" t="s">
        <v>289</v>
      </c>
    </row>
    <row r="141" spans="1:11" ht="14.4" customHeight="1" thickBot="1" x14ac:dyDescent="0.35">
      <c r="A141" s="645" t="s">
        <v>422</v>
      </c>
      <c r="B141" s="625">
        <v>0</v>
      </c>
      <c r="C141" s="625">
        <v>2.84632</v>
      </c>
      <c r="D141" s="626">
        <v>2.84632</v>
      </c>
      <c r="E141" s="635" t="s">
        <v>289</v>
      </c>
      <c r="F141" s="625">
        <v>0</v>
      </c>
      <c r="G141" s="626">
        <v>0</v>
      </c>
      <c r="H141" s="628">
        <v>4.2930000000000003E-2</v>
      </c>
      <c r="I141" s="625">
        <v>4.2930000000000003E-2</v>
      </c>
      <c r="J141" s="626">
        <v>4.2930000000000003E-2</v>
      </c>
      <c r="K141" s="636" t="s">
        <v>289</v>
      </c>
    </row>
    <row r="142" spans="1:11" ht="14.4" customHeight="1" thickBot="1" x14ac:dyDescent="0.35">
      <c r="A142" s="646" t="s">
        <v>423</v>
      </c>
      <c r="B142" s="630">
        <v>0</v>
      </c>
      <c r="C142" s="630">
        <v>2.84632</v>
      </c>
      <c r="D142" s="631">
        <v>2.84632</v>
      </c>
      <c r="E142" s="632" t="s">
        <v>289</v>
      </c>
      <c r="F142" s="630">
        <v>0</v>
      </c>
      <c r="G142" s="631">
        <v>0</v>
      </c>
      <c r="H142" s="633">
        <v>4.2930000000000003E-2</v>
      </c>
      <c r="I142" s="630">
        <v>4.2930000000000003E-2</v>
      </c>
      <c r="J142" s="631">
        <v>4.2930000000000003E-2</v>
      </c>
      <c r="K142" s="634" t="s">
        <v>289</v>
      </c>
    </row>
    <row r="143" spans="1:11" ht="14.4" customHeight="1" thickBot="1" x14ac:dyDescent="0.35">
      <c r="A143" s="647" t="s">
        <v>424</v>
      </c>
      <c r="B143" s="625">
        <v>0</v>
      </c>
      <c r="C143" s="625">
        <v>2.84632</v>
      </c>
      <c r="D143" s="626">
        <v>2.84632</v>
      </c>
      <c r="E143" s="635" t="s">
        <v>289</v>
      </c>
      <c r="F143" s="625">
        <v>0</v>
      </c>
      <c r="G143" s="626">
        <v>0</v>
      </c>
      <c r="H143" s="628">
        <v>4.2930000000000003E-2</v>
      </c>
      <c r="I143" s="625">
        <v>4.2930000000000003E-2</v>
      </c>
      <c r="J143" s="626">
        <v>4.2930000000000003E-2</v>
      </c>
      <c r="K143" s="636" t="s">
        <v>289</v>
      </c>
    </row>
    <row r="144" spans="1:11" ht="14.4" customHeight="1" thickBot="1" x14ac:dyDescent="0.35">
      <c r="A144" s="643" t="s">
        <v>425</v>
      </c>
      <c r="B144" s="625">
        <v>55975.388680743898</v>
      </c>
      <c r="C144" s="625">
        <v>58577.900070000003</v>
      </c>
      <c r="D144" s="626">
        <v>2602.5113892561099</v>
      </c>
      <c r="E144" s="627">
        <v>1.0464938511470001</v>
      </c>
      <c r="F144" s="625">
        <v>59471.921685863301</v>
      </c>
      <c r="G144" s="626">
        <v>14867.9804214658</v>
      </c>
      <c r="H144" s="628">
        <v>6141.95651</v>
      </c>
      <c r="I144" s="625">
        <v>16353.713729999999</v>
      </c>
      <c r="J144" s="626">
        <v>1485.73330853417</v>
      </c>
      <c r="K144" s="629">
        <v>0.27498209686800001</v>
      </c>
    </row>
    <row r="145" spans="1:11" ht="14.4" customHeight="1" thickBot="1" x14ac:dyDescent="0.35">
      <c r="A145" s="644" t="s">
        <v>426</v>
      </c>
      <c r="B145" s="625">
        <v>55975.388680743898</v>
      </c>
      <c r="C145" s="625">
        <v>58479.182789999999</v>
      </c>
      <c r="D145" s="626">
        <v>2503.7941092561</v>
      </c>
      <c r="E145" s="627">
        <v>1.044730267502</v>
      </c>
      <c r="F145" s="625">
        <v>59453.214672039299</v>
      </c>
      <c r="G145" s="626">
        <v>14863.303668009799</v>
      </c>
      <c r="H145" s="628">
        <v>6141.95651</v>
      </c>
      <c r="I145" s="625">
        <v>16353.713729999999</v>
      </c>
      <c r="J145" s="626">
        <v>1490.4100619901899</v>
      </c>
      <c r="K145" s="629">
        <v>0.27506862026200002</v>
      </c>
    </row>
    <row r="146" spans="1:11" ht="14.4" customHeight="1" thickBot="1" x14ac:dyDescent="0.35">
      <c r="A146" s="645" t="s">
        <v>427</v>
      </c>
      <c r="B146" s="625">
        <v>55975.388680743898</v>
      </c>
      <c r="C146" s="625">
        <v>58479.182789999999</v>
      </c>
      <c r="D146" s="626">
        <v>2503.7941092561</v>
      </c>
      <c r="E146" s="627">
        <v>1.044730267502</v>
      </c>
      <c r="F146" s="625">
        <v>59453.214672039299</v>
      </c>
      <c r="G146" s="626">
        <v>14863.303668009799</v>
      </c>
      <c r="H146" s="628">
        <v>6141.95651</v>
      </c>
      <c r="I146" s="625">
        <v>16353.713729999999</v>
      </c>
      <c r="J146" s="626">
        <v>1490.4100619901899</v>
      </c>
      <c r="K146" s="629">
        <v>0.27506862026200002</v>
      </c>
    </row>
    <row r="147" spans="1:11" ht="14.4" customHeight="1" thickBot="1" x14ac:dyDescent="0.35">
      <c r="A147" s="646" t="s">
        <v>428</v>
      </c>
      <c r="B147" s="630">
        <v>76.383075826246994</v>
      </c>
      <c r="C147" s="630">
        <v>0.53991</v>
      </c>
      <c r="D147" s="631">
        <v>-75.843165826247002</v>
      </c>
      <c r="E147" s="637">
        <v>7.0684506239999997E-3</v>
      </c>
      <c r="F147" s="630">
        <v>0.45669018547099999</v>
      </c>
      <c r="G147" s="631">
        <v>0.114172546367</v>
      </c>
      <c r="H147" s="633">
        <v>0</v>
      </c>
      <c r="I147" s="630">
        <v>0.39337</v>
      </c>
      <c r="J147" s="631">
        <v>0.27919745363199999</v>
      </c>
      <c r="K147" s="638">
        <v>0</v>
      </c>
    </row>
    <row r="148" spans="1:11" ht="14.4" customHeight="1" thickBot="1" x14ac:dyDescent="0.35">
      <c r="A148" s="647" t="s">
        <v>429</v>
      </c>
      <c r="B148" s="625">
        <v>0.649188720464</v>
      </c>
      <c r="C148" s="625">
        <v>5.7029999999999997E-2</v>
      </c>
      <c r="D148" s="626">
        <v>-0.59215872046399998</v>
      </c>
      <c r="E148" s="627">
        <v>8.7848106723999994E-2</v>
      </c>
      <c r="F148" s="625">
        <v>5.2582380115000001E-2</v>
      </c>
      <c r="G148" s="626">
        <v>1.3145595027999999E-2</v>
      </c>
      <c r="H148" s="628">
        <v>0</v>
      </c>
      <c r="I148" s="625">
        <v>5.3719999999999997E-2</v>
      </c>
      <c r="J148" s="626">
        <v>4.0574404970999997E-2</v>
      </c>
      <c r="K148" s="629">
        <v>0</v>
      </c>
    </row>
    <row r="149" spans="1:11" ht="14.4" customHeight="1" thickBot="1" x14ac:dyDescent="0.35">
      <c r="A149" s="647" t="s">
        <v>430</v>
      </c>
      <c r="B149" s="625">
        <v>0</v>
      </c>
      <c r="C149" s="625">
        <v>0.41427999999999998</v>
      </c>
      <c r="D149" s="626">
        <v>0.41427999999999998</v>
      </c>
      <c r="E149" s="635" t="s">
        <v>301</v>
      </c>
      <c r="F149" s="625">
        <v>0.34028465039299999</v>
      </c>
      <c r="G149" s="626">
        <v>8.5071162598000002E-2</v>
      </c>
      <c r="H149" s="628">
        <v>0</v>
      </c>
      <c r="I149" s="625">
        <v>0</v>
      </c>
      <c r="J149" s="626">
        <v>-8.5071162598000002E-2</v>
      </c>
      <c r="K149" s="629">
        <v>0</v>
      </c>
    </row>
    <row r="150" spans="1:11" ht="14.4" customHeight="1" thickBot="1" x14ac:dyDescent="0.35">
      <c r="A150" s="647" t="s">
        <v>431</v>
      </c>
      <c r="B150" s="625">
        <v>75.516133172428994</v>
      </c>
      <c r="C150" s="625">
        <v>0</v>
      </c>
      <c r="D150" s="626">
        <v>-75.516133172428994</v>
      </c>
      <c r="E150" s="627">
        <v>0</v>
      </c>
      <c r="F150" s="625">
        <v>0</v>
      </c>
      <c r="G150" s="626">
        <v>0</v>
      </c>
      <c r="H150" s="628">
        <v>0</v>
      </c>
      <c r="I150" s="625">
        <v>0</v>
      </c>
      <c r="J150" s="626">
        <v>0</v>
      </c>
      <c r="K150" s="629">
        <v>0</v>
      </c>
    </row>
    <row r="151" spans="1:11" ht="14.4" customHeight="1" thickBot="1" x14ac:dyDescent="0.35">
      <c r="A151" s="647" t="s">
        <v>432</v>
      </c>
      <c r="B151" s="625">
        <v>0.217753933353</v>
      </c>
      <c r="C151" s="625">
        <v>6.8599999999999994E-2</v>
      </c>
      <c r="D151" s="626">
        <v>-0.14915393335300001</v>
      </c>
      <c r="E151" s="627">
        <v>0.31503449303300002</v>
      </c>
      <c r="F151" s="625">
        <v>6.3823154960999995E-2</v>
      </c>
      <c r="G151" s="626">
        <v>1.5955788740000001E-2</v>
      </c>
      <c r="H151" s="628">
        <v>0</v>
      </c>
      <c r="I151" s="625">
        <v>0.33965000000000001</v>
      </c>
      <c r="J151" s="626">
        <v>0.323694211259</v>
      </c>
      <c r="K151" s="629">
        <v>0</v>
      </c>
    </row>
    <row r="152" spans="1:11" ht="14.4" customHeight="1" thickBot="1" x14ac:dyDescent="0.35">
      <c r="A152" s="646" t="s">
        <v>433</v>
      </c>
      <c r="B152" s="630">
        <v>100.00001002686599</v>
      </c>
      <c r="C152" s="630">
        <v>121.66717</v>
      </c>
      <c r="D152" s="631">
        <v>21.667159973134002</v>
      </c>
      <c r="E152" s="637">
        <v>1.2166715780049999</v>
      </c>
      <c r="F152" s="630">
        <v>164.75798185379301</v>
      </c>
      <c r="G152" s="631">
        <v>41.189495463447997</v>
      </c>
      <c r="H152" s="633">
        <v>0</v>
      </c>
      <c r="I152" s="630">
        <v>0</v>
      </c>
      <c r="J152" s="631">
        <v>-41.189495463447997</v>
      </c>
      <c r="K152" s="638">
        <v>0</v>
      </c>
    </row>
    <row r="153" spans="1:11" ht="14.4" customHeight="1" thickBot="1" x14ac:dyDescent="0.35">
      <c r="A153" s="647" t="s">
        <v>434</v>
      </c>
      <c r="B153" s="625">
        <v>100.00001002686599</v>
      </c>
      <c r="C153" s="625">
        <v>121.66717</v>
      </c>
      <c r="D153" s="626">
        <v>21.667159973134002</v>
      </c>
      <c r="E153" s="627">
        <v>1.2166715780049999</v>
      </c>
      <c r="F153" s="625">
        <v>164.75798185379301</v>
      </c>
      <c r="G153" s="626">
        <v>41.189495463447997</v>
      </c>
      <c r="H153" s="628">
        <v>0</v>
      </c>
      <c r="I153" s="625">
        <v>0</v>
      </c>
      <c r="J153" s="626">
        <v>-41.189495463447997</v>
      </c>
      <c r="K153" s="629">
        <v>0</v>
      </c>
    </row>
    <row r="154" spans="1:11" ht="14.4" customHeight="1" thickBot="1" x14ac:dyDescent="0.35">
      <c r="A154" s="646" t="s">
        <v>435</v>
      </c>
      <c r="B154" s="630">
        <v>0</v>
      </c>
      <c r="C154" s="630">
        <v>45.041820000000001</v>
      </c>
      <c r="D154" s="631">
        <v>45.041820000000001</v>
      </c>
      <c r="E154" s="632" t="s">
        <v>289</v>
      </c>
      <c r="F154" s="630">
        <v>0</v>
      </c>
      <c r="G154" s="631">
        <v>0</v>
      </c>
      <c r="H154" s="633">
        <v>0</v>
      </c>
      <c r="I154" s="630">
        <v>0</v>
      </c>
      <c r="J154" s="631">
        <v>0</v>
      </c>
      <c r="K154" s="634" t="s">
        <v>289</v>
      </c>
    </row>
    <row r="155" spans="1:11" ht="14.4" customHeight="1" thickBot="1" x14ac:dyDescent="0.35">
      <c r="A155" s="647" t="s">
        <v>436</v>
      </c>
      <c r="B155" s="625">
        <v>0</v>
      </c>
      <c r="C155" s="625">
        <v>45.041820000000001</v>
      </c>
      <c r="D155" s="626">
        <v>45.041820000000001</v>
      </c>
      <c r="E155" s="635" t="s">
        <v>289</v>
      </c>
      <c r="F155" s="625">
        <v>0</v>
      </c>
      <c r="G155" s="626">
        <v>0</v>
      </c>
      <c r="H155" s="628">
        <v>0</v>
      </c>
      <c r="I155" s="625">
        <v>0</v>
      </c>
      <c r="J155" s="626">
        <v>0</v>
      </c>
      <c r="K155" s="636" t="s">
        <v>289</v>
      </c>
    </row>
    <row r="156" spans="1:11" ht="14.4" customHeight="1" thickBot="1" x14ac:dyDescent="0.35">
      <c r="A156" s="646" t="s">
        <v>437</v>
      </c>
      <c r="B156" s="630">
        <v>55799.005594890798</v>
      </c>
      <c r="C156" s="630">
        <v>54864.114220000003</v>
      </c>
      <c r="D156" s="631">
        <v>-934.89137489079405</v>
      </c>
      <c r="E156" s="637">
        <v>0.98324537570199999</v>
      </c>
      <c r="F156" s="630">
        <v>59288</v>
      </c>
      <c r="G156" s="631">
        <v>14822</v>
      </c>
      <c r="H156" s="633">
        <v>6141.95651</v>
      </c>
      <c r="I156" s="630">
        <v>16352.994420000001</v>
      </c>
      <c r="J156" s="631">
        <v>1530.99442</v>
      </c>
      <c r="K156" s="638">
        <v>0.275823006679</v>
      </c>
    </row>
    <row r="157" spans="1:11" ht="14.4" customHeight="1" thickBot="1" x14ac:dyDescent="0.35">
      <c r="A157" s="647" t="s">
        <v>438</v>
      </c>
      <c r="B157" s="625">
        <v>26725.002679679899</v>
      </c>
      <c r="C157" s="625">
        <v>26934.4768</v>
      </c>
      <c r="D157" s="626">
        <v>209.474120320141</v>
      </c>
      <c r="E157" s="627">
        <v>1.0078381328079999</v>
      </c>
      <c r="F157" s="625">
        <v>27981</v>
      </c>
      <c r="G157" s="626">
        <v>6995.25</v>
      </c>
      <c r="H157" s="628">
        <v>3284.0089699999999</v>
      </c>
      <c r="I157" s="625">
        <v>7893.5363799999996</v>
      </c>
      <c r="J157" s="626">
        <v>898.28638000000103</v>
      </c>
      <c r="K157" s="629">
        <v>0.28210344090599998</v>
      </c>
    </row>
    <row r="158" spans="1:11" ht="14.4" customHeight="1" thickBot="1" x14ac:dyDescent="0.35">
      <c r="A158" s="647" t="s">
        <v>439</v>
      </c>
      <c r="B158" s="625">
        <v>29074.002915210898</v>
      </c>
      <c r="C158" s="625">
        <v>27929.637419999999</v>
      </c>
      <c r="D158" s="626">
        <v>-1144.36549521093</v>
      </c>
      <c r="E158" s="627">
        <v>0.96063956179099996</v>
      </c>
      <c r="F158" s="625">
        <v>31307</v>
      </c>
      <c r="G158" s="626">
        <v>7826.75</v>
      </c>
      <c r="H158" s="628">
        <v>2857.9475400000001</v>
      </c>
      <c r="I158" s="625">
        <v>8459.4580399999995</v>
      </c>
      <c r="J158" s="626">
        <v>632.70804000000101</v>
      </c>
      <c r="K158" s="629">
        <v>0.27020979461400002</v>
      </c>
    </row>
    <row r="159" spans="1:11" ht="14.4" customHeight="1" thickBot="1" x14ac:dyDescent="0.35">
      <c r="A159" s="646" t="s">
        <v>440</v>
      </c>
      <c r="B159" s="630">
        <v>0</v>
      </c>
      <c r="C159" s="630">
        <v>3447.8196699999999</v>
      </c>
      <c r="D159" s="631">
        <v>3447.8196699999999</v>
      </c>
      <c r="E159" s="632" t="s">
        <v>289</v>
      </c>
      <c r="F159" s="630">
        <v>0</v>
      </c>
      <c r="G159" s="631">
        <v>0</v>
      </c>
      <c r="H159" s="633">
        <v>0</v>
      </c>
      <c r="I159" s="630">
        <v>0.32594000000000001</v>
      </c>
      <c r="J159" s="631">
        <v>0.32594000000000001</v>
      </c>
      <c r="K159" s="634" t="s">
        <v>289</v>
      </c>
    </row>
    <row r="160" spans="1:11" ht="14.4" customHeight="1" thickBot="1" x14ac:dyDescent="0.35">
      <c r="A160" s="647" t="s">
        <v>441</v>
      </c>
      <c r="B160" s="625">
        <v>0</v>
      </c>
      <c r="C160" s="625">
        <v>390.40561000000002</v>
      </c>
      <c r="D160" s="626">
        <v>390.40561000000002</v>
      </c>
      <c r="E160" s="635" t="s">
        <v>289</v>
      </c>
      <c r="F160" s="625">
        <v>0</v>
      </c>
      <c r="G160" s="626">
        <v>0</v>
      </c>
      <c r="H160" s="628">
        <v>0</v>
      </c>
      <c r="I160" s="625">
        <v>0</v>
      </c>
      <c r="J160" s="626">
        <v>0</v>
      </c>
      <c r="K160" s="636" t="s">
        <v>289</v>
      </c>
    </row>
    <row r="161" spans="1:11" ht="14.4" customHeight="1" thickBot="1" x14ac:dyDescent="0.35">
      <c r="A161" s="647" t="s">
        <v>442</v>
      </c>
      <c r="B161" s="625">
        <v>0</v>
      </c>
      <c r="C161" s="625">
        <v>3057.4140600000001</v>
      </c>
      <c r="D161" s="626">
        <v>3057.4140600000001</v>
      </c>
      <c r="E161" s="635" t="s">
        <v>289</v>
      </c>
      <c r="F161" s="625">
        <v>0</v>
      </c>
      <c r="G161" s="626">
        <v>0</v>
      </c>
      <c r="H161" s="628">
        <v>0</v>
      </c>
      <c r="I161" s="625">
        <v>0.32594000000000001</v>
      </c>
      <c r="J161" s="626">
        <v>0.32594000000000001</v>
      </c>
      <c r="K161" s="636" t="s">
        <v>289</v>
      </c>
    </row>
    <row r="162" spans="1:11" ht="14.4" customHeight="1" thickBot="1" x14ac:dyDescent="0.35">
      <c r="A162" s="644" t="s">
        <v>443</v>
      </c>
      <c r="B162" s="625">
        <v>0</v>
      </c>
      <c r="C162" s="625">
        <v>4.9172799999999999</v>
      </c>
      <c r="D162" s="626">
        <v>4.9172799999999999</v>
      </c>
      <c r="E162" s="635" t="s">
        <v>289</v>
      </c>
      <c r="F162" s="625">
        <v>4.5342107109069998</v>
      </c>
      <c r="G162" s="626">
        <v>1.1335526777260001</v>
      </c>
      <c r="H162" s="628">
        <v>0</v>
      </c>
      <c r="I162" s="625">
        <v>0</v>
      </c>
      <c r="J162" s="626">
        <v>-1.1335526777260001</v>
      </c>
      <c r="K162" s="629">
        <v>0</v>
      </c>
    </row>
    <row r="163" spans="1:11" ht="14.4" customHeight="1" thickBot="1" x14ac:dyDescent="0.35">
      <c r="A163" s="650" t="s">
        <v>444</v>
      </c>
      <c r="B163" s="630">
        <v>0</v>
      </c>
      <c r="C163" s="630">
        <v>4.9172799999999999</v>
      </c>
      <c r="D163" s="631">
        <v>4.9172799999999999</v>
      </c>
      <c r="E163" s="632" t="s">
        <v>289</v>
      </c>
      <c r="F163" s="630">
        <v>4.5342107109069998</v>
      </c>
      <c r="G163" s="631">
        <v>1.1335526777260001</v>
      </c>
      <c r="H163" s="633">
        <v>0</v>
      </c>
      <c r="I163" s="630">
        <v>0</v>
      </c>
      <c r="J163" s="631">
        <v>-1.1335526777260001</v>
      </c>
      <c r="K163" s="638">
        <v>0</v>
      </c>
    </row>
    <row r="164" spans="1:11" ht="14.4" customHeight="1" thickBot="1" x14ac:dyDescent="0.35">
      <c r="A164" s="646" t="s">
        <v>445</v>
      </c>
      <c r="B164" s="630">
        <v>0</v>
      </c>
      <c r="C164" s="630">
        <v>-1.3999999999999999E-4</v>
      </c>
      <c r="D164" s="631">
        <v>-1.3999999999999999E-4</v>
      </c>
      <c r="E164" s="632" t="s">
        <v>289</v>
      </c>
      <c r="F164" s="630">
        <v>0</v>
      </c>
      <c r="G164" s="631">
        <v>0</v>
      </c>
      <c r="H164" s="633">
        <v>0</v>
      </c>
      <c r="I164" s="630">
        <v>0</v>
      </c>
      <c r="J164" s="631">
        <v>0</v>
      </c>
      <c r="K164" s="634" t="s">
        <v>289</v>
      </c>
    </row>
    <row r="165" spans="1:11" ht="14.4" customHeight="1" thickBot="1" x14ac:dyDescent="0.35">
      <c r="A165" s="647" t="s">
        <v>446</v>
      </c>
      <c r="B165" s="625">
        <v>0</v>
      </c>
      <c r="C165" s="625">
        <v>-1.3999999999999999E-4</v>
      </c>
      <c r="D165" s="626">
        <v>-1.3999999999999999E-4</v>
      </c>
      <c r="E165" s="635" t="s">
        <v>289</v>
      </c>
      <c r="F165" s="625">
        <v>0</v>
      </c>
      <c r="G165" s="626">
        <v>0</v>
      </c>
      <c r="H165" s="628">
        <v>0</v>
      </c>
      <c r="I165" s="625">
        <v>0</v>
      </c>
      <c r="J165" s="626">
        <v>0</v>
      </c>
      <c r="K165" s="636" t="s">
        <v>289</v>
      </c>
    </row>
    <row r="166" spans="1:11" ht="14.4" customHeight="1" thickBot="1" x14ac:dyDescent="0.35">
      <c r="A166" s="646" t="s">
        <v>447</v>
      </c>
      <c r="B166" s="630">
        <v>0</v>
      </c>
      <c r="C166" s="630">
        <v>4.9174199999999999</v>
      </c>
      <c r="D166" s="631">
        <v>4.9174199999999999</v>
      </c>
      <c r="E166" s="632" t="s">
        <v>301</v>
      </c>
      <c r="F166" s="630">
        <v>4.5342107109069998</v>
      </c>
      <c r="G166" s="631">
        <v>1.1335526777260001</v>
      </c>
      <c r="H166" s="633">
        <v>0</v>
      </c>
      <c r="I166" s="630">
        <v>0</v>
      </c>
      <c r="J166" s="631">
        <v>-1.1335526777260001</v>
      </c>
      <c r="K166" s="638">
        <v>0</v>
      </c>
    </row>
    <row r="167" spans="1:11" ht="14.4" customHeight="1" thickBot="1" x14ac:dyDescent="0.35">
      <c r="A167" s="647" t="s">
        <v>448</v>
      </c>
      <c r="B167" s="625">
        <v>0</v>
      </c>
      <c r="C167" s="625">
        <v>4.9174199999999999</v>
      </c>
      <c r="D167" s="626">
        <v>4.9174199999999999</v>
      </c>
      <c r="E167" s="635" t="s">
        <v>301</v>
      </c>
      <c r="F167" s="625">
        <v>4.5342107109069998</v>
      </c>
      <c r="G167" s="626">
        <v>1.1335526777260001</v>
      </c>
      <c r="H167" s="628">
        <v>0</v>
      </c>
      <c r="I167" s="625">
        <v>0</v>
      </c>
      <c r="J167" s="626">
        <v>-1.1335526777260001</v>
      </c>
      <c r="K167" s="629">
        <v>0</v>
      </c>
    </row>
    <row r="168" spans="1:11" ht="14.4" customHeight="1" thickBot="1" x14ac:dyDescent="0.35">
      <c r="A168" s="644" t="s">
        <v>449</v>
      </c>
      <c r="B168" s="625">
        <v>0</v>
      </c>
      <c r="C168" s="625">
        <v>93.8</v>
      </c>
      <c r="D168" s="626">
        <v>93.8</v>
      </c>
      <c r="E168" s="635" t="s">
        <v>301</v>
      </c>
      <c r="F168" s="625">
        <v>14.172803113162001</v>
      </c>
      <c r="G168" s="626">
        <v>3.5432007782900001</v>
      </c>
      <c r="H168" s="628">
        <v>0</v>
      </c>
      <c r="I168" s="625">
        <v>0</v>
      </c>
      <c r="J168" s="626">
        <v>-3.5432007782900001</v>
      </c>
      <c r="K168" s="629">
        <v>0</v>
      </c>
    </row>
    <row r="169" spans="1:11" ht="14.4" customHeight="1" thickBot="1" x14ac:dyDescent="0.35">
      <c r="A169" s="650" t="s">
        <v>450</v>
      </c>
      <c r="B169" s="630">
        <v>0</v>
      </c>
      <c r="C169" s="630">
        <v>93.8</v>
      </c>
      <c r="D169" s="631">
        <v>93.8</v>
      </c>
      <c r="E169" s="632" t="s">
        <v>301</v>
      </c>
      <c r="F169" s="630">
        <v>14.172803113162001</v>
      </c>
      <c r="G169" s="631">
        <v>3.5432007782900001</v>
      </c>
      <c r="H169" s="633">
        <v>0</v>
      </c>
      <c r="I169" s="630">
        <v>0</v>
      </c>
      <c r="J169" s="631">
        <v>-3.5432007782900001</v>
      </c>
      <c r="K169" s="638">
        <v>0</v>
      </c>
    </row>
    <row r="170" spans="1:11" ht="14.4" customHeight="1" thickBot="1" x14ac:dyDescent="0.35">
      <c r="A170" s="646" t="s">
        <v>451</v>
      </c>
      <c r="B170" s="630">
        <v>0</v>
      </c>
      <c r="C170" s="630">
        <v>93.8</v>
      </c>
      <c r="D170" s="631">
        <v>93.8</v>
      </c>
      <c r="E170" s="632" t="s">
        <v>301</v>
      </c>
      <c r="F170" s="630">
        <v>14.172803113162001</v>
      </c>
      <c r="G170" s="631">
        <v>3.5432007782900001</v>
      </c>
      <c r="H170" s="633">
        <v>0</v>
      </c>
      <c r="I170" s="630">
        <v>0</v>
      </c>
      <c r="J170" s="631">
        <v>-3.5432007782900001</v>
      </c>
      <c r="K170" s="638">
        <v>0</v>
      </c>
    </row>
    <row r="171" spans="1:11" ht="14.4" customHeight="1" thickBot="1" x14ac:dyDescent="0.35">
      <c r="A171" s="647" t="s">
        <v>452</v>
      </c>
      <c r="B171" s="625">
        <v>0</v>
      </c>
      <c r="C171" s="625">
        <v>93.8</v>
      </c>
      <c r="D171" s="626">
        <v>93.8</v>
      </c>
      <c r="E171" s="635" t="s">
        <v>301</v>
      </c>
      <c r="F171" s="625">
        <v>14.172803113162001</v>
      </c>
      <c r="G171" s="626">
        <v>3.5432007782900001</v>
      </c>
      <c r="H171" s="628">
        <v>0</v>
      </c>
      <c r="I171" s="625">
        <v>0</v>
      </c>
      <c r="J171" s="626">
        <v>-3.5432007782900001</v>
      </c>
      <c r="K171" s="629">
        <v>0</v>
      </c>
    </row>
    <row r="172" spans="1:11" ht="14.4" customHeight="1" thickBot="1" x14ac:dyDescent="0.35">
      <c r="A172" s="643" t="s">
        <v>453</v>
      </c>
      <c r="B172" s="625">
        <v>5710.2391833633901</v>
      </c>
      <c r="C172" s="625">
        <v>7253.6823100000001</v>
      </c>
      <c r="D172" s="626">
        <v>1543.44312663661</v>
      </c>
      <c r="E172" s="627">
        <v>1.270293953908</v>
      </c>
      <c r="F172" s="625">
        <v>5764.3193937791402</v>
      </c>
      <c r="G172" s="626">
        <v>1441.0798484447801</v>
      </c>
      <c r="H172" s="628">
        <v>573.92006000000003</v>
      </c>
      <c r="I172" s="625">
        <v>1939.75351</v>
      </c>
      <c r="J172" s="626">
        <v>498.67366155521597</v>
      </c>
      <c r="K172" s="629">
        <v>0.33651041475799998</v>
      </c>
    </row>
    <row r="173" spans="1:11" ht="14.4" customHeight="1" thickBot="1" x14ac:dyDescent="0.35">
      <c r="A173" s="648" t="s">
        <v>454</v>
      </c>
      <c r="B173" s="630">
        <v>5710.2391833633901</v>
      </c>
      <c r="C173" s="630">
        <v>7253.6823100000001</v>
      </c>
      <c r="D173" s="631">
        <v>1543.44312663661</v>
      </c>
      <c r="E173" s="637">
        <v>1.270293953908</v>
      </c>
      <c r="F173" s="630">
        <v>5764.3193937791402</v>
      </c>
      <c r="G173" s="631">
        <v>1441.0798484447801</v>
      </c>
      <c r="H173" s="633">
        <v>573.92006000000003</v>
      </c>
      <c r="I173" s="630">
        <v>1939.75351</v>
      </c>
      <c r="J173" s="631">
        <v>498.67366155521597</v>
      </c>
      <c r="K173" s="638">
        <v>0.33651041475799998</v>
      </c>
    </row>
    <row r="174" spans="1:11" ht="14.4" customHeight="1" thickBot="1" x14ac:dyDescent="0.35">
      <c r="A174" s="650" t="s">
        <v>41</v>
      </c>
      <c r="B174" s="630">
        <v>5710.2391833633901</v>
      </c>
      <c r="C174" s="630">
        <v>7253.6823100000001</v>
      </c>
      <c r="D174" s="631">
        <v>1543.44312663661</v>
      </c>
      <c r="E174" s="637">
        <v>1.270293953908</v>
      </c>
      <c r="F174" s="630">
        <v>5764.3193937791402</v>
      </c>
      <c r="G174" s="631">
        <v>1441.0798484447801</v>
      </c>
      <c r="H174" s="633">
        <v>573.92006000000003</v>
      </c>
      <c r="I174" s="630">
        <v>1939.75351</v>
      </c>
      <c r="J174" s="631">
        <v>498.67366155521597</v>
      </c>
      <c r="K174" s="638">
        <v>0.33651041475799998</v>
      </c>
    </row>
    <row r="175" spans="1:11" ht="14.4" customHeight="1" thickBot="1" x14ac:dyDescent="0.35">
      <c r="A175" s="649" t="s">
        <v>455</v>
      </c>
      <c r="B175" s="625">
        <v>0</v>
      </c>
      <c r="C175" s="625">
        <v>0</v>
      </c>
      <c r="D175" s="626">
        <v>0</v>
      </c>
      <c r="E175" s="627">
        <v>1</v>
      </c>
      <c r="F175" s="625">
        <v>370.14362211741002</v>
      </c>
      <c r="G175" s="626">
        <v>92.535905529351993</v>
      </c>
      <c r="H175" s="628">
        <v>-47.922899999999998</v>
      </c>
      <c r="I175" s="625">
        <v>5.8819999999999997</v>
      </c>
      <c r="J175" s="626">
        <v>-86.653905529352002</v>
      </c>
      <c r="K175" s="629">
        <v>1.5891128870999999E-2</v>
      </c>
    </row>
    <row r="176" spans="1:11" ht="14.4" customHeight="1" thickBot="1" x14ac:dyDescent="0.35">
      <c r="A176" s="647" t="s">
        <v>456</v>
      </c>
      <c r="B176" s="625">
        <v>0</v>
      </c>
      <c r="C176" s="625">
        <v>0</v>
      </c>
      <c r="D176" s="626">
        <v>0</v>
      </c>
      <c r="E176" s="627">
        <v>1</v>
      </c>
      <c r="F176" s="625">
        <v>370.14362211741002</v>
      </c>
      <c r="G176" s="626">
        <v>92.535905529351993</v>
      </c>
      <c r="H176" s="628">
        <v>-47.922899999999998</v>
      </c>
      <c r="I176" s="625">
        <v>5.8819999999999997</v>
      </c>
      <c r="J176" s="626">
        <v>-86.653905529352002</v>
      </c>
      <c r="K176" s="629">
        <v>1.5891128870999999E-2</v>
      </c>
    </row>
    <row r="177" spans="1:11" ht="14.4" customHeight="1" thickBot="1" x14ac:dyDescent="0.35">
      <c r="A177" s="646" t="s">
        <v>457</v>
      </c>
      <c r="B177" s="630">
        <v>65.082376034798003</v>
      </c>
      <c r="C177" s="630">
        <v>59.03</v>
      </c>
      <c r="D177" s="631">
        <v>-6.0523760347979998</v>
      </c>
      <c r="E177" s="637">
        <v>0.90700437808900003</v>
      </c>
      <c r="F177" s="630">
        <v>63.766530743296002</v>
      </c>
      <c r="G177" s="631">
        <v>15.941632685824001</v>
      </c>
      <c r="H177" s="633">
        <v>4.9050000000000002</v>
      </c>
      <c r="I177" s="630">
        <v>14.715</v>
      </c>
      <c r="J177" s="631">
        <v>-1.226632685824</v>
      </c>
      <c r="K177" s="638">
        <v>0.23076369105299999</v>
      </c>
    </row>
    <row r="178" spans="1:11" ht="14.4" customHeight="1" thickBot="1" x14ac:dyDescent="0.35">
      <c r="A178" s="647" t="s">
        <v>458</v>
      </c>
      <c r="B178" s="625">
        <v>65.082376034798003</v>
      </c>
      <c r="C178" s="625">
        <v>59.03</v>
      </c>
      <c r="D178" s="626">
        <v>-6.0523760347979998</v>
      </c>
      <c r="E178" s="627">
        <v>0.90700437808900003</v>
      </c>
      <c r="F178" s="625">
        <v>63.766530743296002</v>
      </c>
      <c r="G178" s="626">
        <v>15.941632685824001</v>
      </c>
      <c r="H178" s="628">
        <v>4.9050000000000002</v>
      </c>
      <c r="I178" s="625">
        <v>14.715</v>
      </c>
      <c r="J178" s="626">
        <v>-1.226632685824</v>
      </c>
      <c r="K178" s="629">
        <v>0.23076369105299999</v>
      </c>
    </row>
    <row r="179" spans="1:11" ht="14.4" customHeight="1" thickBot="1" x14ac:dyDescent="0.35">
      <c r="A179" s="646" t="s">
        <v>459</v>
      </c>
      <c r="B179" s="630">
        <v>165.015191100767</v>
      </c>
      <c r="C179" s="630">
        <v>129.59556000000001</v>
      </c>
      <c r="D179" s="631">
        <v>-35.419631100765997</v>
      </c>
      <c r="E179" s="637">
        <v>0.78535533083599995</v>
      </c>
      <c r="F179" s="630">
        <v>152.450004518464</v>
      </c>
      <c r="G179" s="631">
        <v>38.112501129614998</v>
      </c>
      <c r="H179" s="633">
        <v>11.34328</v>
      </c>
      <c r="I179" s="630">
        <v>29.369340000000001</v>
      </c>
      <c r="J179" s="631">
        <v>-8.7431611296150002</v>
      </c>
      <c r="K179" s="638">
        <v>0.192648993962</v>
      </c>
    </row>
    <row r="180" spans="1:11" ht="14.4" customHeight="1" thickBot="1" x14ac:dyDescent="0.35">
      <c r="A180" s="647" t="s">
        <v>460</v>
      </c>
      <c r="B180" s="625">
        <v>124.677433413537</v>
      </c>
      <c r="C180" s="625">
        <v>105.08</v>
      </c>
      <c r="D180" s="626">
        <v>-19.597433413535999</v>
      </c>
      <c r="E180" s="627">
        <v>0.84281491143200005</v>
      </c>
      <c r="F180" s="625">
        <v>122.72696649975001</v>
      </c>
      <c r="G180" s="626">
        <v>30.681741624937001</v>
      </c>
      <c r="H180" s="628">
        <v>9.25</v>
      </c>
      <c r="I180" s="625">
        <v>23.31</v>
      </c>
      <c r="J180" s="626">
        <v>-7.371741624937</v>
      </c>
      <c r="K180" s="629">
        <v>0.18993380725299999</v>
      </c>
    </row>
    <row r="181" spans="1:11" ht="14.4" customHeight="1" thickBot="1" x14ac:dyDescent="0.35">
      <c r="A181" s="647" t="s">
        <v>461</v>
      </c>
      <c r="B181" s="625">
        <v>19.560651888146001</v>
      </c>
      <c r="C181" s="625">
        <v>4.4824000000000002</v>
      </c>
      <c r="D181" s="626">
        <v>-15.078251888145999</v>
      </c>
      <c r="E181" s="627">
        <v>0.229153917038</v>
      </c>
      <c r="F181" s="625">
        <v>8.2749822244410005</v>
      </c>
      <c r="G181" s="626">
        <v>2.0687455561100001</v>
      </c>
      <c r="H181" s="628">
        <v>0</v>
      </c>
      <c r="I181" s="625">
        <v>0</v>
      </c>
      <c r="J181" s="626">
        <v>-2.0687455561100001</v>
      </c>
      <c r="K181" s="629">
        <v>0</v>
      </c>
    </row>
    <row r="182" spans="1:11" ht="14.4" customHeight="1" thickBot="1" x14ac:dyDescent="0.35">
      <c r="A182" s="647" t="s">
        <v>462</v>
      </c>
      <c r="B182" s="625">
        <v>20.777105799084001</v>
      </c>
      <c r="C182" s="625">
        <v>20.033159999999999</v>
      </c>
      <c r="D182" s="626">
        <v>-0.74394579908400005</v>
      </c>
      <c r="E182" s="627">
        <v>0.96419396395800006</v>
      </c>
      <c r="F182" s="625">
        <v>21.448055794272999</v>
      </c>
      <c r="G182" s="626">
        <v>5.3620139485680003</v>
      </c>
      <c r="H182" s="628">
        <v>2.09328</v>
      </c>
      <c r="I182" s="625">
        <v>6.0593399999999997</v>
      </c>
      <c r="J182" s="626">
        <v>0.69732605143100002</v>
      </c>
      <c r="K182" s="629">
        <v>0.28251231990999998</v>
      </c>
    </row>
    <row r="183" spans="1:11" ht="14.4" customHeight="1" thickBot="1" x14ac:dyDescent="0.35">
      <c r="A183" s="646" t="s">
        <v>463</v>
      </c>
      <c r="B183" s="630">
        <v>745.22421780198897</v>
      </c>
      <c r="C183" s="630">
        <v>770.65670999999998</v>
      </c>
      <c r="D183" s="631">
        <v>25.432492198009999</v>
      </c>
      <c r="E183" s="637">
        <v>1.034127302348</v>
      </c>
      <c r="F183" s="630">
        <v>754.10544010359001</v>
      </c>
      <c r="G183" s="631">
        <v>188.52636002589699</v>
      </c>
      <c r="H183" s="633">
        <v>70.019099999999995</v>
      </c>
      <c r="I183" s="630">
        <v>223.31969000000001</v>
      </c>
      <c r="J183" s="631">
        <v>34.793329974102001</v>
      </c>
      <c r="K183" s="638">
        <v>0.29613854790499999</v>
      </c>
    </row>
    <row r="184" spans="1:11" ht="14.4" customHeight="1" thickBot="1" x14ac:dyDescent="0.35">
      <c r="A184" s="647" t="s">
        <v>464</v>
      </c>
      <c r="B184" s="625">
        <v>745.22421780198897</v>
      </c>
      <c r="C184" s="625">
        <v>770.65670999999998</v>
      </c>
      <c r="D184" s="626">
        <v>25.432492198009999</v>
      </c>
      <c r="E184" s="627">
        <v>1.034127302348</v>
      </c>
      <c r="F184" s="625">
        <v>754.10544010359001</v>
      </c>
      <c r="G184" s="626">
        <v>188.52636002589699</v>
      </c>
      <c r="H184" s="628">
        <v>70.019099999999995</v>
      </c>
      <c r="I184" s="625">
        <v>223.31969000000001</v>
      </c>
      <c r="J184" s="626">
        <v>34.793329974102001</v>
      </c>
      <c r="K184" s="629">
        <v>0.29613854790499999</v>
      </c>
    </row>
    <row r="185" spans="1:11" ht="14.4" customHeight="1" thickBot="1" x14ac:dyDescent="0.35">
      <c r="A185" s="646" t="s">
        <v>465</v>
      </c>
      <c r="B185" s="630">
        <v>0</v>
      </c>
      <c r="C185" s="630">
        <v>1.0069999999999999</v>
      </c>
      <c r="D185" s="631">
        <v>1.0069999999999999</v>
      </c>
      <c r="E185" s="632" t="s">
        <v>301</v>
      </c>
      <c r="F185" s="630">
        <v>0</v>
      </c>
      <c r="G185" s="631">
        <v>0</v>
      </c>
      <c r="H185" s="633">
        <v>0.36799999999999999</v>
      </c>
      <c r="I185" s="630">
        <v>0.83399999999999996</v>
      </c>
      <c r="J185" s="631">
        <v>0.83399999999999996</v>
      </c>
      <c r="K185" s="634" t="s">
        <v>301</v>
      </c>
    </row>
    <row r="186" spans="1:11" ht="14.4" customHeight="1" thickBot="1" x14ac:dyDescent="0.35">
      <c r="A186" s="647" t="s">
        <v>466</v>
      </c>
      <c r="B186" s="625">
        <v>0</v>
      </c>
      <c r="C186" s="625">
        <v>1.0069999999999999</v>
      </c>
      <c r="D186" s="626">
        <v>1.0069999999999999</v>
      </c>
      <c r="E186" s="635" t="s">
        <v>301</v>
      </c>
      <c r="F186" s="625">
        <v>0</v>
      </c>
      <c r="G186" s="626">
        <v>0</v>
      </c>
      <c r="H186" s="628">
        <v>0.36799999999999999</v>
      </c>
      <c r="I186" s="625">
        <v>0.83399999999999996</v>
      </c>
      <c r="J186" s="626">
        <v>0.83399999999999996</v>
      </c>
      <c r="K186" s="636" t="s">
        <v>301</v>
      </c>
    </row>
    <row r="187" spans="1:11" ht="14.4" customHeight="1" thickBot="1" x14ac:dyDescent="0.35">
      <c r="A187" s="646" t="s">
        <v>467</v>
      </c>
      <c r="B187" s="630">
        <v>318.44877067894498</v>
      </c>
      <c r="C187" s="630">
        <v>304.68792999999999</v>
      </c>
      <c r="D187" s="631">
        <v>-13.760840678944</v>
      </c>
      <c r="E187" s="637">
        <v>0.95678789825499999</v>
      </c>
      <c r="F187" s="630">
        <v>365.37283679751999</v>
      </c>
      <c r="G187" s="631">
        <v>91.343209199379004</v>
      </c>
      <c r="H187" s="633">
        <v>28.24419</v>
      </c>
      <c r="I187" s="630">
        <v>68.596779999999995</v>
      </c>
      <c r="J187" s="631">
        <v>-22.746429199379001</v>
      </c>
      <c r="K187" s="638">
        <v>0.187744607949</v>
      </c>
    </row>
    <row r="188" spans="1:11" ht="14.4" customHeight="1" thickBot="1" x14ac:dyDescent="0.35">
      <c r="A188" s="647" t="s">
        <v>468</v>
      </c>
      <c r="B188" s="625">
        <v>318.44877067894498</v>
      </c>
      <c r="C188" s="625">
        <v>304.68792999999999</v>
      </c>
      <c r="D188" s="626">
        <v>-13.760840678944</v>
      </c>
      <c r="E188" s="627">
        <v>0.95678789825499999</v>
      </c>
      <c r="F188" s="625">
        <v>365.37283679751999</v>
      </c>
      <c r="G188" s="626">
        <v>91.343209199379004</v>
      </c>
      <c r="H188" s="628">
        <v>28.24419</v>
      </c>
      <c r="I188" s="625">
        <v>68.596779999999995</v>
      </c>
      <c r="J188" s="626">
        <v>-22.746429199379001</v>
      </c>
      <c r="K188" s="629">
        <v>0.187744607949</v>
      </c>
    </row>
    <row r="189" spans="1:11" ht="14.4" customHeight="1" thickBot="1" x14ac:dyDescent="0.35">
      <c r="A189" s="646" t="s">
        <v>469</v>
      </c>
      <c r="B189" s="630">
        <v>0</v>
      </c>
      <c r="C189" s="630">
        <v>1662.9827</v>
      </c>
      <c r="D189" s="631">
        <v>1662.9827</v>
      </c>
      <c r="E189" s="632" t="s">
        <v>301</v>
      </c>
      <c r="F189" s="630">
        <v>0</v>
      </c>
      <c r="G189" s="631">
        <v>0</v>
      </c>
      <c r="H189" s="633">
        <v>150.99318</v>
      </c>
      <c r="I189" s="630">
        <v>599.25349000000006</v>
      </c>
      <c r="J189" s="631">
        <v>599.25349000000006</v>
      </c>
      <c r="K189" s="634" t="s">
        <v>301</v>
      </c>
    </row>
    <row r="190" spans="1:11" ht="14.4" customHeight="1" thickBot="1" x14ac:dyDescent="0.35">
      <c r="A190" s="647" t="s">
        <v>470</v>
      </c>
      <c r="B190" s="625">
        <v>0</v>
      </c>
      <c r="C190" s="625">
        <v>1662.9827</v>
      </c>
      <c r="D190" s="626">
        <v>1662.9827</v>
      </c>
      <c r="E190" s="635" t="s">
        <v>301</v>
      </c>
      <c r="F190" s="625">
        <v>0</v>
      </c>
      <c r="G190" s="626">
        <v>0</v>
      </c>
      <c r="H190" s="628">
        <v>150.99318</v>
      </c>
      <c r="I190" s="625">
        <v>599.25349000000006</v>
      </c>
      <c r="J190" s="626">
        <v>599.25349000000006</v>
      </c>
      <c r="K190" s="636" t="s">
        <v>301</v>
      </c>
    </row>
    <row r="191" spans="1:11" ht="14.4" customHeight="1" thickBot="1" x14ac:dyDescent="0.35">
      <c r="A191" s="646" t="s">
        <v>471</v>
      </c>
      <c r="B191" s="630">
        <v>4416.4686277469</v>
      </c>
      <c r="C191" s="630">
        <v>4325.7224100000003</v>
      </c>
      <c r="D191" s="631">
        <v>-90.746217746894999</v>
      </c>
      <c r="E191" s="637">
        <v>0.97945276523000002</v>
      </c>
      <c r="F191" s="630">
        <v>4058.4809594988601</v>
      </c>
      <c r="G191" s="631">
        <v>1014.62023987471</v>
      </c>
      <c r="H191" s="633">
        <v>355.97021000000001</v>
      </c>
      <c r="I191" s="630">
        <v>997.78321000000005</v>
      </c>
      <c r="J191" s="631">
        <v>-16.837029874713998</v>
      </c>
      <c r="K191" s="638">
        <v>0.24585139611500001</v>
      </c>
    </row>
    <row r="192" spans="1:11" ht="14.4" customHeight="1" thickBot="1" x14ac:dyDescent="0.35">
      <c r="A192" s="647" t="s">
        <v>472</v>
      </c>
      <c r="B192" s="625">
        <v>4416.4686277469</v>
      </c>
      <c r="C192" s="625">
        <v>4325.7224100000003</v>
      </c>
      <c r="D192" s="626">
        <v>-90.746217746894999</v>
      </c>
      <c r="E192" s="627">
        <v>0.97945276523000002</v>
      </c>
      <c r="F192" s="625">
        <v>4058.4809594988601</v>
      </c>
      <c r="G192" s="626">
        <v>1014.62023987471</v>
      </c>
      <c r="H192" s="628">
        <v>355.97021000000001</v>
      </c>
      <c r="I192" s="625">
        <v>997.78321000000005</v>
      </c>
      <c r="J192" s="626">
        <v>-16.837029874713998</v>
      </c>
      <c r="K192" s="629">
        <v>0.24585139611500001</v>
      </c>
    </row>
    <row r="193" spans="1:11" ht="14.4" customHeight="1" thickBot="1" x14ac:dyDescent="0.35">
      <c r="A193" s="651" t="s">
        <v>473</v>
      </c>
      <c r="B193" s="630">
        <v>0</v>
      </c>
      <c r="C193" s="630">
        <v>3.3210000000000003E-2</v>
      </c>
      <c r="D193" s="631">
        <v>3.3210000000000003E-2</v>
      </c>
      <c r="E193" s="632" t="s">
        <v>301</v>
      </c>
      <c r="F193" s="630">
        <v>0</v>
      </c>
      <c r="G193" s="631">
        <v>0</v>
      </c>
      <c r="H193" s="633">
        <v>0</v>
      </c>
      <c r="I193" s="630">
        <v>0</v>
      </c>
      <c r="J193" s="631">
        <v>0</v>
      </c>
      <c r="K193" s="638">
        <v>0</v>
      </c>
    </row>
    <row r="194" spans="1:11" ht="14.4" customHeight="1" thickBot="1" x14ac:dyDescent="0.35">
      <c r="A194" s="648" t="s">
        <v>474</v>
      </c>
      <c r="B194" s="630">
        <v>0</v>
      </c>
      <c r="C194" s="630">
        <v>3.3210000000000003E-2</v>
      </c>
      <c r="D194" s="631">
        <v>3.3210000000000003E-2</v>
      </c>
      <c r="E194" s="632" t="s">
        <v>301</v>
      </c>
      <c r="F194" s="630">
        <v>0</v>
      </c>
      <c r="G194" s="631">
        <v>0</v>
      </c>
      <c r="H194" s="633">
        <v>0</v>
      </c>
      <c r="I194" s="630">
        <v>0</v>
      </c>
      <c r="J194" s="631">
        <v>0</v>
      </c>
      <c r="K194" s="638">
        <v>0</v>
      </c>
    </row>
    <row r="195" spans="1:11" ht="14.4" customHeight="1" thickBot="1" x14ac:dyDescent="0.35">
      <c r="A195" s="650" t="s">
        <v>475</v>
      </c>
      <c r="B195" s="630">
        <v>0</v>
      </c>
      <c r="C195" s="630">
        <v>3.3210000000000003E-2</v>
      </c>
      <c r="D195" s="631">
        <v>3.3210000000000003E-2</v>
      </c>
      <c r="E195" s="632" t="s">
        <v>301</v>
      </c>
      <c r="F195" s="630">
        <v>0</v>
      </c>
      <c r="G195" s="631">
        <v>0</v>
      </c>
      <c r="H195" s="633">
        <v>0</v>
      </c>
      <c r="I195" s="630">
        <v>0</v>
      </c>
      <c r="J195" s="631">
        <v>0</v>
      </c>
      <c r="K195" s="638">
        <v>0</v>
      </c>
    </row>
    <row r="196" spans="1:11" ht="14.4" customHeight="1" thickBot="1" x14ac:dyDescent="0.35">
      <c r="A196" s="646" t="s">
        <v>476</v>
      </c>
      <c r="B196" s="630">
        <v>0</v>
      </c>
      <c r="C196" s="630">
        <v>3.3210000000000003E-2</v>
      </c>
      <c r="D196" s="631">
        <v>3.3210000000000003E-2</v>
      </c>
      <c r="E196" s="632" t="s">
        <v>301</v>
      </c>
      <c r="F196" s="630">
        <v>0</v>
      </c>
      <c r="G196" s="631">
        <v>0</v>
      </c>
      <c r="H196" s="633">
        <v>0</v>
      </c>
      <c r="I196" s="630">
        <v>0</v>
      </c>
      <c r="J196" s="631">
        <v>0</v>
      </c>
      <c r="K196" s="638">
        <v>0</v>
      </c>
    </row>
    <row r="197" spans="1:11" ht="14.4" customHeight="1" thickBot="1" x14ac:dyDescent="0.35">
      <c r="A197" s="647" t="s">
        <v>477</v>
      </c>
      <c r="B197" s="625">
        <v>0</v>
      </c>
      <c r="C197" s="625">
        <v>3.3210000000000003E-2</v>
      </c>
      <c r="D197" s="626">
        <v>3.3210000000000003E-2</v>
      </c>
      <c r="E197" s="635" t="s">
        <v>301</v>
      </c>
      <c r="F197" s="625">
        <v>0</v>
      </c>
      <c r="G197" s="626">
        <v>0</v>
      </c>
      <c r="H197" s="628">
        <v>0</v>
      </c>
      <c r="I197" s="625">
        <v>0</v>
      </c>
      <c r="J197" s="626">
        <v>0</v>
      </c>
      <c r="K197" s="629">
        <v>0</v>
      </c>
    </row>
    <row r="198" spans="1:11" ht="14.4" customHeight="1" thickBot="1" x14ac:dyDescent="0.35">
      <c r="A198" s="652"/>
      <c r="B198" s="625">
        <v>-11035.9556798782</v>
      </c>
      <c r="C198" s="625">
        <v>-16354.16488</v>
      </c>
      <c r="D198" s="626">
        <v>-5318.2092001218298</v>
      </c>
      <c r="E198" s="627">
        <v>1.4818983832829999</v>
      </c>
      <c r="F198" s="625">
        <v>-17427.011015997199</v>
      </c>
      <c r="G198" s="626">
        <v>-4356.7527539992898</v>
      </c>
      <c r="H198" s="628">
        <v>134.08003999999301</v>
      </c>
      <c r="I198" s="625">
        <v>-2887.4295100000099</v>
      </c>
      <c r="J198" s="626">
        <v>1469.3232439992901</v>
      </c>
      <c r="K198" s="629">
        <v>0.165687019268</v>
      </c>
    </row>
    <row r="199" spans="1:11" ht="14.4" customHeight="1" thickBot="1" x14ac:dyDescent="0.35">
      <c r="A199" s="653" t="s">
        <v>53</v>
      </c>
      <c r="B199" s="639">
        <v>-11035.9556798782</v>
      </c>
      <c r="C199" s="639">
        <v>-16354.16488</v>
      </c>
      <c r="D199" s="640">
        <v>-5318.2092001218198</v>
      </c>
      <c r="E199" s="641" t="s">
        <v>301</v>
      </c>
      <c r="F199" s="639">
        <v>-17427.011015997199</v>
      </c>
      <c r="G199" s="640">
        <v>-4356.7527539992998</v>
      </c>
      <c r="H199" s="639">
        <v>134.08003999999301</v>
      </c>
      <c r="I199" s="639">
        <v>-2887.4295100000099</v>
      </c>
      <c r="J199" s="640">
        <v>1469.3232439992901</v>
      </c>
      <c r="K199" s="642">
        <v>0.165687019268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24" t="s">
        <v>158</v>
      </c>
      <c r="B1" s="525"/>
      <c r="C1" s="525"/>
      <c r="D1" s="525"/>
      <c r="E1" s="525"/>
      <c r="F1" s="525"/>
      <c r="G1" s="495"/>
      <c r="H1" s="526"/>
      <c r="I1" s="526"/>
    </row>
    <row r="2" spans="1:10" ht="14.4" customHeight="1" thickBot="1" x14ac:dyDescent="0.35">
      <c r="A2" s="351" t="s">
        <v>288</v>
      </c>
      <c r="B2" s="309"/>
      <c r="C2" s="309"/>
      <c r="D2" s="309"/>
      <c r="E2" s="309"/>
      <c r="F2" s="309"/>
    </row>
    <row r="3" spans="1:10" ht="14.4" customHeight="1" thickBot="1" x14ac:dyDescent="0.35">
      <c r="A3" s="351"/>
      <c r="B3" s="452"/>
      <c r="C3" s="451">
        <v>2015</v>
      </c>
      <c r="D3" s="396">
        <v>2016</v>
      </c>
      <c r="E3" s="11"/>
      <c r="F3" s="503">
        <v>2017</v>
      </c>
      <c r="G3" s="521"/>
      <c r="H3" s="521"/>
      <c r="I3" s="504"/>
    </row>
    <row r="4" spans="1:10" ht="14.4" customHeight="1" thickBot="1" x14ac:dyDescent="0.35">
      <c r="A4" s="400" t="s">
        <v>0</v>
      </c>
      <c r="B4" s="401" t="s">
        <v>224</v>
      </c>
      <c r="C4" s="522" t="s">
        <v>81</v>
      </c>
      <c r="D4" s="523"/>
      <c r="E4" s="402"/>
      <c r="F4" s="397" t="s">
        <v>81</v>
      </c>
      <c r="G4" s="398" t="s">
        <v>82</v>
      </c>
      <c r="H4" s="398" t="s">
        <v>56</v>
      </c>
      <c r="I4" s="399" t="s">
        <v>83</v>
      </c>
    </row>
    <row r="5" spans="1:10" ht="14.4" customHeight="1" x14ac:dyDescent="0.3">
      <c r="A5" s="654" t="s">
        <v>478</v>
      </c>
      <c r="B5" s="655" t="s">
        <v>479</v>
      </c>
      <c r="C5" s="656" t="s">
        <v>480</v>
      </c>
      <c r="D5" s="656" t="s">
        <v>480</v>
      </c>
      <c r="E5" s="656"/>
      <c r="F5" s="656" t="s">
        <v>480</v>
      </c>
      <c r="G5" s="656" t="s">
        <v>480</v>
      </c>
      <c r="H5" s="656" t="s">
        <v>480</v>
      </c>
      <c r="I5" s="657" t="s">
        <v>480</v>
      </c>
      <c r="J5" s="658" t="s">
        <v>61</v>
      </c>
    </row>
    <row r="6" spans="1:10" ht="14.4" customHeight="1" x14ac:dyDescent="0.3">
      <c r="A6" s="654" t="s">
        <v>478</v>
      </c>
      <c r="B6" s="655" t="s">
        <v>297</v>
      </c>
      <c r="C6" s="656">
        <v>794.96644000000094</v>
      </c>
      <c r="D6" s="656">
        <v>783.85595999999998</v>
      </c>
      <c r="E6" s="656"/>
      <c r="F6" s="656">
        <v>1405.0551600000008</v>
      </c>
      <c r="G6" s="656">
        <v>1182.9974597943326</v>
      </c>
      <c r="H6" s="656">
        <v>222.0577002056682</v>
      </c>
      <c r="I6" s="657">
        <v>1.1877076728839921</v>
      </c>
      <c r="J6" s="658" t="s">
        <v>1</v>
      </c>
    </row>
    <row r="7" spans="1:10" ht="14.4" customHeight="1" x14ac:dyDescent="0.3">
      <c r="A7" s="654" t="s">
        <v>478</v>
      </c>
      <c r="B7" s="655" t="s">
        <v>298</v>
      </c>
      <c r="C7" s="656">
        <v>0</v>
      </c>
      <c r="D7" s="656">
        <v>317.81439</v>
      </c>
      <c r="E7" s="656"/>
      <c r="F7" s="656">
        <v>499.26914999999997</v>
      </c>
      <c r="G7" s="656">
        <v>437.423816447825</v>
      </c>
      <c r="H7" s="656">
        <v>61.845333552174964</v>
      </c>
      <c r="I7" s="657">
        <v>1.1413853823836126</v>
      </c>
      <c r="J7" s="658" t="s">
        <v>1</v>
      </c>
    </row>
    <row r="8" spans="1:10" ht="14.4" customHeight="1" x14ac:dyDescent="0.3">
      <c r="A8" s="654" t="s">
        <v>478</v>
      </c>
      <c r="B8" s="655" t="s">
        <v>299</v>
      </c>
      <c r="C8" s="656">
        <v>454.36319000000003</v>
      </c>
      <c r="D8" s="656">
        <v>50.465440000000001</v>
      </c>
      <c r="E8" s="656"/>
      <c r="F8" s="656">
        <v>58.535339999999998</v>
      </c>
      <c r="G8" s="656">
        <v>65.0055148171285</v>
      </c>
      <c r="H8" s="656">
        <v>-6.4701748171285018</v>
      </c>
      <c r="I8" s="657">
        <v>0.90046729365454303</v>
      </c>
      <c r="J8" s="658" t="s">
        <v>1</v>
      </c>
    </row>
    <row r="9" spans="1:10" ht="14.4" customHeight="1" x14ac:dyDescent="0.3">
      <c r="A9" s="654" t="s">
        <v>478</v>
      </c>
      <c r="B9" s="655" t="s">
        <v>300</v>
      </c>
      <c r="C9" s="656" t="s">
        <v>480</v>
      </c>
      <c r="D9" s="656">
        <v>0</v>
      </c>
      <c r="E9" s="656"/>
      <c r="F9" s="656" t="s">
        <v>480</v>
      </c>
      <c r="G9" s="656" t="s">
        <v>480</v>
      </c>
      <c r="H9" s="656" t="s">
        <v>480</v>
      </c>
      <c r="I9" s="657" t="s">
        <v>480</v>
      </c>
      <c r="J9" s="658" t="s">
        <v>1</v>
      </c>
    </row>
    <row r="10" spans="1:10" ht="14.4" customHeight="1" x14ac:dyDescent="0.3">
      <c r="A10" s="654" t="s">
        <v>478</v>
      </c>
      <c r="B10" s="655" t="s">
        <v>302</v>
      </c>
      <c r="C10" s="656">
        <v>75.721299999999999</v>
      </c>
      <c r="D10" s="656">
        <v>174.91745000000003</v>
      </c>
      <c r="E10" s="656"/>
      <c r="F10" s="656">
        <v>403.67993999999999</v>
      </c>
      <c r="G10" s="656">
        <v>500</v>
      </c>
      <c r="H10" s="656">
        <v>-96.320060000000012</v>
      </c>
      <c r="I10" s="657">
        <v>0.80735988000000003</v>
      </c>
      <c r="J10" s="658" t="s">
        <v>1</v>
      </c>
    </row>
    <row r="11" spans="1:10" ht="14.4" customHeight="1" x14ac:dyDescent="0.3">
      <c r="A11" s="654" t="s">
        <v>478</v>
      </c>
      <c r="B11" s="655" t="s">
        <v>303</v>
      </c>
      <c r="C11" s="656">
        <v>26.221800000000002</v>
      </c>
      <c r="D11" s="656">
        <v>21.263470000000002</v>
      </c>
      <c r="E11" s="656"/>
      <c r="F11" s="656">
        <v>0</v>
      </c>
      <c r="G11" s="656">
        <v>12.5</v>
      </c>
      <c r="H11" s="656">
        <v>-12.5</v>
      </c>
      <c r="I11" s="657">
        <v>0</v>
      </c>
      <c r="J11" s="658" t="s">
        <v>1</v>
      </c>
    </row>
    <row r="12" spans="1:10" ht="14.4" customHeight="1" x14ac:dyDescent="0.3">
      <c r="A12" s="654" t="s">
        <v>478</v>
      </c>
      <c r="B12" s="655" t="s">
        <v>304</v>
      </c>
      <c r="C12" s="656">
        <v>265.63690999999898</v>
      </c>
      <c r="D12" s="656">
        <v>281.54366000000005</v>
      </c>
      <c r="E12" s="656"/>
      <c r="F12" s="656">
        <v>744.98910999999998</v>
      </c>
      <c r="G12" s="656">
        <v>365.20391978843497</v>
      </c>
      <c r="H12" s="656">
        <v>379.78519021156501</v>
      </c>
      <c r="I12" s="657">
        <v>2.0399263798471194</v>
      </c>
      <c r="J12" s="658" t="s">
        <v>1</v>
      </c>
    </row>
    <row r="13" spans="1:10" ht="14.4" customHeight="1" x14ac:dyDescent="0.3">
      <c r="A13" s="654" t="s">
        <v>478</v>
      </c>
      <c r="B13" s="655" t="s">
        <v>305</v>
      </c>
      <c r="C13" s="656">
        <v>344.99345000000102</v>
      </c>
      <c r="D13" s="656">
        <v>170.64724000000001</v>
      </c>
      <c r="E13" s="656"/>
      <c r="F13" s="656">
        <v>126.1717</v>
      </c>
      <c r="G13" s="656">
        <v>267.38747795803249</v>
      </c>
      <c r="H13" s="656">
        <v>-141.2157779580325</v>
      </c>
      <c r="I13" s="657">
        <v>0.4718683947488489</v>
      </c>
      <c r="J13" s="658" t="s">
        <v>1</v>
      </c>
    </row>
    <row r="14" spans="1:10" ht="14.4" customHeight="1" x14ac:dyDescent="0.3">
      <c r="A14" s="654" t="s">
        <v>478</v>
      </c>
      <c r="B14" s="655" t="s">
        <v>306</v>
      </c>
      <c r="C14" s="656">
        <v>44.354340000000001</v>
      </c>
      <c r="D14" s="656">
        <v>35.136690000000002</v>
      </c>
      <c r="E14" s="656"/>
      <c r="F14" s="656">
        <v>38.840140000000005</v>
      </c>
      <c r="G14" s="656">
        <v>32.5</v>
      </c>
      <c r="H14" s="656">
        <v>6.3401400000000052</v>
      </c>
      <c r="I14" s="657">
        <v>1.1950812307692309</v>
      </c>
      <c r="J14" s="658" t="s">
        <v>1</v>
      </c>
    </row>
    <row r="15" spans="1:10" ht="14.4" customHeight="1" x14ac:dyDescent="0.3">
      <c r="A15" s="654" t="s">
        <v>478</v>
      </c>
      <c r="B15" s="655" t="s">
        <v>481</v>
      </c>
      <c r="C15" s="656">
        <v>2006.2574300000012</v>
      </c>
      <c r="D15" s="656">
        <v>1835.6442999999999</v>
      </c>
      <c r="E15" s="656"/>
      <c r="F15" s="656">
        <v>3276.5405400000004</v>
      </c>
      <c r="G15" s="656">
        <v>2863.0181888057537</v>
      </c>
      <c r="H15" s="656">
        <v>413.52235119424677</v>
      </c>
      <c r="I15" s="657">
        <v>1.1444358100172387</v>
      </c>
      <c r="J15" s="658" t="s">
        <v>482</v>
      </c>
    </row>
    <row r="17" spans="1:10" ht="14.4" customHeight="1" x14ac:dyDescent="0.3">
      <c r="A17" s="654" t="s">
        <v>478</v>
      </c>
      <c r="B17" s="655" t="s">
        <v>479</v>
      </c>
      <c r="C17" s="656" t="s">
        <v>480</v>
      </c>
      <c r="D17" s="656" t="s">
        <v>480</v>
      </c>
      <c r="E17" s="656"/>
      <c r="F17" s="656" t="s">
        <v>480</v>
      </c>
      <c r="G17" s="656" t="s">
        <v>480</v>
      </c>
      <c r="H17" s="656" t="s">
        <v>480</v>
      </c>
      <c r="I17" s="657" t="s">
        <v>480</v>
      </c>
      <c r="J17" s="658" t="s">
        <v>61</v>
      </c>
    </row>
    <row r="18" spans="1:10" ht="14.4" customHeight="1" x14ac:dyDescent="0.3">
      <c r="A18" s="654" t="s">
        <v>483</v>
      </c>
      <c r="B18" s="655" t="s">
        <v>484</v>
      </c>
      <c r="C18" s="656" t="s">
        <v>480</v>
      </c>
      <c r="D18" s="656" t="s">
        <v>480</v>
      </c>
      <c r="E18" s="656"/>
      <c r="F18" s="656" t="s">
        <v>480</v>
      </c>
      <c r="G18" s="656" t="s">
        <v>480</v>
      </c>
      <c r="H18" s="656" t="s">
        <v>480</v>
      </c>
      <c r="I18" s="657" t="s">
        <v>480</v>
      </c>
      <c r="J18" s="658" t="s">
        <v>0</v>
      </c>
    </row>
    <row r="19" spans="1:10" ht="14.4" customHeight="1" x14ac:dyDescent="0.3">
      <c r="A19" s="654" t="s">
        <v>483</v>
      </c>
      <c r="B19" s="655" t="s">
        <v>297</v>
      </c>
      <c r="C19" s="656">
        <v>794.96644000000094</v>
      </c>
      <c r="D19" s="656">
        <v>783.85595999999998</v>
      </c>
      <c r="E19" s="656"/>
      <c r="F19" s="656">
        <v>1405.0551600000008</v>
      </c>
      <c r="G19" s="656">
        <v>1182.9974597943326</v>
      </c>
      <c r="H19" s="656">
        <v>222.0577002056682</v>
      </c>
      <c r="I19" s="657">
        <v>1.1877076728839921</v>
      </c>
      <c r="J19" s="658" t="s">
        <v>1</v>
      </c>
    </row>
    <row r="20" spans="1:10" ht="14.4" customHeight="1" x14ac:dyDescent="0.3">
      <c r="A20" s="654" t="s">
        <v>483</v>
      </c>
      <c r="B20" s="655" t="s">
        <v>298</v>
      </c>
      <c r="C20" s="656">
        <v>0</v>
      </c>
      <c r="D20" s="656">
        <v>317.81439</v>
      </c>
      <c r="E20" s="656"/>
      <c r="F20" s="656">
        <v>499.26914999999997</v>
      </c>
      <c r="G20" s="656">
        <v>437.423816447825</v>
      </c>
      <c r="H20" s="656">
        <v>61.845333552174964</v>
      </c>
      <c r="I20" s="657">
        <v>1.1413853823836126</v>
      </c>
      <c r="J20" s="658" t="s">
        <v>1</v>
      </c>
    </row>
    <row r="21" spans="1:10" ht="14.4" customHeight="1" x14ac:dyDescent="0.3">
      <c r="A21" s="654" t="s">
        <v>483</v>
      </c>
      <c r="B21" s="655" t="s">
        <v>299</v>
      </c>
      <c r="C21" s="656">
        <v>454.36319000000003</v>
      </c>
      <c r="D21" s="656">
        <v>50.465440000000001</v>
      </c>
      <c r="E21" s="656"/>
      <c r="F21" s="656">
        <v>58.535339999999998</v>
      </c>
      <c r="G21" s="656">
        <v>65.0055148171285</v>
      </c>
      <c r="H21" s="656">
        <v>-6.4701748171285018</v>
      </c>
      <c r="I21" s="657">
        <v>0.90046729365454303</v>
      </c>
      <c r="J21" s="658" t="s">
        <v>1</v>
      </c>
    </row>
    <row r="22" spans="1:10" ht="14.4" customHeight="1" x14ac:dyDescent="0.3">
      <c r="A22" s="654" t="s">
        <v>483</v>
      </c>
      <c r="B22" s="655" t="s">
        <v>300</v>
      </c>
      <c r="C22" s="656" t="s">
        <v>480</v>
      </c>
      <c r="D22" s="656">
        <v>0</v>
      </c>
      <c r="E22" s="656"/>
      <c r="F22" s="656" t="s">
        <v>480</v>
      </c>
      <c r="G22" s="656" t="s">
        <v>480</v>
      </c>
      <c r="H22" s="656" t="s">
        <v>480</v>
      </c>
      <c r="I22" s="657" t="s">
        <v>480</v>
      </c>
      <c r="J22" s="658" t="s">
        <v>1</v>
      </c>
    </row>
    <row r="23" spans="1:10" ht="14.4" customHeight="1" x14ac:dyDescent="0.3">
      <c r="A23" s="654" t="s">
        <v>483</v>
      </c>
      <c r="B23" s="655" t="s">
        <v>302</v>
      </c>
      <c r="C23" s="656">
        <v>75.721299999999999</v>
      </c>
      <c r="D23" s="656">
        <v>174.91745000000003</v>
      </c>
      <c r="E23" s="656"/>
      <c r="F23" s="656">
        <v>403.67993999999999</v>
      </c>
      <c r="G23" s="656">
        <v>500</v>
      </c>
      <c r="H23" s="656">
        <v>-96.320060000000012</v>
      </c>
      <c r="I23" s="657">
        <v>0.80735988000000003</v>
      </c>
      <c r="J23" s="658" t="s">
        <v>1</v>
      </c>
    </row>
    <row r="24" spans="1:10" ht="14.4" customHeight="1" x14ac:dyDescent="0.3">
      <c r="A24" s="654" t="s">
        <v>483</v>
      </c>
      <c r="B24" s="655" t="s">
        <v>303</v>
      </c>
      <c r="C24" s="656">
        <v>26.221800000000002</v>
      </c>
      <c r="D24" s="656">
        <v>21.263470000000002</v>
      </c>
      <c r="E24" s="656"/>
      <c r="F24" s="656">
        <v>0</v>
      </c>
      <c r="G24" s="656">
        <v>12.5</v>
      </c>
      <c r="H24" s="656">
        <v>-12.5</v>
      </c>
      <c r="I24" s="657">
        <v>0</v>
      </c>
      <c r="J24" s="658" t="s">
        <v>1</v>
      </c>
    </row>
    <row r="25" spans="1:10" ht="14.4" customHeight="1" x14ac:dyDescent="0.3">
      <c r="A25" s="654" t="s">
        <v>483</v>
      </c>
      <c r="B25" s="655" t="s">
        <v>304</v>
      </c>
      <c r="C25" s="656">
        <v>265.63690999999898</v>
      </c>
      <c r="D25" s="656">
        <v>281.54366000000005</v>
      </c>
      <c r="E25" s="656"/>
      <c r="F25" s="656">
        <v>744.98910999999998</v>
      </c>
      <c r="G25" s="656">
        <v>365.20391978843497</v>
      </c>
      <c r="H25" s="656">
        <v>379.78519021156501</v>
      </c>
      <c r="I25" s="657">
        <v>2.0399263798471194</v>
      </c>
      <c r="J25" s="658" t="s">
        <v>1</v>
      </c>
    </row>
    <row r="26" spans="1:10" ht="14.4" customHeight="1" x14ac:dyDescent="0.3">
      <c r="A26" s="654" t="s">
        <v>483</v>
      </c>
      <c r="B26" s="655" t="s">
        <v>305</v>
      </c>
      <c r="C26" s="656">
        <v>344.99345000000102</v>
      </c>
      <c r="D26" s="656">
        <v>170.64724000000001</v>
      </c>
      <c r="E26" s="656"/>
      <c r="F26" s="656">
        <v>126.1717</v>
      </c>
      <c r="G26" s="656">
        <v>267.38747795803249</v>
      </c>
      <c r="H26" s="656">
        <v>-141.2157779580325</v>
      </c>
      <c r="I26" s="657">
        <v>0.4718683947488489</v>
      </c>
      <c r="J26" s="658" t="s">
        <v>1</v>
      </c>
    </row>
    <row r="27" spans="1:10" ht="14.4" customHeight="1" x14ac:dyDescent="0.3">
      <c r="A27" s="654" t="s">
        <v>483</v>
      </c>
      <c r="B27" s="655" t="s">
        <v>306</v>
      </c>
      <c r="C27" s="656">
        <v>44.354340000000001</v>
      </c>
      <c r="D27" s="656">
        <v>35.136690000000002</v>
      </c>
      <c r="E27" s="656"/>
      <c r="F27" s="656">
        <v>38.840140000000005</v>
      </c>
      <c r="G27" s="656">
        <v>32.5</v>
      </c>
      <c r="H27" s="656">
        <v>6.3401400000000052</v>
      </c>
      <c r="I27" s="657">
        <v>1.1950812307692309</v>
      </c>
      <c r="J27" s="658" t="s">
        <v>1</v>
      </c>
    </row>
    <row r="28" spans="1:10" ht="14.4" customHeight="1" x14ac:dyDescent="0.3">
      <c r="A28" s="654" t="s">
        <v>483</v>
      </c>
      <c r="B28" s="655" t="s">
        <v>485</v>
      </c>
      <c r="C28" s="656">
        <v>2006.2574300000012</v>
      </c>
      <c r="D28" s="656">
        <v>1835.6442999999999</v>
      </c>
      <c r="E28" s="656"/>
      <c r="F28" s="656">
        <v>3276.5405400000004</v>
      </c>
      <c r="G28" s="656">
        <v>2863.0181888057537</v>
      </c>
      <c r="H28" s="656">
        <v>413.52235119424677</v>
      </c>
      <c r="I28" s="657">
        <v>1.1444358100172387</v>
      </c>
      <c r="J28" s="658" t="s">
        <v>486</v>
      </c>
    </row>
    <row r="29" spans="1:10" ht="14.4" customHeight="1" x14ac:dyDescent="0.3">
      <c r="A29" s="654" t="s">
        <v>480</v>
      </c>
      <c r="B29" s="655" t="s">
        <v>480</v>
      </c>
      <c r="C29" s="656" t="s">
        <v>480</v>
      </c>
      <c r="D29" s="656" t="s">
        <v>480</v>
      </c>
      <c r="E29" s="656"/>
      <c r="F29" s="656" t="s">
        <v>480</v>
      </c>
      <c r="G29" s="656" t="s">
        <v>480</v>
      </c>
      <c r="H29" s="656" t="s">
        <v>480</v>
      </c>
      <c r="I29" s="657" t="s">
        <v>480</v>
      </c>
      <c r="J29" s="658" t="s">
        <v>487</v>
      </c>
    </row>
    <row r="30" spans="1:10" ht="14.4" customHeight="1" x14ac:dyDescent="0.3">
      <c r="A30" s="654" t="s">
        <v>478</v>
      </c>
      <c r="B30" s="655" t="s">
        <v>481</v>
      </c>
      <c r="C30" s="656">
        <v>2006.2574300000012</v>
      </c>
      <c r="D30" s="656">
        <v>1835.6442999999999</v>
      </c>
      <c r="E30" s="656"/>
      <c r="F30" s="656">
        <v>3276.5405400000004</v>
      </c>
      <c r="G30" s="656">
        <v>2863.0181888057537</v>
      </c>
      <c r="H30" s="656">
        <v>413.52235119424677</v>
      </c>
      <c r="I30" s="657">
        <v>1.1444358100172387</v>
      </c>
      <c r="J30" s="658" t="s">
        <v>482</v>
      </c>
    </row>
  </sheetData>
  <mergeCells count="3">
    <mergeCell ref="F3:I3"/>
    <mergeCell ref="C4:D4"/>
    <mergeCell ref="A1:I1"/>
  </mergeCells>
  <conditionalFormatting sqref="F16 F31:F65537">
    <cfRule type="cellIs" dxfId="64" priority="18" stopIfTrue="1" operator="greaterThan">
      <formula>1</formula>
    </cfRule>
  </conditionalFormatting>
  <conditionalFormatting sqref="H5:H15">
    <cfRule type="expression" dxfId="63" priority="14">
      <formula>$H5&gt;0</formula>
    </cfRule>
  </conditionalFormatting>
  <conditionalFormatting sqref="I5:I15">
    <cfRule type="expression" dxfId="62" priority="15">
      <formula>$I5&gt;1</formula>
    </cfRule>
  </conditionalFormatting>
  <conditionalFormatting sqref="B5:B15">
    <cfRule type="expression" dxfId="61" priority="11">
      <formula>OR($J5="NS",$J5="SumaNS",$J5="Účet")</formula>
    </cfRule>
  </conditionalFormatting>
  <conditionalFormatting sqref="B5:D15 F5:I15">
    <cfRule type="expression" dxfId="60" priority="17">
      <formula>AND($J5&lt;&gt;"",$J5&lt;&gt;"mezeraKL")</formula>
    </cfRule>
  </conditionalFormatting>
  <conditionalFormatting sqref="B5:D15 F5:I15">
    <cfRule type="expression" dxfId="5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58" priority="13">
      <formula>OR($J5="SumaNS",$J5="NS")</formula>
    </cfRule>
  </conditionalFormatting>
  <conditionalFormatting sqref="A5:A15">
    <cfRule type="expression" dxfId="57" priority="9">
      <formula>AND($J5&lt;&gt;"mezeraKL",$J5&lt;&gt;"")</formula>
    </cfRule>
  </conditionalFormatting>
  <conditionalFormatting sqref="A5:A15">
    <cfRule type="expression" dxfId="56" priority="10">
      <formula>AND($J5&lt;&gt;"",$J5&lt;&gt;"mezeraKL")</formula>
    </cfRule>
  </conditionalFormatting>
  <conditionalFormatting sqref="H17:H30">
    <cfRule type="expression" dxfId="55" priority="5">
      <formula>$H17&gt;0</formula>
    </cfRule>
  </conditionalFormatting>
  <conditionalFormatting sqref="A17:A30">
    <cfRule type="expression" dxfId="54" priority="2">
      <formula>AND($J17&lt;&gt;"mezeraKL",$J17&lt;&gt;"")</formula>
    </cfRule>
  </conditionalFormatting>
  <conditionalFormatting sqref="I17:I30">
    <cfRule type="expression" dxfId="53" priority="6">
      <formula>$I17&gt;1</formula>
    </cfRule>
  </conditionalFormatting>
  <conditionalFormatting sqref="B17:B30">
    <cfRule type="expression" dxfId="52" priority="1">
      <formula>OR($J17="NS",$J17="SumaNS",$J17="Účet")</formula>
    </cfRule>
  </conditionalFormatting>
  <conditionalFormatting sqref="A17:D30 F17:I30">
    <cfRule type="expression" dxfId="51" priority="8">
      <formula>AND($J17&lt;&gt;"",$J17&lt;&gt;"mezeraKL")</formula>
    </cfRule>
  </conditionalFormatting>
  <conditionalFormatting sqref="B17:D30 F17:I30">
    <cfRule type="expression" dxfId="50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30 F17:I30">
    <cfRule type="expression" dxfId="49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8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312" bestFit="1" customWidth="1"/>
    <col min="6" max="6" width="18.77734375" style="316" customWidth="1"/>
    <col min="7" max="7" width="5" style="312" customWidth="1"/>
    <col min="8" max="8" width="12.44140625" style="312" hidden="1" customWidth="1" outlineLevel="1"/>
    <col min="9" max="9" width="8.5546875" style="312" hidden="1" customWidth="1" outlineLevel="1"/>
    <col min="10" max="10" width="25.77734375" style="312" customWidth="1" collapsed="1"/>
    <col min="11" max="11" width="8.77734375" style="312" customWidth="1"/>
    <col min="12" max="13" width="7.77734375" style="310" customWidth="1"/>
    <col min="14" max="14" width="12.6640625" style="310" customWidth="1"/>
    <col min="15" max="16384" width="8.88671875" style="231"/>
  </cols>
  <sheetData>
    <row r="1" spans="1:14" ht="18.600000000000001" customHeight="1" thickBot="1" x14ac:dyDescent="0.4">
      <c r="A1" s="531" t="s">
        <v>180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</row>
    <row r="2" spans="1:14" ht="14.4" customHeight="1" thickBot="1" x14ac:dyDescent="0.35">
      <c r="A2" s="351" t="s">
        <v>288</v>
      </c>
      <c r="B2" s="66"/>
      <c r="C2" s="314"/>
      <c r="D2" s="314"/>
      <c r="E2" s="314"/>
      <c r="F2" s="314"/>
      <c r="G2" s="314"/>
      <c r="H2" s="314"/>
      <c r="I2" s="314"/>
      <c r="J2" s="314"/>
      <c r="K2" s="314"/>
      <c r="L2" s="315"/>
      <c r="M2" s="315"/>
      <c r="N2" s="315"/>
    </row>
    <row r="3" spans="1:14" ht="14.4" customHeight="1" thickBot="1" x14ac:dyDescent="0.35">
      <c r="A3" s="66"/>
      <c r="B3" s="66"/>
      <c r="C3" s="527"/>
      <c r="D3" s="528"/>
      <c r="E3" s="528"/>
      <c r="F3" s="528"/>
      <c r="G3" s="528"/>
      <c r="H3" s="528"/>
      <c r="I3" s="528"/>
      <c r="J3" s="529" t="s">
        <v>142</v>
      </c>
      <c r="K3" s="530"/>
      <c r="L3" s="188">
        <f>IF(M3&lt;&gt;0,N3/M3,0)</f>
        <v>440.63176063463658</v>
      </c>
      <c r="M3" s="188">
        <f>SUBTOTAL(9,M5:M1048576)</f>
        <v>7347.8000000000011</v>
      </c>
      <c r="N3" s="189">
        <f>SUBTOTAL(9,N5:N1048576)</f>
        <v>3237674.050791183</v>
      </c>
    </row>
    <row r="4" spans="1:14" s="311" customFormat="1" ht="14.4" customHeight="1" thickBot="1" x14ac:dyDescent="0.35">
      <c r="A4" s="659" t="s">
        <v>4</v>
      </c>
      <c r="B4" s="660" t="s">
        <v>5</v>
      </c>
      <c r="C4" s="660" t="s">
        <v>0</v>
      </c>
      <c r="D4" s="660" t="s">
        <v>6</v>
      </c>
      <c r="E4" s="660" t="s">
        <v>7</v>
      </c>
      <c r="F4" s="660" t="s">
        <v>1</v>
      </c>
      <c r="G4" s="660" t="s">
        <v>8</v>
      </c>
      <c r="H4" s="660" t="s">
        <v>9</v>
      </c>
      <c r="I4" s="660" t="s">
        <v>10</v>
      </c>
      <c r="J4" s="661" t="s">
        <v>11</v>
      </c>
      <c r="K4" s="661" t="s">
        <v>12</v>
      </c>
      <c r="L4" s="662" t="s">
        <v>165</v>
      </c>
      <c r="M4" s="662" t="s">
        <v>13</v>
      </c>
      <c r="N4" s="663" t="s">
        <v>176</v>
      </c>
    </row>
    <row r="5" spans="1:14" ht="14.4" customHeight="1" x14ac:dyDescent="0.3">
      <c r="A5" s="666" t="s">
        <v>478</v>
      </c>
      <c r="B5" s="667" t="s">
        <v>1446</v>
      </c>
      <c r="C5" s="668" t="s">
        <v>483</v>
      </c>
      <c r="D5" s="669" t="s">
        <v>484</v>
      </c>
      <c r="E5" s="668" t="s">
        <v>488</v>
      </c>
      <c r="F5" s="669" t="s">
        <v>1447</v>
      </c>
      <c r="G5" s="668"/>
      <c r="H5" s="668" t="s">
        <v>489</v>
      </c>
      <c r="I5" s="668" t="s">
        <v>490</v>
      </c>
      <c r="J5" s="668" t="s">
        <v>491</v>
      </c>
      <c r="K5" s="668" t="s">
        <v>492</v>
      </c>
      <c r="L5" s="670">
        <v>253.6100000000001</v>
      </c>
      <c r="M5" s="670">
        <v>3</v>
      </c>
      <c r="N5" s="671">
        <v>760.83000000000027</v>
      </c>
    </row>
    <row r="6" spans="1:14" ht="14.4" customHeight="1" x14ac:dyDescent="0.3">
      <c r="A6" s="672" t="s">
        <v>478</v>
      </c>
      <c r="B6" s="673" t="s">
        <v>1446</v>
      </c>
      <c r="C6" s="674" t="s">
        <v>483</v>
      </c>
      <c r="D6" s="675" t="s">
        <v>484</v>
      </c>
      <c r="E6" s="674" t="s">
        <v>488</v>
      </c>
      <c r="F6" s="675" t="s">
        <v>1447</v>
      </c>
      <c r="G6" s="674"/>
      <c r="H6" s="674" t="s">
        <v>493</v>
      </c>
      <c r="I6" s="674" t="s">
        <v>494</v>
      </c>
      <c r="J6" s="674" t="s">
        <v>495</v>
      </c>
      <c r="K6" s="674" t="s">
        <v>496</v>
      </c>
      <c r="L6" s="676">
        <v>107.45000000000003</v>
      </c>
      <c r="M6" s="676">
        <v>1</v>
      </c>
      <c r="N6" s="677">
        <v>107.45000000000003</v>
      </c>
    </row>
    <row r="7" spans="1:14" ht="14.4" customHeight="1" x14ac:dyDescent="0.3">
      <c r="A7" s="672" t="s">
        <v>478</v>
      </c>
      <c r="B7" s="673" t="s">
        <v>1446</v>
      </c>
      <c r="C7" s="674" t="s">
        <v>483</v>
      </c>
      <c r="D7" s="675" t="s">
        <v>484</v>
      </c>
      <c r="E7" s="674" t="s">
        <v>488</v>
      </c>
      <c r="F7" s="675" t="s">
        <v>1447</v>
      </c>
      <c r="G7" s="674"/>
      <c r="H7" s="674" t="s">
        <v>497</v>
      </c>
      <c r="I7" s="674" t="s">
        <v>498</v>
      </c>
      <c r="J7" s="674" t="s">
        <v>499</v>
      </c>
      <c r="K7" s="674" t="s">
        <v>500</v>
      </c>
      <c r="L7" s="676">
        <v>143.85933333333335</v>
      </c>
      <c r="M7" s="676">
        <v>30</v>
      </c>
      <c r="N7" s="677">
        <v>4315.7800000000007</v>
      </c>
    </row>
    <row r="8" spans="1:14" ht="14.4" customHeight="1" x14ac:dyDescent="0.3">
      <c r="A8" s="672" t="s">
        <v>478</v>
      </c>
      <c r="B8" s="673" t="s">
        <v>1446</v>
      </c>
      <c r="C8" s="674" t="s">
        <v>483</v>
      </c>
      <c r="D8" s="675" t="s">
        <v>484</v>
      </c>
      <c r="E8" s="674" t="s">
        <v>488</v>
      </c>
      <c r="F8" s="675" t="s">
        <v>1447</v>
      </c>
      <c r="G8" s="674"/>
      <c r="H8" s="674" t="s">
        <v>501</v>
      </c>
      <c r="I8" s="674" t="s">
        <v>502</v>
      </c>
      <c r="J8" s="674" t="s">
        <v>503</v>
      </c>
      <c r="K8" s="674" t="s">
        <v>504</v>
      </c>
      <c r="L8" s="676">
        <v>116.35999999999997</v>
      </c>
      <c r="M8" s="676">
        <v>2</v>
      </c>
      <c r="N8" s="677">
        <v>232.71999999999994</v>
      </c>
    </row>
    <row r="9" spans="1:14" ht="14.4" customHeight="1" x14ac:dyDescent="0.3">
      <c r="A9" s="672" t="s">
        <v>478</v>
      </c>
      <c r="B9" s="673" t="s">
        <v>1446</v>
      </c>
      <c r="C9" s="674" t="s">
        <v>483</v>
      </c>
      <c r="D9" s="675" t="s">
        <v>484</v>
      </c>
      <c r="E9" s="674" t="s">
        <v>488</v>
      </c>
      <c r="F9" s="675" t="s">
        <v>1447</v>
      </c>
      <c r="G9" s="674"/>
      <c r="H9" s="674" t="s">
        <v>505</v>
      </c>
      <c r="I9" s="674" t="s">
        <v>506</v>
      </c>
      <c r="J9" s="674" t="s">
        <v>495</v>
      </c>
      <c r="K9" s="674" t="s">
        <v>507</v>
      </c>
      <c r="L9" s="676">
        <v>465.10999999999996</v>
      </c>
      <c r="M9" s="676">
        <v>1</v>
      </c>
      <c r="N9" s="677">
        <v>465.10999999999996</v>
      </c>
    </row>
    <row r="10" spans="1:14" ht="14.4" customHeight="1" x14ac:dyDescent="0.3">
      <c r="A10" s="672" t="s">
        <v>478</v>
      </c>
      <c r="B10" s="673" t="s">
        <v>1446</v>
      </c>
      <c r="C10" s="674" t="s">
        <v>483</v>
      </c>
      <c r="D10" s="675" t="s">
        <v>484</v>
      </c>
      <c r="E10" s="674" t="s">
        <v>488</v>
      </c>
      <c r="F10" s="675" t="s">
        <v>1447</v>
      </c>
      <c r="G10" s="674"/>
      <c r="H10" s="674" t="s">
        <v>508</v>
      </c>
      <c r="I10" s="674" t="s">
        <v>508</v>
      </c>
      <c r="J10" s="674" t="s">
        <v>509</v>
      </c>
      <c r="K10" s="674" t="s">
        <v>510</v>
      </c>
      <c r="L10" s="676">
        <v>495.84</v>
      </c>
      <c r="M10" s="676">
        <v>1</v>
      </c>
      <c r="N10" s="677">
        <v>495.84</v>
      </c>
    </row>
    <row r="11" spans="1:14" ht="14.4" customHeight="1" x14ac:dyDescent="0.3">
      <c r="A11" s="672" t="s">
        <v>478</v>
      </c>
      <c r="B11" s="673" t="s">
        <v>1446</v>
      </c>
      <c r="C11" s="674" t="s">
        <v>483</v>
      </c>
      <c r="D11" s="675" t="s">
        <v>484</v>
      </c>
      <c r="E11" s="674" t="s">
        <v>488</v>
      </c>
      <c r="F11" s="675" t="s">
        <v>1447</v>
      </c>
      <c r="G11" s="674"/>
      <c r="H11" s="674" t="s">
        <v>511</v>
      </c>
      <c r="I11" s="674" t="s">
        <v>511</v>
      </c>
      <c r="J11" s="674" t="s">
        <v>512</v>
      </c>
      <c r="K11" s="674" t="s">
        <v>513</v>
      </c>
      <c r="L11" s="676">
        <v>44.000240058656011</v>
      </c>
      <c r="M11" s="676">
        <v>1</v>
      </c>
      <c r="N11" s="677">
        <v>44.000240058656011</v>
      </c>
    </row>
    <row r="12" spans="1:14" ht="14.4" customHeight="1" x14ac:dyDescent="0.3">
      <c r="A12" s="672" t="s">
        <v>478</v>
      </c>
      <c r="B12" s="673" t="s">
        <v>1446</v>
      </c>
      <c r="C12" s="674" t="s">
        <v>483</v>
      </c>
      <c r="D12" s="675" t="s">
        <v>484</v>
      </c>
      <c r="E12" s="674" t="s">
        <v>488</v>
      </c>
      <c r="F12" s="675" t="s">
        <v>1447</v>
      </c>
      <c r="G12" s="674"/>
      <c r="H12" s="674" t="s">
        <v>514</v>
      </c>
      <c r="I12" s="674" t="s">
        <v>514</v>
      </c>
      <c r="J12" s="674" t="s">
        <v>515</v>
      </c>
      <c r="K12" s="674" t="s">
        <v>516</v>
      </c>
      <c r="L12" s="676">
        <v>75.040000000000006</v>
      </c>
      <c r="M12" s="676">
        <v>1</v>
      </c>
      <c r="N12" s="677">
        <v>75.040000000000006</v>
      </c>
    </row>
    <row r="13" spans="1:14" ht="14.4" customHeight="1" x14ac:dyDescent="0.3">
      <c r="A13" s="672" t="s">
        <v>478</v>
      </c>
      <c r="B13" s="673" t="s">
        <v>1446</v>
      </c>
      <c r="C13" s="674" t="s">
        <v>483</v>
      </c>
      <c r="D13" s="675" t="s">
        <v>484</v>
      </c>
      <c r="E13" s="674" t="s">
        <v>488</v>
      </c>
      <c r="F13" s="675" t="s">
        <v>1447</v>
      </c>
      <c r="G13" s="674"/>
      <c r="H13" s="674" t="s">
        <v>517</v>
      </c>
      <c r="I13" s="674" t="s">
        <v>517</v>
      </c>
      <c r="J13" s="674" t="s">
        <v>518</v>
      </c>
      <c r="K13" s="674" t="s">
        <v>519</v>
      </c>
      <c r="L13" s="676">
        <v>817.005</v>
      </c>
      <c r="M13" s="676">
        <v>2</v>
      </c>
      <c r="N13" s="677">
        <v>1634.01</v>
      </c>
    </row>
    <row r="14" spans="1:14" ht="14.4" customHeight="1" x14ac:dyDescent="0.3">
      <c r="A14" s="672" t="s">
        <v>478</v>
      </c>
      <c r="B14" s="673" t="s">
        <v>1446</v>
      </c>
      <c r="C14" s="674" t="s">
        <v>483</v>
      </c>
      <c r="D14" s="675" t="s">
        <v>484</v>
      </c>
      <c r="E14" s="674" t="s">
        <v>488</v>
      </c>
      <c r="F14" s="675" t="s">
        <v>1447</v>
      </c>
      <c r="G14" s="674"/>
      <c r="H14" s="674" t="s">
        <v>520</v>
      </c>
      <c r="I14" s="674" t="s">
        <v>520</v>
      </c>
      <c r="J14" s="674" t="s">
        <v>521</v>
      </c>
      <c r="K14" s="674" t="s">
        <v>522</v>
      </c>
      <c r="L14" s="676">
        <v>103.31999999999998</v>
      </c>
      <c r="M14" s="676">
        <v>1</v>
      </c>
      <c r="N14" s="677">
        <v>103.31999999999998</v>
      </c>
    </row>
    <row r="15" spans="1:14" ht="14.4" customHeight="1" x14ac:dyDescent="0.3">
      <c r="A15" s="672" t="s">
        <v>478</v>
      </c>
      <c r="B15" s="673" t="s">
        <v>1446</v>
      </c>
      <c r="C15" s="674" t="s">
        <v>483</v>
      </c>
      <c r="D15" s="675" t="s">
        <v>484</v>
      </c>
      <c r="E15" s="674" t="s">
        <v>488</v>
      </c>
      <c r="F15" s="675" t="s">
        <v>1447</v>
      </c>
      <c r="G15" s="674"/>
      <c r="H15" s="674" t="s">
        <v>523</v>
      </c>
      <c r="I15" s="674" t="s">
        <v>524</v>
      </c>
      <c r="J15" s="674" t="s">
        <v>525</v>
      </c>
      <c r="K15" s="674" t="s">
        <v>526</v>
      </c>
      <c r="L15" s="676">
        <v>108.54999999999995</v>
      </c>
      <c r="M15" s="676">
        <v>3</v>
      </c>
      <c r="N15" s="677">
        <v>325.64999999999986</v>
      </c>
    </row>
    <row r="16" spans="1:14" ht="14.4" customHeight="1" x14ac:dyDescent="0.3">
      <c r="A16" s="672" t="s">
        <v>478</v>
      </c>
      <c r="B16" s="673" t="s">
        <v>1446</v>
      </c>
      <c r="C16" s="674" t="s">
        <v>483</v>
      </c>
      <c r="D16" s="675" t="s">
        <v>484</v>
      </c>
      <c r="E16" s="674" t="s">
        <v>488</v>
      </c>
      <c r="F16" s="675" t="s">
        <v>1447</v>
      </c>
      <c r="G16" s="674" t="s">
        <v>527</v>
      </c>
      <c r="H16" s="674" t="s">
        <v>528</v>
      </c>
      <c r="I16" s="674" t="s">
        <v>528</v>
      </c>
      <c r="J16" s="674" t="s">
        <v>529</v>
      </c>
      <c r="K16" s="674" t="s">
        <v>530</v>
      </c>
      <c r="L16" s="676">
        <v>171.60000014412273</v>
      </c>
      <c r="M16" s="676">
        <v>36</v>
      </c>
      <c r="N16" s="677">
        <v>6177.6000051884184</v>
      </c>
    </row>
    <row r="17" spans="1:14" ht="14.4" customHeight="1" x14ac:dyDescent="0.3">
      <c r="A17" s="672" t="s">
        <v>478</v>
      </c>
      <c r="B17" s="673" t="s">
        <v>1446</v>
      </c>
      <c r="C17" s="674" t="s">
        <v>483</v>
      </c>
      <c r="D17" s="675" t="s">
        <v>484</v>
      </c>
      <c r="E17" s="674" t="s">
        <v>488</v>
      </c>
      <c r="F17" s="675" t="s">
        <v>1447</v>
      </c>
      <c r="G17" s="674" t="s">
        <v>527</v>
      </c>
      <c r="H17" s="674" t="s">
        <v>531</v>
      </c>
      <c r="I17" s="674" t="s">
        <v>531</v>
      </c>
      <c r="J17" s="674" t="s">
        <v>532</v>
      </c>
      <c r="K17" s="674" t="s">
        <v>533</v>
      </c>
      <c r="L17" s="676">
        <v>173.68999991116189</v>
      </c>
      <c r="M17" s="676">
        <v>62</v>
      </c>
      <c r="N17" s="677">
        <v>10768.779994492037</v>
      </c>
    </row>
    <row r="18" spans="1:14" ht="14.4" customHeight="1" x14ac:dyDescent="0.3">
      <c r="A18" s="672" t="s">
        <v>478</v>
      </c>
      <c r="B18" s="673" t="s">
        <v>1446</v>
      </c>
      <c r="C18" s="674" t="s">
        <v>483</v>
      </c>
      <c r="D18" s="675" t="s">
        <v>484</v>
      </c>
      <c r="E18" s="674" t="s">
        <v>488</v>
      </c>
      <c r="F18" s="675" t="s">
        <v>1447</v>
      </c>
      <c r="G18" s="674" t="s">
        <v>527</v>
      </c>
      <c r="H18" s="674" t="s">
        <v>534</v>
      </c>
      <c r="I18" s="674" t="s">
        <v>534</v>
      </c>
      <c r="J18" s="674" t="s">
        <v>535</v>
      </c>
      <c r="K18" s="674" t="s">
        <v>533</v>
      </c>
      <c r="L18" s="676">
        <v>143.00000505153713</v>
      </c>
      <c r="M18" s="676">
        <v>11</v>
      </c>
      <c r="N18" s="677">
        <v>1573.0000555669085</v>
      </c>
    </row>
    <row r="19" spans="1:14" ht="14.4" customHeight="1" x14ac:dyDescent="0.3">
      <c r="A19" s="672" t="s">
        <v>478</v>
      </c>
      <c r="B19" s="673" t="s">
        <v>1446</v>
      </c>
      <c r="C19" s="674" t="s">
        <v>483</v>
      </c>
      <c r="D19" s="675" t="s">
        <v>484</v>
      </c>
      <c r="E19" s="674" t="s">
        <v>488</v>
      </c>
      <c r="F19" s="675" t="s">
        <v>1447</v>
      </c>
      <c r="G19" s="674" t="s">
        <v>527</v>
      </c>
      <c r="H19" s="674" t="s">
        <v>536</v>
      </c>
      <c r="I19" s="674" t="s">
        <v>536</v>
      </c>
      <c r="J19" s="674" t="s">
        <v>535</v>
      </c>
      <c r="K19" s="674" t="s">
        <v>537</v>
      </c>
      <c r="L19" s="676">
        <v>126.49999943742844</v>
      </c>
      <c r="M19" s="676">
        <v>20</v>
      </c>
      <c r="N19" s="677">
        <v>2529.9999887485687</v>
      </c>
    </row>
    <row r="20" spans="1:14" ht="14.4" customHeight="1" x14ac:dyDescent="0.3">
      <c r="A20" s="672" t="s">
        <v>478</v>
      </c>
      <c r="B20" s="673" t="s">
        <v>1446</v>
      </c>
      <c r="C20" s="674" t="s">
        <v>483</v>
      </c>
      <c r="D20" s="675" t="s">
        <v>484</v>
      </c>
      <c r="E20" s="674" t="s">
        <v>488</v>
      </c>
      <c r="F20" s="675" t="s">
        <v>1447</v>
      </c>
      <c r="G20" s="674" t="s">
        <v>527</v>
      </c>
      <c r="H20" s="674" t="s">
        <v>538</v>
      </c>
      <c r="I20" s="674" t="s">
        <v>538</v>
      </c>
      <c r="J20" s="674" t="s">
        <v>539</v>
      </c>
      <c r="K20" s="674" t="s">
        <v>540</v>
      </c>
      <c r="L20" s="676">
        <v>295.52999999999997</v>
      </c>
      <c r="M20" s="676">
        <v>1</v>
      </c>
      <c r="N20" s="677">
        <v>295.52999999999997</v>
      </c>
    </row>
    <row r="21" spans="1:14" ht="14.4" customHeight="1" x14ac:dyDescent="0.3">
      <c r="A21" s="672" t="s">
        <v>478</v>
      </c>
      <c r="B21" s="673" t="s">
        <v>1446</v>
      </c>
      <c r="C21" s="674" t="s">
        <v>483</v>
      </c>
      <c r="D21" s="675" t="s">
        <v>484</v>
      </c>
      <c r="E21" s="674" t="s">
        <v>488</v>
      </c>
      <c r="F21" s="675" t="s">
        <v>1447</v>
      </c>
      <c r="G21" s="674" t="s">
        <v>527</v>
      </c>
      <c r="H21" s="674" t="s">
        <v>541</v>
      </c>
      <c r="I21" s="674" t="s">
        <v>541</v>
      </c>
      <c r="J21" s="674" t="s">
        <v>529</v>
      </c>
      <c r="K21" s="674" t="s">
        <v>542</v>
      </c>
      <c r="L21" s="676">
        <v>92.949999236683922</v>
      </c>
      <c r="M21" s="676">
        <v>92</v>
      </c>
      <c r="N21" s="677">
        <v>8551.3999297749215</v>
      </c>
    </row>
    <row r="22" spans="1:14" ht="14.4" customHeight="1" x14ac:dyDescent="0.3">
      <c r="A22" s="672" t="s">
        <v>478</v>
      </c>
      <c r="B22" s="673" t="s">
        <v>1446</v>
      </c>
      <c r="C22" s="674" t="s">
        <v>483</v>
      </c>
      <c r="D22" s="675" t="s">
        <v>484</v>
      </c>
      <c r="E22" s="674" t="s">
        <v>488</v>
      </c>
      <c r="F22" s="675" t="s">
        <v>1447</v>
      </c>
      <c r="G22" s="674" t="s">
        <v>527</v>
      </c>
      <c r="H22" s="674" t="s">
        <v>543</v>
      </c>
      <c r="I22" s="674" t="s">
        <v>543</v>
      </c>
      <c r="J22" s="674" t="s">
        <v>529</v>
      </c>
      <c r="K22" s="674" t="s">
        <v>544</v>
      </c>
      <c r="L22" s="676">
        <v>93.5</v>
      </c>
      <c r="M22" s="676">
        <v>78</v>
      </c>
      <c r="N22" s="677">
        <v>7293</v>
      </c>
    </row>
    <row r="23" spans="1:14" ht="14.4" customHeight="1" x14ac:dyDescent="0.3">
      <c r="A23" s="672" t="s">
        <v>478</v>
      </c>
      <c r="B23" s="673" t="s">
        <v>1446</v>
      </c>
      <c r="C23" s="674" t="s">
        <v>483</v>
      </c>
      <c r="D23" s="675" t="s">
        <v>484</v>
      </c>
      <c r="E23" s="674" t="s">
        <v>488</v>
      </c>
      <c r="F23" s="675" t="s">
        <v>1447</v>
      </c>
      <c r="G23" s="674" t="s">
        <v>527</v>
      </c>
      <c r="H23" s="674" t="s">
        <v>545</v>
      </c>
      <c r="I23" s="674" t="s">
        <v>546</v>
      </c>
      <c r="J23" s="674" t="s">
        <v>547</v>
      </c>
      <c r="K23" s="674" t="s">
        <v>548</v>
      </c>
      <c r="L23" s="676">
        <v>87.029959229989188</v>
      </c>
      <c r="M23" s="676">
        <v>14</v>
      </c>
      <c r="N23" s="677">
        <v>1218.4194292198486</v>
      </c>
    </row>
    <row r="24" spans="1:14" ht="14.4" customHeight="1" x14ac:dyDescent="0.3">
      <c r="A24" s="672" t="s">
        <v>478</v>
      </c>
      <c r="B24" s="673" t="s">
        <v>1446</v>
      </c>
      <c r="C24" s="674" t="s">
        <v>483</v>
      </c>
      <c r="D24" s="675" t="s">
        <v>484</v>
      </c>
      <c r="E24" s="674" t="s">
        <v>488</v>
      </c>
      <c r="F24" s="675" t="s">
        <v>1447</v>
      </c>
      <c r="G24" s="674" t="s">
        <v>527</v>
      </c>
      <c r="H24" s="674" t="s">
        <v>549</v>
      </c>
      <c r="I24" s="674" t="s">
        <v>550</v>
      </c>
      <c r="J24" s="674" t="s">
        <v>551</v>
      </c>
      <c r="K24" s="674" t="s">
        <v>552</v>
      </c>
      <c r="L24" s="676">
        <v>96.819809140585761</v>
      </c>
      <c r="M24" s="676">
        <v>176</v>
      </c>
      <c r="N24" s="677">
        <v>17040.286408743093</v>
      </c>
    </row>
    <row r="25" spans="1:14" ht="14.4" customHeight="1" x14ac:dyDescent="0.3">
      <c r="A25" s="672" t="s">
        <v>478</v>
      </c>
      <c r="B25" s="673" t="s">
        <v>1446</v>
      </c>
      <c r="C25" s="674" t="s">
        <v>483</v>
      </c>
      <c r="D25" s="675" t="s">
        <v>484</v>
      </c>
      <c r="E25" s="674" t="s">
        <v>488</v>
      </c>
      <c r="F25" s="675" t="s">
        <v>1447</v>
      </c>
      <c r="G25" s="674" t="s">
        <v>527</v>
      </c>
      <c r="H25" s="674" t="s">
        <v>553</v>
      </c>
      <c r="I25" s="674" t="s">
        <v>554</v>
      </c>
      <c r="J25" s="674" t="s">
        <v>551</v>
      </c>
      <c r="K25" s="674" t="s">
        <v>555</v>
      </c>
      <c r="L25" s="676">
        <v>100.76110201906347</v>
      </c>
      <c r="M25" s="676">
        <v>5</v>
      </c>
      <c r="N25" s="677">
        <v>503.80551009531735</v>
      </c>
    </row>
    <row r="26" spans="1:14" ht="14.4" customHeight="1" x14ac:dyDescent="0.3">
      <c r="A26" s="672" t="s">
        <v>478</v>
      </c>
      <c r="B26" s="673" t="s">
        <v>1446</v>
      </c>
      <c r="C26" s="674" t="s">
        <v>483</v>
      </c>
      <c r="D26" s="675" t="s">
        <v>484</v>
      </c>
      <c r="E26" s="674" t="s">
        <v>488</v>
      </c>
      <c r="F26" s="675" t="s">
        <v>1447</v>
      </c>
      <c r="G26" s="674" t="s">
        <v>527</v>
      </c>
      <c r="H26" s="674" t="s">
        <v>556</v>
      </c>
      <c r="I26" s="674" t="s">
        <v>557</v>
      </c>
      <c r="J26" s="674" t="s">
        <v>558</v>
      </c>
      <c r="K26" s="674" t="s">
        <v>559</v>
      </c>
      <c r="L26" s="676">
        <v>177.20999999999998</v>
      </c>
      <c r="M26" s="676">
        <v>5</v>
      </c>
      <c r="N26" s="677">
        <v>886.05</v>
      </c>
    </row>
    <row r="27" spans="1:14" ht="14.4" customHeight="1" x14ac:dyDescent="0.3">
      <c r="A27" s="672" t="s">
        <v>478</v>
      </c>
      <c r="B27" s="673" t="s">
        <v>1446</v>
      </c>
      <c r="C27" s="674" t="s">
        <v>483</v>
      </c>
      <c r="D27" s="675" t="s">
        <v>484</v>
      </c>
      <c r="E27" s="674" t="s">
        <v>488</v>
      </c>
      <c r="F27" s="675" t="s">
        <v>1447</v>
      </c>
      <c r="G27" s="674" t="s">
        <v>527</v>
      </c>
      <c r="H27" s="674" t="s">
        <v>560</v>
      </c>
      <c r="I27" s="674" t="s">
        <v>561</v>
      </c>
      <c r="J27" s="674" t="s">
        <v>562</v>
      </c>
      <c r="K27" s="674" t="s">
        <v>563</v>
      </c>
      <c r="L27" s="676">
        <v>64.539878662542066</v>
      </c>
      <c r="M27" s="676">
        <v>136</v>
      </c>
      <c r="N27" s="677">
        <v>8777.4234981057216</v>
      </c>
    </row>
    <row r="28" spans="1:14" ht="14.4" customHeight="1" x14ac:dyDescent="0.3">
      <c r="A28" s="672" t="s">
        <v>478</v>
      </c>
      <c r="B28" s="673" t="s">
        <v>1446</v>
      </c>
      <c r="C28" s="674" t="s">
        <v>483</v>
      </c>
      <c r="D28" s="675" t="s">
        <v>484</v>
      </c>
      <c r="E28" s="674" t="s">
        <v>488</v>
      </c>
      <c r="F28" s="675" t="s">
        <v>1447</v>
      </c>
      <c r="G28" s="674" t="s">
        <v>527</v>
      </c>
      <c r="H28" s="674" t="s">
        <v>564</v>
      </c>
      <c r="I28" s="674" t="s">
        <v>565</v>
      </c>
      <c r="J28" s="674" t="s">
        <v>566</v>
      </c>
      <c r="K28" s="674" t="s">
        <v>567</v>
      </c>
      <c r="L28" s="676">
        <v>79.179999999999993</v>
      </c>
      <c r="M28" s="676">
        <v>1</v>
      </c>
      <c r="N28" s="677">
        <v>79.179999999999993</v>
      </c>
    </row>
    <row r="29" spans="1:14" ht="14.4" customHeight="1" x14ac:dyDescent="0.3">
      <c r="A29" s="672" t="s">
        <v>478</v>
      </c>
      <c r="B29" s="673" t="s">
        <v>1446</v>
      </c>
      <c r="C29" s="674" t="s">
        <v>483</v>
      </c>
      <c r="D29" s="675" t="s">
        <v>484</v>
      </c>
      <c r="E29" s="674" t="s">
        <v>488</v>
      </c>
      <c r="F29" s="675" t="s">
        <v>1447</v>
      </c>
      <c r="G29" s="674" t="s">
        <v>527</v>
      </c>
      <c r="H29" s="674" t="s">
        <v>568</v>
      </c>
      <c r="I29" s="674" t="s">
        <v>569</v>
      </c>
      <c r="J29" s="674" t="s">
        <v>570</v>
      </c>
      <c r="K29" s="674" t="s">
        <v>571</v>
      </c>
      <c r="L29" s="676">
        <v>75.525415635347855</v>
      </c>
      <c r="M29" s="676">
        <v>18</v>
      </c>
      <c r="N29" s="677">
        <v>1359.4574814362613</v>
      </c>
    </row>
    <row r="30" spans="1:14" ht="14.4" customHeight="1" x14ac:dyDescent="0.3">
      <c r="A30" s="672" t="s">
        <v>478</v>
      </c>
      <c r="B30" s="673" t="s">
        <v>1446</v>
      </c>
      <c r="C30" s="674" t="s">
        <v>483</v>
      </c>
      <c r="D30" s="675" t="s">
        <v>484</v>
      </c>
      <c r="E30" s="674" t="s">
        <v>488</v>
      </c>
      <c r="F30" s="675" t="s">
        <v>1447</v>
      </c>
      <c r="G30" s="674" t="s">
        <v>527</v>
      </c>
      <c r="H30" s="674" t="s">
        <v>572</v>
      </c>
      <c r="I30" s="674" t="s">
        <v>573</v>
      </c>
      <c r="J30" s="674" t="s">
        <v>574</v>
      </c>
      <c r="K30" s="674" t="s">
        <v>575</v>
      </c>
      <c r="L30" s="676">
        <v>86.139970971209337</v>
      </c>
      <c r="M30" s="676">
        <v>5</v>
      </c>
      <c r="N30" s="677">
        <v>430.69985485604667</v>
      </c>
    </row>
    <row r="31" spans="1:14" ht="14.4" customHeight="1" x14ac:dyDescent="0.3">
      <c r="A31" s="672" t="s">
        <v>478</v>
      </c>
      <c r="B31" s="673" t="s">
        <v>1446</v>
      </c>
      <c r="C31" s="674" t="s">
        <v>483</v>
      </c>
      <c r="D31" s="675" t="s">
        <v>484</v>
      </c>
      <c r="E31" s="674" t="s">
        <v>488</v>
      </c>
      <c r="F31" s="675" t="s">
        <v>1447</v>
      </c>
      <c r="G31" s="674" t="s">
        <v>527</v>
      </c>
      <c r="H31" s="674" t="s">
        <v>576</v>
      </c>
      <c r="I31" s="674" t="s">
        <v>577</v>
      </c>
      <c r="J31" s="674" t="s">
        <v>578</v>
      </c>
      <c r="K31" s="674" t="s">
        <v>579</v>
      </c>
      <c r="L31" s="676">
        <v>66.719594184164208</v>
      </c>
      <c r="M31" s="676">
        <v>20</v>
      </c>
      <c r="N31" s="677">
        <v>1334.391883683284</v>
      </c>
    </row>
    <row r="32" spans="1:14" ht="14.4" customHeight="1" x14ac:dyDescent="0.3">
      <c r="A32" s="672" t="s">
        <v>478</v>
      </c>
      <c r="B32" s="673" t="s">
        <v>1446</v>
      </c>
      <c r="C32" s="674" t="s">
        <v>483</v>
      </c>
      <c r="D32" s="675" t="s">
        <v>484</v>
      </c>
      <c r="E32" s="674" t="s">
        <v>488</v>
      </c>
      <c r="F32" s="675" t="s">
        <v>1447</v>
      </c>
      <c r="G32" s="674" t="s">
        <v>527</v>
      </c>
      <c r="H32" s="674" t="s">
        <v>580</v>
      </c>
      <c r="I32" s="674" t="s">
        <v>581</v>
      </c>
      <c r="J32" s="674" t="s">
        <v>582</v>
      </c>
      <c r="K32" s="674" t="s">
        <v>583</v>
      </c>
      <c r="L32" s="676">
        <v>79.190000000000012</v>
      </c>
      <c r="M32" s="676">
        <v>10</v>
      </c>
      <c r="N32" s="677">
        <v>791.90000000000009</v>
      </c>
    </row>
    <row r="33" spans="1:14" ht="14.4" customHeight="1" x14ac:dyDescent="0.3">
      <c r="A33" s="672" t="s">
        <v>478</v>
      </c>
      <c r="B33" s="673" t="s">
        <v>1446</v>
      </c>
      <c r="C33" s="674" t="s">
        <v>483</v>
      </c>
      <c r="D33" s="675" t="s">
        <v>484</v>
      </c>
      <c r="E33" s="674" t="s">
        <v>488</v>
      </c>
      <c r="F33" s="675" t="s">
        <v>1447</v>
      </c>
      <c r="G33" s="674" t="s">
        <v>527</v>
      </c>
      <c r="H33" s="674" t="s">
        <v>584</v>
      </c>
      <c r="I33" s="674" t="s">
        <v>585</v>
      </c>
      <c r="J33" s="674" t="s">
        <v>586</v>
      </c>
      <c r="K33" s="674" t="s">
        <v>587</v>
      </c>
      <c r="L33" s="676">
        <v>28.189941271227621</v>
      </c>
      <c r="M33" s="676">
        <v>340</v>
      </c>
      <c r="N33" s="677">
        <v>9584.5800322173909</v>
      </c>
    </row>
    <row r="34" spans="1:14" ht="14.4" customHeight="1" x14ac:dyDescent="0.3">
      <c r="A34" s="672" t="s">
        <v>478</v>
      </c>
      <c r="B34" s="673" t="s">
        <v>1446</v>
      </c>
      <c r="C34" s="674" t="s">
        <v>483</v>
      </c>
      <c r="D34" s="675" t="s">
        <v>484</v>
      </c>
      <c r="E34" s="674" t="s">
        <v>488</v>
      </c>
      <c r="F34" s="675" t="s">
        <v>1447</v>
      </c>
      <c r="G34" s="674" t="s">
        <v>527</v>
      </c>
      <c r="H34" s="674" t="s">
        <v>588</v>
      </c>
      <c r="I34" s="674" t="s">
        <v>589</v>
      </c>
      <c r="J34" s="674" t="s">
        <v>590</v>
      </c>
      <c r="K34" s="674" t="s">
        <v>591</v>
      </c>
      <c r="L34" s="676">
        <v>77.610000000000014</v>
      </c>
      <c r="M34" s="676">
        <v>1</v>
      </c>
      <c r="N34" s="677">
        <v>77.610000000000014</v>
      </c>
    </row>
    <row r="35" spans="1:14" ht="14.4" customHeight="1" x14ac:dyDescent="0.3">
      <c r="A35" s="672" t="s">
        <v>478</v>
      </c>
      <c r="B35" s="673" t="s">
        <v>1446</v>
      </c>
      <c r="C35" s="674" t="s">
        <v>483</v>
      </c>
      <c r="D35" s="675" t="s">
        <v>484</v>
      </c>
      <c r="E35" s="674" t="s">
        <v>488</v>
      </c>
      <c r="F35" s="675" t="s">
        <v>1447</v>
      </c>
      <c r="G35" s="674" t="s">
        <v>527</v>
      </c>
      <c r="H35" s="674" t="s">
        <v>592</v>
      </c>
      <c r="I35" s="674" t="s">
        <v>593</v>
      </c>
      <c r="J35" s="674" t="s">
        <v>594</v>
      </c>
      <c r="K35" s="674" t="s">
        <v>595</v>
      </c>
      <c r="L35" s="676">
        <v>55.89</v>
      </c>
      <c r="M35" s="676">
        <v>9</v>
      </c>
      <c r="N35" s="677">
        <v>503.01</v>
      </c>
    </row>
    <row r="36" spans="1:14" ht="14.4" customHeight="1" x14ac:dyDescent="0.3">
      <c r="A36" s="672" t="s">
        <v>478</v>
      </c>
      <c r="B36" s="673" t="s">
        <v>1446</v>
      </c>
      <c r="C36" s="674" t="s">
        <v>483</v>
      </c>
      <c r="D36" s="675" t="s">
        <v>484</v>
      </c>
      <c r="E36" s="674" t="s">
        <v>488</v>
      </c>
      <c r="F36" s="675" t="s">
        <v>1447</v>
      </c>
      <c r="G36" s="674" t="s">
        <v>527</v>
      </c>
      <c r="H36" s="674" t="s">
        <v>596</v>
      </c>
      <c r="I36" s="674" t="s">
        <v>597</v>
      </c>
      <c r="J36" s="674" t="s">
        <v>598</v>
      </c>
      <c r="K36" s="674" t="s">
        <v>599</v>
      </c>
      <c r="L36" s="676">
        <v>50.550000000000018</v>
      </c>
      <c r="M36" s="676">
        <v>1</v>
      </c>
      <c r="N36" s="677">
        <v>50.550000000000018</v>
      </c>
    </row>
    <row r="37" spans="1:14" ht="14.4" customHeight="1" x14ac:dyDescent="0.3">
      <c r="A37" s="672" t="s">
        <v>478</v>
      </c>
      <c r="B37" s="673" t="s">
        <v>1446</v>
      </c>
      <c r="C37" s="674" t="s">
        <v>483</v>
      </c>
      <c r="D37" s="675" t="s">
        <v>484</v>
      </c>
      <c r="E37" s="674" t="s">
        <v>488</v>
      </c>
      <c r="F37" s="675" t="s">
        <v>1447</v>
      </c>
      <c r="G37" s="674" t="s">
        <v>527</v>
      </c>
      <c r="H37" s="674" t="s">
        <v>600</v>
      </c>
      <c r="I37" s="674" t="s">
        <v>601</v>
      </c>
      <c r="J37" s="674" t="s">
        <v>602</v>
      </c>
      <c r="K37" s="674" t="s">
        <v>603</v>
      </c>
      <c r="L37" s="676">
        <v>35.569999999999993</v>
      </c>
      <c r="M37" s="676">
        <v>10</v>
      </c>
      <c r="N37" s="677">
        <v>355.69999999999993</v>
      </c>
    </row>
    <row r="38" spans="1:14" ht="14.4" customHeight="1" x14ac:dyDescent="0.3">
      <c r="A38" s="672" t="s">
        <v>478</v>
      </c>
      <c r="B38" s="673" t="s">
        <v>1446</v>
      </c>
      <c r="C38" s="674" t="s">
        <v>483</v>
      </c>
      <c r="D38" s="675" t="s">
        <v>484</v>
      </c>
      <c r="E38" s="674" t="s">
        <v>488</v>
      </c>
      <c r="F38" s="675" t="s">
        <v>1447</v>
      </c>
      <c r="G38" s="674" t="s">
        <v>527</v>
      </c>
      <c r="H38" s="674" t="s">
        <v>604</v>
      </c>
      <c r="I38" s="674" t="s">
        <v>605</v>
      </c>
      <c r="J38" s="674" t="s">
        <v>606</v>
      </c>
      <c r="K38" s="674" t="s">
        <v>575</v>
      </c>
      <c r="L38" s="676">
        <v>66.72</v>
      </c>
      <c r="M38" s="676">
        <v>10</v>
      </c>
      <c r="N38" s="677">
        <v>667.2</v>
      </c>
    </row>
    <row r="39" spans="1:14" ht="14.4" customHeight="1" x14ac:dyDescent="0.3">
      <c r="A39" s="672" t="s">
        <v>478</v>
      </c>
      <c r="B39" s="673" t="s">
        <v>1446</v>
      </c>
      <c r="C39" s="674" t="s">
        <v>483</v>
      </c>
      <c r="D39" s="675" t="s">
        <v>484</v>
      </c>
      <c r="E39" s="674" t="s">
        <v>488</v>
      </c>
      <c r="F39" s="675" t="s">
        <v>1447</v>
      </c>
      <c r="G39" s="674" t="s">
        <v>527</v>
      </c>
      <c r="H39" s="674" t="s">
        <v>607</v>
      </c>
      <c r="I39" s="674" t="s">
        <v>608</v>
      </c>
      <c r="J39" s="674" t="s">
        <v>609</v>
      </c>
      <c r="K39" s="674" t="s">
        <v>610</v>
      </c>
      <c r="L39" s="676">
        <v>58.003333333333352</v>
      </c>
      <c r="M39" s="676">
        <v>3</v>
      </c>
      <c r="N39" s="677">
        <v>174.01000000000005</v>
      </c>
    </row>
    <row r="40" spans="1:14" ht="14.4" customHeight="1" x14ac:dyDescent="0.3">
      <c r="A40" s="672" t="s">
        <v>478</v>
      </c>
      <c r="B40" s="673" t="s">
        <v>1446</v>
      </c>
      <c r="C40" s="674" t="s">
        <v>483</v>
      </c>
      <c r="D40" s="675" t="s">
        <v>484</v>
      </c>
      <c r="E40" s="674" t="s">
        <v>488</v>
      </c>
      <c r="F40" s="675" t="s">
        <v>1447</v>
      </c>
      <c r="G40" s="674" t="s">
        <v>527</v>
      </c>
      <c r="H40" s="674" t="s">
        <v>611</v>
      </c>
      <c r="I40" s="674" t="s">
        <v>612</v>
      </c>
      <c r="J40" s="674" t="s">
        <v>613</v>
      </c>
      <c r="K40" s="674" t="s">
        <v>614</v>
      </c>
      <c r="L40" s="676">
        <v>29.899999999999991</v>
      </c>
      <c r="M40" s="676">
        <v>2</v>
      </c>
      <c r="N40" s="677">
        <v>59.799999999999983</v>
      </c>
    </row>
    <row r="41" spans="1:14" ht="14.4" customHeight="1" x14ac:dyDescent="0.3">
      <c r="A41" s="672" t="s">
        <v>478</v>
      </c>
      <c r="B41" s="673" t="s">
        <v>1446</v>
      </c>
      <c r="C41" s="674" t="s">
        <v>483</v>
      </c>
      <c r="D41" s="675" t="s">
        <v>484</v>
      </c>
      <c r="E41" s="674" t="s">
        <v>488</v>
      </c>
      <c r="F41" s="675" t="s">
        <v>1447</v>
      </c>
      <c r="G41" s="674" t="s">
        <v>527</v>
      </c>
      <c r="H41" s="674" t="s">
        <v>615</v>
      </c>
      <c r="I41" s="674" t="s">
        <v>616</v>
      </c>
      <c r="J41" s="674" t="s">
        <v>617</v>
      </c>
      <c r="K41" s="674" t="s">
        <v>618</v>
      </c>
      <c r="L41" s="676">
        <v>66.71889559079635</v>
      </c>
      <c r="M41" s="676">
        <v>7</v>
      </c>
      <c r="N41" s="677">
        <v>467.0322691355745</v>
      </c>
    </row>
    <row r="42" spans="1:14" ht="14.4" customHeight="1" x14ac:dyDescent="0.3">
      <c r="A42" s="672" t="s">
        <v>478</v>
      </c>
      <c r="B42" s="673" t="s">
        <v>1446</v>
      </c>
      <c r="C42" s="674" t="s">
        <v>483</v>
      </c>
      <c r="D42" s="675" t="s">
        <v>484</v>
      </c>
      <c r="E42" s="674" t="s">
        <v>488</v>
      </c>
      <c r="F42" s="675" t="s">
        <v>1447</v>
      </c>
      <c r="G42" s="674" t="s">
        <v>527</v>
      </c>
      <c r="H42" s="674" t="s">
        <v>619</v>
      </c>
      <c r="I42" s="674" t="s">
        <v>620</v>
      </c>
      <c r="J42" s="674" t="s">
        <v>621</v>
      </c>
      <c r="K42" s="674" t="s">
        <v>622</v>
      </c>
      <c r="L42" s="676">
        <v>324.83</v>
      </c>
      <c r="M42" s="676">
        <v>47</v>
      </c>
      <c r="N42" s="677">
        <v>15267.009999999998</v>
      </c>
    </row>
    <row r="43" spans="1:14" ht="14.4" customHeight="1" x14ac:dyDescent="0.3">
      <c r="A43" s="672" t="s">
        <v>478</v>
      </c>
      <c r="B43" s="673" t="s">
        <v>1446</v>
      </c>
      <c r="C43" s="674" t="s">
        <v>483</v>
      </c>
      <c r="D43" s="675" t="s">
        <v>484</v>
      </c>
      <c r="E43" s="674" t="s">
        <v>488</v>
      </c>
      <c r="F43" s="675" t="s">
        <v>1447</v>
      </c>
      <c r="G43" s="674" t="s">
        <v>527</v>
      </c>
      <c r="H43" s="674" t="s">
        <v>623</v>
      </c>
      <c r="I43" s="674" t="s">
        <v>624</v>
      </c>
      <c r="J43" s="674" t="s">
        <v>625</v>
      </c>
      <c r="K43" s="674" t="s">
        <v>626</v>
      </c>
      <c r="L43" s="676">
        <v>86.140000000000015</v>
      </c>
      <c r="M43" s="676">
        <v>2</v>
      </c>
      <c r="N43" s="677">
        <v>172.28000000000003</v>
      </c>
    </row>
    <row r="44" spans="1:14" ht="14.4" customHeight="1" x14ac:dyDescent="0.3">
      <c r="A44" s="672" t="s">
        <v>478</v>
      </c>
      <c r="B44" s="673" t="s">
        <v>1446</v>
      </c>
      <c r="C44" s="674" t="s">
        <v>483</v>
      </c>
      <c r="D44" s="675" t="s">
        <v>484</v>
      </c>
      <c r="E44" s="674" t="s">
        <v>488</v>
      </c>
      <c r="F44" s="675" t="s">
        <v>1447</v>
      </c>
      <c r="G44" s="674" t="s">
        <v>527</v>
      </c>
      <c r="H44" s="674" t="s">
        <v>627</v>
      </c>
      <c r="I44" s="674" t="s">
        <v>628</v>
      </c>
      <c r="J44" s="674" t="s">
        <v>629</v>
      </c>
      <c r="K44" s="674" t="s">
        <v>630</v>
      </c>
      <c r="L44" s="676">
        <v>185.61138479329719</v>
      </c>
      <c r="M44" s="676">
        <v>53</v>
      </c>
      <c r="N44" s="677">
        <v>9837.4033940447516</v>
      </c>
    </row>
    <row r="45" spans="1:14" ht="14.4" customHeight="1" x14ac:dyDescent="0.3">
      <c r="A45" s="672" t="s">
        <v>478</v>
      </c>
      <c r="B45" s="673" t="s">
        <v>1446</v>
      </c>
      <c r="C45" s="674" t="s">
        <v>483</v>
      </c>
      <c r="D45" s="675" t="s">
        <v>484</v>
      </c>
      <c r="E45" s="674" t="s">
        <v>488</v>
      </c>
      <c r="F45" s="675" t="s">
        <v>1447</v>
      </c>
      <c r="G45" s="674" t="s">
        <v>527</v>
      </c>
      <c r="H45" s="674" t="s">
        <v>631</v>
      </c>
      <c r="I45" s="674" t="s">
        <v>631</v>
      </c>
      <c r="J45" s="674" t="s">
        <v>632</v>
      </c>
      <c r="K45" s="674" t="s">
        <v>633</v>
      </c>
      <c r="L45" s="676">
        <v>36.539997555889599</v>
      </c>
      <c r="M45" s="676">
        <v>320</v>
      </c>
      <c r="N45" s="677">
        <v>11692.799217884671</v>
      </c>
    </row>
    <row r="46" spans="1:14" ht="14.4" customHeight="1" x14ac:dyDescent="0.3">
      <c r="A46" s="672" t="s">
        <v>478</v>
      </c>
      <c r="B46" s="673" t="s">
        <v>1446</v>
      </c>
      <c r="C46" s="674" t="s">
        <v>483</v>
      </c>
      <c r="D46" s="675" t="s">
        <v>484</v>
      </c>
      <c r="E46" s="674" t="s">
        <v>488</v>
      </c>
      <c r="F46" s="675" t="s">
        <v>1447</v>
      </c>
      <c r="G46" s="674" t="s">
        <v>527</v>
      </c>
      <c r="H46" s="674" t="s">
        <v>634</v>
      </c>
      <c r="I46" s="674" t="s">
        <v>635</v>
      </c>
      <c r="J46" s="674" t="s">
        <v>636</v>
      </c>
      <c r="K46" s="674" t="s">
        <v>637</v>
      </c>
      <c r="L46" s="676">
        <v>73.930000000000007</v>
      </c>
      <c r="M46" s="676">
        <v>1</v>
      </c>
      <c r="N46" s="677">
        <v>73.930000000000007</v>
      </c>
    </row>
    <row r="47" spans="1:14" ht="14.4" customHeight="1" x14ac:dyDescent="0.3">
      <c r="A47" s="672" t="s">
        <v>478</v>
      </c>
      <c r="B47" s="673" t="s">
        <v>1446</v>
      </c>
      <c r="C47" s="674" t="s">
        <v>483</v>
      </c>
      <c r="D47" s="675" t="s">
        <v>484</v>
      </c>
      <c r="E47" s="674" t="s">
        <v>488</v>
      </c>
      <c r="F47" s="675" t="s">
        <v>1447</v>
      </c>
      <c r="G47" s="674" t="s">
        <v>527</v>
      </c>
      <c r="H47" s="674" t="s">
        <v>638</v>
      </c>
      <c r="I47" s="674" t="s">
        <v>639</v>
      </c>
      <c r="J47" s="674" t="s">
        <v>640</v>
      </c>
      <c r="K47" s="674" t="s">
        <v>641</v>
      </c>
      <c r="L47" s="676">
        <v>44.899999999999991</v>
      </c>
      <c r="M47" s="676">
        <v>1</v>
      </c>
      <c r="N47" s="677">
        <v>44.899999999999991</v>
      </c>
    </row>
    <row r="48" spans="1:14" ht="14.4" customHeight="1" x14ac:dyDescent="0.3">
      <c r="A48" s="672" t="s">
        <v>478</v>
      </c>
      <c r="B48" s="673" t="s">
        <v>1446</v>
      </c>
      <c r="C48" s="674" t="s">
        <v>483</v>
      </c>
      <c r="D48" s="675" t="s">
        <v>484</v>
      </c>
      <c r="E48" s="674" t="s">
        <v>488</v>
      </c>
      <c r="F48" s="675" t="s">
        <v>1447</v>
      </c>
      <c r="G48" s="674" t="s">
        <v>527</v>
      </c>
      <c r="H48" s="674" t="s">
        <v>642</v>
      </c>
      <c r="I48" s="674" t="s">
        <v>643</v>
      </c>
      <c r="J48" s="674" t="s">
        <v>644</v>
      </c>
      <c r="K48" s="674" t="s">
        <v>645</v>
      </c>
      <c r="L48" s="676">
        <v>51.100000000000009</v>
      </c>
      <c r="M48" s="676">
        <v>4</v>
      </c>
      <c r="N48" s="677">
        <v>204.40000000000003</v>
      </c>
    </row>
    <row r="49" spans="1:14" ht="14.4" customHeight="1" x14ac:dyDescent="0.3">
      <c r="A49" s="672" t="s">
        <v>478</v>
      </c>
      <c r="B49" s="673" t="s">
        <v>1446</v>
      </c>
      <c r="C49" s="674" t="s">
        <v>483</v>
      </c>
      <c r="D49" s="675" t="s">
        <v>484</v>
      </c>
      <c r="E49" s="674" t="s">
        <v>488</v>
      </c>
      <c r="F49" s="675" t="s">
        <v>1447</v>
      </c>
      <c r="G49" s="674" t="s">
        <v>527</v>
      </c>
      <c r="H49" s="674" t="s">
        <v>646</v>
      </c>
      <c r="I49" s="674" t="s">
        <v>647</v>
      </c>
      <c r="J49" s="674" t="s">
        <v>644</v>
      </c>
      <c r="K49" s="674" t="s">
        <v>648</v>
      </c>
      <c r="L49" s="676">
        <v>102.19</v>
      </c>
      <c r="M49" s="676">
        <v>2</v>
      </c>
      <c r="N49" s="677">
        <v>204.38</v>
      </c>
    </row>
    <row r="50" spans="1:14" ht="14.4" customHeight="1" x14ac:dyDescent="0.3">
      <c r="A50" s="672" t="s">
        <v>478</v>
      </c>
      <c r="B50" s="673" t="s">
        <v>1446</v>
      </c>
      <c r="C50" s="674" t="s">
        <v>483</v>
      </c>
      <c r="D50" s="675" t="s">
        <v>484</v>
      </c>
      <c r="E50" s="674" t="s">
        <v>488</v>
      </c>
      <c r="F50" s="675" t="s">
        <v>1447</v>
      </c>
      <c r="G50" s="674" t="s">
        <v>527</v>
      </c>
      <c r="H50" s="674" t="s">
        <v>649</v>
      </c>
      <c r="I50" s="674" t="s">
        <v>650</v>
      </c>
      <c r="J50" s="674" t="s">
        <v>651</v>
      </c>
      <c r="K50" s="674" t="s">
        <v>652</v>
      </c>
      <c r="L50" s="676">
        <v>73.660000000000011</v>
      </c>
      <c r="M50" s="676">
        <v>4</v>
      </c>
      <c r="N50" s="677">
        <v>294.64000000000004</v>
      </c>
    </row>
    <row r="51" spans="1:14" ht="14.4" customHeight="1" x14ac:dyDescent="0.3">
      <c r="A51" s="672" t="s">
        <v>478</v>
      </c>
      <c r="B51" s="673" t="s">
        <v>1446</v>
      </c>
      <c r="C51" s="674" t="s">
        <v>483</v>
      </c>
      <c r="D51" s="675" t="s">
        <v>484</v>
      </c>
      <c r="E51" s="674" t="s">
        <v>488</v>
      </c>
      <c r="F51" s="675" t="s">
        <v>1447</v>
      </c>
      <c r="G51" s="674" t="s">
        <v>527</v>
      </c>
      <c r="H51" s="674" t="s">
        <v>653</v>
      </c>
      <c r="I51" s="674" t="s">
        <v>654</v>
      </c>
      <c r="J51" s="674" t="s">
        <v>655</v>
      </c>
      <c r="K51" s="674" t="s">
        <v>656</v>
      </c>
      <c r="L51" s="676">
        <v>98.209894865115672</v>
      </c>
      <c r="M51" s="676">
        <v>1</v>
      </c>
      <c r="N51" s="677">
        <v>98.209894865115672</v>
      </c>
    </row>
    <row r="52" spans="1:14" ht="14.4" customHeight="1" x14ac:dyDescent="0.3">
      <c r="A52" s="672" t="s">
        <v>478</v>
      </c>
      <c r="B52" s="673" t="s">
        <v>1446</v>
      </c>
      <c r="C52" s="674" t="s">
        <v>483</v>
      </c>
      <c r="D52" s="675" t="s">
        <v>484</v>
      </c>
      <c r="E52" s="674" t="s">
        <v>488</v>
      </c>
      <c r="F52" s="675" t="s">
        <v>1447</v>
      </c>
      <c r="G52" s="674" t="s">
        <v>527</v>
      </c>
      <c r="H52" s="674" t="s">
        <v>657</v>
      </c>
      <c r="I52" s="674" t="s">
        <v>658</v>
      </c>
      <c r="J52" s="674" t="s">
        <v>659</v>
      </c>
      <c r="K52" s="674" t="s">
        <v>660</v>
      </c>
      <c r="L52" s="676">
        <v>125.43000000000002</v>
      </c>
      <c r="M52" s="676">
        <v>10</v>
      </c>
      <c r="N52" s="677">
        <v>1254.3000000000002</v>
      </c>
    </row>
    <row r="53" spans="1:14" ht="14.4" customHeight="1" x14ac:dyDescent="0.3">
      <c r="A53" s="672" t="s">
        <v>478</v>
      </c>
      <c r="B53" s="673" t="s">
        <v>1446</v>
      </c>
      <c r="C53" s="674" t="s">
        <v>483</v>
      </c>
      <c r="D53" s="675" t="s">
        <v>484</v>
      </c>
      <c r="E53" s="674" t="s">
        <v>488</v>
      </c>
      <c r="F53" s="675" t="s">
        <v>1447</v>
      </c>
      <c r="G53" s="674" t="s">
        <v>527</v>
      </c>
      <c r="H53" s="674" t="s">
        <v>661</v>
      </c>
      <c r="I53" s="674" t="s">
        <v>662</v>
      </c>
      <c r="J53" s="674" t="s">
        <v>663</v>
      </c>
      <c r="K53" s="674" t="s">
        <v>664</v>
      </c>
      <c r="L53" s="676">
        <v>94.739999999999981</v>
      </c>
      <c r="M53" s="676">
        <v>15</v>
      </c>
      <c r="N53" s="677">
        <v>1421.0999999999997</v>
      </c>
    </row>
    <row r="54" spans="1:14" ht="14.4" customHeight="1" x14ac:dyDescent="0.3">
      <c r="A54" s="672" t="s">
        <v>478</v>
      </c>
      <c r="B54" s="673" t="s">
        <v>1446</v>
      </c>
      <c r="C54" s="674" t="s">
        <v>483</v>
      </c>
      <c r="D54" s="675" t="s">
        <v>484</v>
      </c>
      <c r="E54" s="674" t="s">
        <v>488</v>
      </c>
      <c r="F54" s="675" t="s">
        <v>1447</v>
      </c>
      <c r="G54" s="674" t="s">
        <v>527</v>
      </c>
      <c r="H54" s="674" t="s">
        <v>665</v>
      </c>
      <c r="I54" s="674" t="s">
        <v>666</v>
      </c>
      <c r="J54" s="674" t="s">
        <v>667</v>
      </c>
      <c r="K54" s="674" t="s">
        <v>668</v>
      </c>
      <c r="L54" s="676">
        <v>60.139999999999993</v>
      </c>
      <c r="M54" s="676">
        <v>15</v>
      </c>
      <c r="N54" s="677">
        <v>902.09999999999991</v>
      </c>
    </row>
    <row r="55" spans="1:14" ht="14.4" customHeight="1" x14ac:dyDescent="0.3">
      <c r="A55" s="672" t="s">
        <v>478</v>
      </c>
      <c r="B55" s="673" t="s">
        <v>1446</v>
      </c>
      <c r="C55" s="674" t="s">
        <v>483</v>
      </c>
      <c r="D55" s="675" t="s">
        <v>484</v>
      </c>
      <c r="E55" s="674" t="s">
        <v>488</v>
      </c>
      <c r="F55" s="675" t="s">
        <v>1447</v>
      </c>
      <c r="G55" s="674" t="s">
        <v>527</v>
      </c>
      <c r="H55" s="674" t="s">
        <v>669</v>
      </c>
      <c r="I55" s="674" t="s">
        <v>670</v>
      </c>
      <c r="J55" s="674" t="s">
        <v>671</v>
      </c>
      <c r="K55" s="674" t="s">
        <v>672</v>
      </c>
      <c r="L55" s="676">
        <v>127.45001316403301</v>
      </c>
      <c r="M55" s="676">
        <v>8</v>
      </c>
      <c r="N55" s="677">
        <v>1019.6001053122641</v>
      </c>
    </row>
    <row r="56" spans="1:14" ht="14.4" customHeight="1" x14ac:dyDescent="0.3">
      <c r="A56" s="672" t="s">
        <v>478</v>
      </c>
      <c r="B56" s="673" t="s">
        <v>1446</v>
      </c>
      <c r="C56" s="674" t="s">
        <v>483</v>
      </c>
      <c r="D56" s="675" t="s">
        <v>484</v>
      </c>
      <c r="E56" s="674" t="s">
        <v>488</v>
      </c>
      <c r="F56" s="675" t="s">
        <v>1447</v>
      </c>
      <c r="G56" s="674" t="s">
        <v>527</v>
      </c>
      <c r="H56" s="674" t="s">
        <v>673</v>
      </c>
      <c r="I56" s="674" t="s">
        <v>674</v>
      </c>
      <c r="J56" s="674" t="s">
        <v>675</v>
      </c>
      <c r="K56" s="674" t="s">
        <v>676</v>
      </c>
      <c r="L56" s="676">
        <v>142.43000000000004</v>
      </c>
      <c r="M56" s="676">
        <v>1</v>
      </c>
      <c r="N56" s="677">
        <v>142.43000000000004</v>
      </c>
    </row>
    <row r="57" spans="1:14" ht="14.4" customHeight="1" x14ac:dyDescent="0.3">
      <c r="A57" s="672" t="s">
        <v>478</v>
      </c>
      <c r="B57" s="673" t="s">
        <v>1446</v>
      </c>
      <c r="C57" s="674" t="s">
        <v>483</v>
      </c>
      <c r="D57" s="675" t="s">
        <v>484</v>
      </c>
      <c r="E57" s="674" t="s">
        <v>488</v>
      </c>
      <c r="F57" s="675" t="s">
        <v>1447</v>
      </c>
      <c r="G57" s="674" t="s">
        <v>527</v>
      </c>
      <c r="H57" s="674" t="s">
        <v>677</v>
      </c>
      <c r="I57" s="674" t="s">
        <v>678</v>
      </c>
      <c r="J57" s="674" t="s">
        <v>679</v>
      </c>
      <c r="K57" s="674" t="s">
        <v>680</v>
      </c>
      <c r="L57" s="676">
        <v>44.970000000000006</v>
      </c>
      <c r="M57" s="676">
        <v>10</v>
      </c>
      <c r="N57" s="677">
        <v>449.70000000000005</v>
      </c>
    </row>
    <row r="58" spans="1:14" ht="14.4" customHeight="1" x14ac:dyDescent="0.3">
      <c r="A58" s="672" t="s">
        <v>478</v>
      </c>
      <c r="B58" s="673" t="s">
        <v>1446</v>
      </c>
      <c r="C58" s="674" t="s">
        <v>483</v>
      </c>
      <c r="D58" s="675" t="s">
        <v>484</v>
      </c>
      <c r="E58" s="674" t="s">
        <v>488</v>
      </c>
      <c r="F58" s="675" t="s">
        <v>1447</v>
      </c>
      <c r="G58" s="674" t="s">
        <v>527</v>
      </c>
      <c r="H58" s="674" t="s">
        <v>681</v>
      </c>
      <c r="I58" s="674" t="s">
        <v>682</v>
      </c>
      <c r="J58" s="674" t="s">
        <v>683</v>
      </c>
      <c r="K58" s="674" t="s">
        <v>684</v>
      </c>
      <c r="L58" s="676">
        <v>86.219794871794875</v>
      </c>
      <c r="M58" s="676">
        <v>39</v>
      </c>
      <c r="N58" s="677">
        <v>3362.5720000000001</v>
      </c>
    </row>
    <row r="59" spans="1:14" ht="14.4" customHeight="1" x14ac:dyDescent="0.3">
      <c r="A59" s="672" t="s">
        <v>478</v>
      </c>
      <c r="B59" s="673" t="s">
        <v>1446</v>
      </c>
      <c r="C59" s="674" t="s">
        <v>483</v>
      </c>
      <c r="D59" s="675" t="s">
        <v>484</v>
      </c>
      <c r="E59" s="674" t="s">
        <v>488</v>
      </c>
      <c r="F59" s="675" t="s">
        <v>1447</v>
      </c>
      <c r="G59" s="674" t="s">
        <v>527</v>
      </c>
      <c r="H59" s="674" t="s">
        <v>685</v>
      </c>
      <c r="I59" s="674" t="s">
        <v>686</v>
      </c>
      <c r="J59" s="674" t="s">
        <v>687</v>
      </c>
      <c r="K59" s="674" t="s">
        <v>688</v>
      </c>
      <c r="L59" s="676">
        <v>48.680000000000014</v>
      </c>
      <c r="M59" s="676">
        <v>21</v>
      </c>
      <c r="N59" s="677">
        <v>1022.2800000000003</v>
      </c>
    </row>
    <row r="60" spans="1:14" ht="14.4" customHeight="1" x14ac:dyDescent="0.3">
      <c r="A60" s="672" t="s">
        <v>478</v>
      </c>
      <c r="B60" s="673" t="s">
        <v>1446</v>
      </c>
      <c r="C60" s="674" t="s">
        <v>483</v>
      </c>
      <c r="D60" s="675" t="s">
        <v>484</v>
      </c>
      <c r="E60" s="674" t="s">
        <v>488</v>
      </c>
      <c r="F60" s="675" t="s">
        <v>1447</v>
      </c>
      <c r="G60" s="674" t="s">
        <v>527</v>
      </c>
      <c r="H60" s="674" t="s">
        <v>689</v>
      </c>
      <c r="I60" s="674" t="s">
        <v>689</v>
      </c>
      <c r="J60" s="674" t="s">
        <v>617</v>
      </c>
      <c r="K60" s="674" t="s">
        <v>690</v>
      </c>
      <c r="L60" s="676">
        <v>108.7</v>
      </c>
      <c r="M60" s="676">
        <v>3</v>
      </c>
      <c r="N60" s="677">
        <v>326.10000000000002</v>
      </c>
    </row>
    <row r="61" spans="1:14" ht="14.4" customHeight="1" x14ac:dyDescent="0.3">
      <c r="A61" s="672" t="s">
        <v>478</v>
      </c>
      <c r="B61" s="673" t="s">
        <v>1446</v>
      </c>
      <c r="C61" s="674" t="s">
        <v>483</v>
      </c>
      <c r="D61" s="675" t="s">
        <v>484</v>
      </c>
      <c r="E61" s="674" t="s">
        <v>488</v>
      </c>
      <c r="F61" s="675" t="s">
        <v>1447</v>
      </c>
      <c r="G61" s="674" t="s">
        <v>527</v>
      </c>
      <c r="H61" s="674" t="s">
        <v>691</v>
      </c>
      <c r="I61" s="674" t="s">
        <v>692</v>
      </c>
      <c r="J61" s="674" t="s">
        <v>693</v>
      </c>
      <c r="K61" s="674" t="s">
        <v>694</v>
      </c>
      <c r="L61" s="676">
        <v>210.01934505286437</v>
      </c>
      <c r="M61" s="676">
        <v>49</v>
      </c>
      <c r="N61" s="677">
        <v>10290.947907590355</v>
      </c>
    </row>
    <row r="62" spans="1:14" ht="14.4" customHeight="1" x14ac:dyDescent="0.3">
      <c r="A62" s="672" t="s">
        <v>478</v>
      </c>
      <c r="B62" s="673" t="s">
        <v>1446</v>
      </c>
      <c r="C62" s="674" t="s">
        <v>483</v>
      </c>
      <c r="D62" s="675" t="s">
        <v>484</v>
      </c>
      <c r="E62" s="674" t="s">
        <v>488</v>
      </c>
      <c r="F62" s="675" t="s">
        <v>1447</v>
      </c>
      <c r="G62" s="674" t="s">
        <v>527</v>
      </c>
      <c r="H62" s="674" t="s">
        <v>695</v>
      </c>
      <c r="I62" s="674" t="s">
        <v>696</v>
      </c>
      <c r="J62" s="674" t="s">
        <v>697</v>
      </c>
      <c r="K62" s="674" t="s">
        <v>698</v>
      </c>
      <c r="L62" s="676">
        <v>375.80000000000007</v>
      </c>
      <c r="M62" s="676">
        <v>10</v>
      </c>
      <c r="N62" s="677">
        <v>3758.0000000000005</v>
      </c>
    </row>
    <row r="63" spans="1:14" ht="14.4" customHeight="1" x14ac:dyDescent="0.3">
      <c r="A63" s="672" t="s">
        <v>478</v>
      </c>
      <c r="B63" s="673" t="s">
        <v>1446</v>
      </c>
      <c r="C63" s="674" t="s">
        <v>483</v>
      </c>
      <c r="D63" s="675" t="s">
        <v>484</v>
      </c>
      <c r="E63" s="674" t="s">
        <v>488</v>
      </c>
      <c r="F63" s="675" t="s">
        <v>1447</v>
      </c>
      <c r="G63" s="674" t="s">
        <v>527</v>
      </c>
      <c r="H63" s="674" t="s">
        <v>699</v>
      </c>
      <c r="I63" s="674" t="s">
        <v>700</v>
      </c>
      <c r="J63" s="674" t="s">
        <v>701</v>
      </c>
      <c r="K63" s="674" t="s">
        <v>702</v>
      </c>
      <c r="L63" s="676">
        <v>112.37999999999997</v>
      </c>
      <c r="M63" s="676">
        <v>4</v>
      </c>
      <c r="N63" s="677">
        <v>449.51999999999987</v>
      </c>
    </row>
    <row r="64" spans="1:14" ht="14.4" customHeight="1" x14ac:dyDescent="0.3">
      <c r="A64" s="672" t="s">
        <v>478</v>
      </c>
      <c r="B64" s="673" t="s">
        <v>1446</v>
      </c>
      <c r="C64" s="674" t="s">
        <v>483</v>
      </c>
      <c r="D64" s="675" t="s">
        <v>484</v>
      </c>
      <c r="E64" s="674" t="s">
        <v>488</v>
      </c>
      <c r="F64" s="675" t="s">
        <v>1447</v>
      </c>
      <c r="G64" s="674" t="s">
        <v>527</v>
      </c>
      <c r="H64" s="674" t="s">
        <v>703</v>
      </c>
      <c r="I64" s="674" t="s">
        <v>704</v>
      </c>
      <c r="J64" s="674" t="s">
        <v>705</v>
      </c>
      <c r="K64" s="674" t="s">
        <v>706</v>
      </c>
      <c r="L64" s="676">
        <v>60.300000000000004</v>
      </c>
      <c r="M64" s="676">
        <v>7</v>
      </c>
      <c r="N64" s="677">
        <v>422.1</v>
      </c>
    </row>
    <row r="65" spans="1:14" ht="14.4" customHeight="1" x14ac:dyDescent="0.3">
      <c r="A65" s="672" t="s">
        <v>478</v>
      </c>
      <c r="B65" s="673" t="s">
        <v>1446</v>
      </c>
      <c r="C65" s="674" t="s">
        <v>483</v>
      </c>
      <c r="D65" s="675" t="s">
        <v>484</v>
      </c>
      <c r="E65" s="674" t="s">
        <v>488</v>
      </c>
      <c r="F65" s="675" t="s">
        <v>1447</v>
      </c>
      <c r="G65" s="674" t="s">
        <v>527</v>
      </c>
      <c r="H65" s="674" t="s">
        <v>707</v>
      </c>
      <c r="I65" s="674" t="s">
        <v>708</v>
      </c>
      <c r="J65" s="674" t="s">
        <v>709</v>
      </c>
      <c r="K65" s="674" t="s">
        <v>710</v>
      </c>
      <c r="L65" s="676">
        <v>26.28</v>
      </c>
      <c r="M65" s="676">
        <v>1</v>
      </c>
      <c r="N65" s="677">
        <v>26.28</v>
      </c>
    </row>
    <row r="66" spans="1:14" ht="14.4" customHeight="1" x14ac:dyDescent="0.3">
      <c r="A66" s="672" t="s">
        <v>478</v>
      </c>
      <c r="B66" s="673" t="s">
        <v>1446</v>
      </c>
      <c r="C66" s="674" t="s">
        <v>483</v>
      </c>
      <c r="D66" s="675" t="s">
        <v>484</v>
      </c>
      <c r="E66" s="674" t="s">
        <v>488</v>
      </c>
      <c r="F66" s="675" t="s">
        <v>1447</v>
      </c>
      <c r="G66" s="674" t="s">
        <v>527</v>
      </c>
      <c r="H66" s="674" t="s">
        <v>711</v>
      </c>
      <c r="I66" s="674" t="s">
        <v>712</v>
      </c>
      <c r="J66" s="674" t="s">
        <v>713</v>
      </c>
      <c r="K66" s="674" t="s">
        <v>714</v>
      </c>
      <c r="L66" s="676">
        <v>219.92000000000002</v>
      </c>
      <c r="M66" s="676">
        <v>58</v>
      </c>
      <c r="N66" s="677">
        <v>12755.36</v>
      </c>
    </row>
    <row r="67" spans="1:14" ht="14.4" customHeight="1" x14ac:dyDescent="0.3">
      <c r="A67" s="672" t="s">
        <v>478</v>
      </c>
      <c r="B67" s="673" t="s">
        <v>1446</v>
      </c>
      <c r="C67" s="674" t="s">
        <v>483</v>
      </c>
      <c r="D67" s="675" t="s">
        <v>484</v>
      </c>
      <c r="E67" s="674" t="s">
        <v>488</v>
      </c>
      <c r="F67" s="675" t="s">
        <v>1447</v>
      </c>
      <c r="G67" s="674" t="s">
        <v>527</v>
      </c>
      <c r="H67" s="674" t="s">
        <v>715</v>
      </c>
      <c r="I67" s="674" t="s">
        <v>715</v>
      </c>
      <c r="J67" s="674" t="s">
        <v>716</v>
      </c>
      <c r="K67" s="674" t="s">
        <v>717</v>
      </c>
      <c r="L67" s="676">
        <v>365.41000000000008</v>
      </c>
      <c r="M67" s="676">
        <v>1</v>
      </c>
      <c r="N67" s="677">
        <v>365.41000000000008</v>
      </c>
    </row>
    <row r="68" spans="1:14" ht="14.4" customHeight="1" x14ac:dyDescent="0.3">
      <c r="A68" s="672" t="s">
        <v>478</v>
      </c>
      <c r="B68" s="673" t="s">
        <v>1446</v>
      </c>
      <c r="C68" s="674" t="s">
        <v>483</v>
      </c>
      <c r="D68" s="675" t="s">
        <v>484</v>
      </c>
      <c r="E68" s="674" t="s">
        <v>488</v>
      </c>
      <c r="F68" s="675" t="s">
        <v>1447</v>
      </c>
      <c r="G68" s="674" t="s">
        <v>527</v>
      </c>
      <c r="H68" s="674" t="s">
        <v>718</v>
      </c>
      <c r="I68" s="674" t="s">
        <v>719</v>
      </c>
      <c r="J68" s="674" t="s">
        <v>720</v>
      </c>
      <c r="K68" s="674"/>
      <c r="L68" s="676">
        <v>218.2</v>
      </c>
      <c r="M68" s="676">
        <v>5</v>
      </c>
      <c r="N68" s="677">
        <v>1091</v>
      </c>
    </row>
    <row r="69" spans="1:14" ht="14.4" customHeight="1" x14ac:dyDescent="0.3">
      <c r="A69" s="672" t="s">
        <v>478</v>
      </c>
      <c r="B69" s="673" t="s">
        <v>1446</v>
      </c>
      <c r="C69" s="674" t="s">
        <v>483</v>
      </c>
      <c r="D69" s="675" t="s">
        <v>484</v>
      </c>
      <c r="E69" s="674" t="s">
        <v>488</v>
      </c>
      <c r="F69" s="675" t="s">
        <v>1447</v>
      </c>
      <c r="G69" s="674" t="s">
        <v>527</v>
      </c>
      <c r="H69" s="674" t="s">
        <v>721</v>
      </c>
      <c r="I69" s="674" t="s">
        <v>722</v>
      </c>
      <c r="J69" s="674" t="s">
        <v>723</v>
      </c>
      <c r="K69" s="674" t="s">
        <v>724</v>
      </c>
      <c r="L69" s="676">
        <v>73.060960157934389</v>
      </c>
      <c r="M69" s="676">
        <v>54</v>
      </c>
      <c r="N69" s="677">
        <v>3945.2918485284572</v>
      </c>
    </row>
    <row r="70" spans="1:14" ht="14.4" customHeight="1" x14ac:dyDescent="0.3">
      <c r="A70" s="672" t="s">
        <v>478</v>
      </c>
      <c r="B70" s="673" t="s">
        <v>1446</v>
      </c>
      <c r="C70" s="674" t="s">
        <v>483</v>
      </c>
      <c r="D70" s="675" t="s">
        <v>484</v>
      </c>
      <c r="E70" s="674" t="s">
        <v>488</v>
      </c>
      <c r="F70" s="675" t="s">
        <v>1447</v>
      </c>
      <c r="G70" s="674" t="s">
        <v>527</v>
      </c>
      <c r="H70" s="674" t="s">
        <v>725</v>
      </c>
      <c r="I70" s="674" t="s">
        <v>719</v>
      </c>
      <c r="J70" s="674" t="s">
        <v>726</v>
      </c>
      <c r="K70" s="674" t="s">
        <v>727</v>
      </c>
      <c r="L70" s="676">
        <v>1377.51</v>
      </c>
      <c r="M70" s="676">
        <v>2</v>
      </c>
      <c r="N70" s="677">
        <v>2755.02</v>
      </c>
    </row>
    <row r="71" spans="1:14" ht="14.4" customHeight="1" x14ac:dyDescent="0.3">
      <c r="A71" s="672" t="s">
        <v>478</v>
      </c>
      <c r="B71" s="673" t="s">
        <v>1446</v>
      </c>
      <c r="C71" s="674" t="s">
        <v>483</v>
      </c>
      <c r="D71" s="675" t="s">
        <v>484</v>
      </c>
      <c r="E71" s="674" t="s">
        <v>488</v>
      </c>
      <c r="F71" s="675" t="s">
        <v>1447</v>
      </c>
      <c r="G71" s="674" t="s">
        <v>527</v>
      </c>
      <c r="H71" s="674" t="s">
        <v>728</v>
      </c>
      <c r="I71" s="674" t="s">
        <v>729</v>
      </c>
      <c r="J71" s="674" t="s">
        <v>730</v>
      </c>
      <c r="K71" s="674" t="s">
        <v>731</v>
      </c>
      <c r="L71" s="676">
        <v>67.390000000000015</v>
      </c>
      <c r="M71" s="676">
        <v>2</v>
      </c>
      <c r="N71" s="677">
        <v>134.78000000000003</v>
      </c>
    </row>
    <row r="72" spans="1:14" ht="14.4" customHeight="1" x14ac:dyDescent="0.3">
      <c r="A72" s="672" t="s">
        <v>478</v>
      </c>
      <c r="B72" s="673" t="s">
        <v>1446</v>
      </c>
      <c r="C72" s="674" t="s">
        <v>483</v>
      </c>
      <c r="D72" s="675" t="s">
        <v>484</v>
      </c>
      <c r="E72" s="674" t="s">
        <v>488</v>
      </c>
      <c r="F72" s="675" t="s">
        <v>1447</v>
      </c>
      <c r="G72" s="674" t="s">
        <v>527</v>
      </c>
      <c r="H72" s="674" t="s">
        <v>732</v>
      </c>
      <c r="I72" s="674" t="s">
        <v>733</v>
      </c>
      <c r="J72" s="674" t="s">
        <v>734</v>
      </c>
      <c r="K72" s="674" t="s">
        <v>735</v>
      </c>
      <c r="L72" s="676">
        <v>112.95999999999997</v>
      </c>
      <c r="M72" s="676">
        <v>2</v>
      </c>
      <c r="N72" s="677">
        <v>225.91999999999993</v>
      </c>
    </row>
    <row r="73" spans="1:14" ht="14.4" customHeight="1" x14ac:dyDescent="0.3">
      <c r="A73" s="672" t="s">
        <v>478</v>
      </c>
      <c r="B73" s="673" t="s">
        <v>1446</v>
      </c>
      <c r="C73" s="674" t="s">
        <v>483</v>
      </c>
      <c r="D73" s="675" t="s">
        <v>484</v>
      </c>
      <c r="E73" s="674" t="s">
        <v>488</v>
      </c>
      <c r="F73" s="675" t="s">
        <v>1447</v>
      </c>
      <c r="G73" s="674" t="s">
        <v>527</v>
      </c>
      <c r="H73" s="674" t="s">
        <v>736</v>
      </c>
      <c r="I73" s="674" t="s">
        <v>737</v>
      </c>
      <c r="J73" s="674" t="s">
        <v>738</v>
      </c>
      <c r="K73" s="674" t="s">
        <v>739</v>
      </c>
      <c r="L73" s="676">
        <v>73.469826553259622</v>
      </c>
      <c r="M73" s="676">
        <v>191</v>
      </c>
      <c r="N73" s="677">
        <v>14032.736871672587</v>
      </c>
    </row>
    <row r="74" spans="1:14" ht="14.4" customHeight="1" x14ac:dyDescent="0.3">
      <c r="A74" s="672" t="s">
        <v>478</v>
      </c>
      <c r="B74" s="673" t="s">
        <v>1446</v>
      </c>
      <c r="C74" s="674" t="s">
        <v>483</v>
      </c>
      <c r="D74" s="675" t="s">
        <v>484</v>
      </c>
      <c r="E74" s="674" t="s">
        <v>488</v>
      </c>
      <c r="F74" s="675" t="s">
        <v>1447</v>
      </c>
      <c r="G74" s="674" t="s">
        <v>527</v>
      </c>
      <c r="H74" s="674" t="s">
        <v>740</v>
      </c>
      <c r="I74" s="674" t="s">
        <v>741</v>
      </c>
      <c r="J74" s="674" t="s">
        <v>742</v>
      </c>
      <c r="K74" s="674" t="s">
        <v>743</v>
      </c>
      <c r="L74" s="676">
        <v>87.570000000000007</v>
      </c>
      <c r="M74" s="676">
        <v>1</v>
      </c>
      <c r="N74" s="677">
        <v>87.570000000000007</v>
      </c>
    </row>
    <row r="75" spans="1:14" ht="14.4" customHeight="1" x14ac:dyDescent="0.3">
      <c r="A75" s="672" t="s">
        <v>478</v>
      </c>
      <c r="B75" s="673" t="s">
        <v>1446</v>
      </c>
      <c r="C75" s="674" t="s">
        <v>483</v>
      </c>
      <c r="D75" s="675" t="s">
        <v>484</v>
      </c>
      <c r="E75" s="674" t="s">
        <v>488</v>
      </c>
      <c r="F75" s="675" t="s">
        <v>1447</v>
      </c>
      <c r="G75" s="674" t="s">
        <v>527</v>
      </c>
      <c r="H75" s="674" t="s">
        <v>744</v>
      </c>
      <c r="I75" s="674" t="s">
        <v>745</v>
      </c>
      <c r="J75" s="674" t="s">
        <v>746</v>
      </c>
      <c r="K75" s="674" t="s">
        <v>747</v>
      </c>
      <c r="L75" s="676">
        <v>53.900000000000013</v>
      </c>
      <c r="M75" s="676">
        <v>1</v>
      </c>
      <c r="N75" s="677">
        <v>53.900000000000013</v>
      </c>
    </row>
    <row r="76" spans="1:14" ht="14.4" customHeight="1" x14ac:dyDescent="0.3">
      <c r="A76" s="672" t="s">
        <v>478</v>
      </c>
      <c r="B76" s="673" t="s">
        <v>1446</v>
      </c>
      <c r="C76" s="674" t="s">
        <v>483</v>
      </c>
      <c r="D76" s="675" t="s">
        <v>484</v>
      </c>
      <c r="E76" s="674" t="s">
        <v>488</v>
      </c>
      <c r="F76" s="675" t="s">
        <v>1447</v>
      </c>
      <c r="G76" s="674" t="s">
        <v>527</v>
      </c>
      <c r="H76" s="674" t="s">
        <v>748</v>
      </c>
      <c r="I76" s="674" t="s">
        <v>749</v>
      </c>
      <c r="J76" s="674" t="s">
        <v>750</v>
      </c>
      <c r="K76" s="674" t="s">
        <v>751</v>
      </c>
      <c r="L76" s="676">
        <v>67.628</v>
      </c>
      <c r="M76" s="676">
        <v>5</v>
      </c>
      <c r="N76" s="677">
        <v>338.14</v>
      </c>
    </row>
    <row r="77" spans="1:14" ht="14.4" customHeight="1" x14ac:dyDescent="0.3">
      <c r="A77" s="672" t="s">
        <v>478</v>
      </c>
      <c r="B77" s="673" t="s">
        <v>1446</v>
      </c>
      <c r="C77" s="674" t="s">
        <v>483</v>
      </c>
      <c r="D77" s="675" t="s">
        <v>484</v>
      </c>
      <c r="E77" s="674" t="s">
        <v>488</v>
      </c>
      <c r="F77" s="675" t="s">
        <v>1447</v>
      </c>
      <c r="G77" s="674" t="s">
        <v>527</v>
      </c>
      <c r="H77" s="674" t="s">
        <v>752</v>
      </c>
      <c r="I77" s="674" t="s">
        <v>753</v>
      </c>
      <c r="J77" s="674" t="s">
        <v>754</v>
      </c>
      <c r="K77" s="674" t="s">
        <v>755</v>
      </c>
      <c r="L77" s="676">
        <v>61.72989878703104</v>
      </c>
      <c r="M77" s="676">
        <v>1</v>
      </c>
      <c r="N77" s="677">
        <v>61.72989878703104</v>
      </c>
    </row>
    <row r="78" spans="1:14" ht="14.4" customHeight="1" x14ac:dyDescent="0.3">
      <c r="A78" s="672" t="s">
        <v>478</v>
      </c>
      <c r="B78" s="673" t="s">
        <v>1446</v>
      </c>
      <c r="C78" s="674" t="s">
        <v>483</v>
      </c>
      <c r="D78" s="675" t="s">
        <v>484</v>
      </c>
      <c r="E78" s="674" t="s">
        <v>488</v>
      </c>
      <c r="F78" s="675" t="s">
        <v>1447</v>
      </c>
      <c r="G78" s="674" t="s">
        <v>527</v>
      </c>
      <c r="H78" s="674" t="s">
        <v>756</v>
      </c>
      <c r="I78" s="674" t="s">
        <v>757</v>
      </c>
      <c r="J78" s="674" t="s">
        <v>758</v>
      </c>
      <c r="K78" s="674" t="s">
        <v>759</v>
      </c>
      <c r="L78" s="676">
        <v>115.67014000708738</v>
      </c>
      <c r="M78" s="676">
        <v>1</v>
      </c>
      <c r="N78" s="677">
        <v>115.67014000708738</v>
      </c>
    </row>
    <row r="79" spans="1:14" ht="14.4" customHeight="1" x14ac:dyDescent="0.3">
      <c r="A79" s="672" t="s">
        <v>478</v>
      </c>
      <c r="B79" s="673" t="s">
        <v>1446</v>
      </c>
      <c r="C79" s="674" t="s">
        <v>483</v>
      </c>
      <c r="D79" s="675" t="s">
        <v>484</v>
      </c>
      <c r="E79" s="674" t="s">
        <v>488</v>
      </c>
      <c r="F79" s="675" t="s">
        <v>1447</v>
      </c>
      <c r="G79" s="674" t="s">
        <v>527</v>
      </c>
      <c r="H79" s="674" t="s">
        <v>760</v>
      </c>
      <c r="I79" s="674" t="s">
        <v>761</v>
      </c>
      <c r="J79" s="674" t="s">
        <v>762</v>
      </c>
      <c r="K79" s="674" t="s">
        <v>763</v>
      </c>
      <c r="L79" s="676">
        <v>1543.76</v>
      </c>
      <c r="M79" s="676">
        <v>5</v>
      </c>
      <c r="N79" s="677">
        <v>7718.8</v>
      </c>
    </row>
    <row r="80" spans="1:14" ht="14.4" customHeight="1" x14ac:dyDescent="0.3">
      <c r="A80" s="672" t="s">
        <v>478</v>
      </c>
      <c r="B80" s="673" t="s">
        <v>1446</v>
      </c>
      <c r="C80" s="674" t="s">
        <v>483</v>
      </c>
      <c r="D80" s="675" t="s">
        <v>484</v>
      </c>
      <c r="E80" s="674" t="s">
        <v>488</v>
      </c>
      <c r="F80" s="675" t="s">
        <v>1447</v>
      </c>
      <c r="G80" s="674" t="s">
        <v>527</v>
      </c>
      <c r="H80" s="674" t="s">
        <v>764</v>
      </c>
      <c r="I80" s="674" t="s">
        <v>719</v>
      </c>
      <c r="J80" s="674" t="s">
        <v>765</v>
      </c>
      <c r="K80" s="674" t="s">
        <v>766</v>
      </c>
      <c r="L80" s="676">
        <v>162.14817149925446</v>
      </c>
      <c r="M80" s="676">
        <v>1</v>
      </c>
      <c r="N80" s="677">
        <v>162.14817149925446</v>
      </c>
    </row>
    <row r="81" spans="1:14" ht="14.4" customHeight="1" x14ac:dyDescent="0.3">
      <c r="A81" s="672" t="s">
        <v>478</v>
      </c>
      <c r="B81" s="673" t="s">
        <v>1446</v>
      </c>
      <c r="C81" s="674" t="s">
        <v>483</v>
      </c>
      <c r="D81" s="675" t="s">
        <v>484</v>
      </c>
      <c r="E81" s="674" t="s">
        <v>488</v>
      </c>
      <c r="F81" s="675" t="s">
        <v>1447</v>
      </c>
      <c r="G81" s="674" t="s">
        <v>527</v>
      </c>
      <c r="H81" s="674" t="s">
        <v>767</v>
      </c>
      <c r="I81" s="674" t="s">
        <v>767</v>
      </c>
      <c r="J81" s="674" t="s">
        <v>529</v>
      </c>
      <c r="K81" s="674" t="s">
        <v>768</v>
      </c>
      <c r="L81" s="676">
        <v>192.5</v>
      </c>
      <c r="M81" s="676">
        <v>15</v>
      </c>
      <c r="N81" s="677">
        <v>2887.5</v>
      </c>
    </row>
    <row r="82" spans="1:14" ht="14.4" customHeight="1" x14ac:dyDescent="0.3">
      <c r="A82" s="672" t="s">
        <v>478</v>
      </c>
      <c r="B82" s="673" t="s">
        <v>1446</v>
      </c>
      <c r="C82" s="674" t="s">
        <v>483</v>
      </c>
      <c r="D82" s="675" t="s">
        <v>484</v>
      </c>
      <c r="E82" s="674" t="s">
        <v>488</v>
      </c>
      <c r="F82" s="675" t="s">
        <v>1447</v>
      </c>
      <c r="G82" s="674" t="s">
        <v>527</v>
      </c>
      <c r="H82" s="674" t="s">
        <v>769</v>
      </c>
      <c r="I82" s="674" t="s">
        <v>769</v>
      </c>
      <c r="J82" s="674" t="s">
        <v>770</v>
      </c>
      <c r="K82" s="674" t="s">
        <v>771</v>
      </c>
      <c r="L82" s="676">
        <v>94.25</v>
      </c>
      <c r="M82" s="676">
        <v>1</v>
      </c>
      <c r="N82" s="677">
        <v>94.25</v>
      </c>
    </row>
    <row r="83" spans="1:14" ht="14.4" customHeight="1" x14ac:dyDescent="0.3">
      <c r="A83" s="672" t="s">
        <v>478</v>
      </c>
      <c r="B83" s="673" t="s">
        <v>1446</v>
      </c>
      <c r="C83" s="674" t="s">
        <v>483</v>
      </c>
      <c r="D83" s="675" t="s">
        <v>484</v>
      </c>
      <c r="E83" s="674" t="s">
        <v>488</v>
      </c>
      <c r="F83" s="675" t="s">
        <v>1447</v>
      </c>
      <c r="G83" s="674" t="s">
        <v>527</v>
      </c>
      <c r="H83" s="674" t="s">
        <v>772</v>
      </c>
      <c r="I83" s="674" t="s">
        <v>773</v>
      </c>
      <c r="J83" s="674" t="s">
        <v>566</v>
      </c>
      <c r="K83" s="674" t="s">
        <v>774</v>
      </c>
      <c r="L83" s="676">
        <v>42.169999999999995</v>
      </c>
      <c r="M83" s="676">
        <v>59</v>
      </c>
      <c r="N83" s="677">
        <v>2488.0299999999997</v>
      </c>
    </row>
    <row r="84" spans="1:14" ht="14.4" customHeight="1" x14ac:dyDescent="0.3">
      <c r="A84" s="672" t="s">
        <v>478</v>
      </c>
      <c r="B84" s="673" t="s">
        <v>1446</v>
      </c>
      <c r="C84" s="674" t="s">
        <v>483</v>
      </c>
      <c r="D84" s="675" t="s">
        <v>484</v>
      </c>
      <c r="E84" s="674" t="s">
        <v>488</v>
      </c>
      <c r="F84" s="675" t="s">
        <v>1447</v>
      </c>
      <c r="G84" s="674" t="s">
        <v>527</v>
      </c>
      <c r="H84" s="674" t="s">
        <v>775</v>
      </c>
      <c r="I84" s="674" t="s">
        <v>776</v>
      </c>
      <c r="J84" s="674" t="s">
        <v>777</v>
      </c>
      <c r="K84" s="674" t="s">
        <v>552</v>
      </c>
      <c r="L84" s="676">
        <v>57.120014076577434</v>
      </c>
      <c r="M84" s="676">
        <v>45</v>
      </c>
      <c r="N84" s="677">
        <v>2570.4006334459846</v>
      </c>
    </row>
    <row r="85" spans="1:14" ht="14.4" customHeight="1" x14ac:dyDescent="0.3">
      <c r="A85" s="672" t="s">
        <v>478</v>
      </c>
      <c r="B85" s="673" t="s">
        <v>1446</v>
      </c>
      <c r="C85" s="674" t="s">
        <v>483</v>
      </c>
      <c r="D85" s="675" t="s">
        <v>484</v>
      </c>
      <c r="E85" s="674" t="s">
        <v>488</v>
      </c>
      <c r="F85" s="675" t="s">
        <v>1447</v>
      </c>
      <c r="G85" s="674" t="s">
        <v>527</v>
      </c>
      <c r="H85" s="674" t="s">
        <v>778</v>
      </c>
      <c r="I85" s="674" t="s">
        <v>779</v>
      </c>
      <c r="J85" s="674" t="s">
        <v>780</v>
      </c>
      <c r="K85" s="674" t="s">
        <v>781</v>
      </c>
      <c r="L85" s="676">
        <v>60.279992397266305</v>
      </c>
      <c r="M85" s="676">
        <v>65</v>
      </c>
      <c r="N85" s="677">
        <v>3918.1995058223097</v>
      </c>
    </row>
    <row r="86" spans="1:14" ht="14.4" customHeight="1" x14ac:dyDescent="0.3">
      <c r="A86" s="672" t="s">
        <v>478</v>
      </c>
      <c r="B86" s="673" t="s">
        <v>1446</v>
      </c>
      <c r="C86" s="674" t="s">
        <v>483</v>
      </c>
      <c r="D86" s="675" t="s">
        <v>484</v>
      </c>
      <c r="E86" s="674" t="s">
        <v>488</v>
      </c>
      <c r="F86" s="675" t="s">
        <v>1447</v>
      </c>
      <c r="G86" s="674" t="s">
        <v>527</v>
      </c>
      <c r="H86" s="674" t="s">
        <v>782</v>
      </c>
      <c r="I86" s="674" t="s">
        <v>783</v>
      </c>
      <c r="J86" s="674" t="s">
        <v>784</v>
      </c>
      <c r="K86" s="674" t="s">
        <v>785</v>
      </c>
      <c r="L86" s="676">
        <v>1592.8</v>
      </c>
      <c r="M86" s="676">
        <v>39</v>
      </c>
      <c r="N86" s="677">
        <v>62119.199999999997</v>
      </c>
    </row>
    <row r="87" spans="1:14" ht="14.4" customHeight="1" x14ac:dyDescent="0.3">
      <c r="A87" s="672" t="s">
        <v>478</v>
      </c>
      <c r="B87" s="673" t="s">
        <v>1446</v>
      </c>
      <c r="C87" s="674" t="s">
        <v>483</v>
      </c>
      <c r="D87" s="675" t="s">
        <v>484</v>
      </c>
      <c r="E87" s="674" t="s">
        <v>488</v>
      </c>
      <c r="F87" s="675" t="s">
        <v>1447</v>
      </c>
      <c r="G87" s="674" t="s">
        <v>527</v>
      </c>
      <c r="H87" s="674" t="s">
        <v>786</v>
      </c>
      <c r="I87" s="674" t="s">
        <v>787</v>
      </c>
      <c r="J87" s="674" t="s">
        <v>788</v>
      </c>
      <c r="K87" s="674" t="s">
        <v>789</v>
      </c>
      <c r="L87" s="676">
        <v>74.88</v>
      </c>
      <c r="M87" s="676">
        <v>56</v>
      </c>
      <c r="N87" s="677">
        <v>4193.28</v>
      </c>
    </row>
    <row r="88" spans="1:14" ht="14.4" customHeight="1" x14ac:dyDescent="0.3">
      <c r="A88" s="672" t="s">
        <v>478</v>
      </c>
      <c r="B88" s="673" t="s">
        <v>1446</v>
      </c>
      <c r="C88" s="674" t="s">
        <v>483</v>
      </c>
      <c r="D88" s="675" t="s">
        <v>484</v>
      </c>
      <c r="E88" s="674" t="s">
        <v>488</v>
      </c>
      <c r="F88" s="675" t="s">
        <v>1447</v>
      </c>
      <c r="G88" s="674" t="s">
        <v>527</v>
      </c>
      <c r="H88" s="674" t="s">
        <v>790</v>
      </c>
      <c r="I88" s="674" t="s">
        <v>791</v>
      </c>
      <c r="J88" s="674" t="s">
        <v>629</v>
      </c>
      <c r="K88" s="674" t="s">
        <v>792</v>
      </c>
      <c r="L88" s="676">
        <v>242.00000042419924</v>
      </c>
      <c r="M88" s="676">
        <v>72</v>
      </c>
      <c r="N88" s="677">
        <v>17424.000030542345</v>
      </c>
    </row>
    <row r="89" spans="1:14" ht="14.4" customHeight="1" x14ac:dyDescent="0.3">
      <c r="A89" s="672" t="s">
        <v>478</v>
      </c>
      <c r="B89" s="673" t="s">
        <v>1446</v>
      </c>
      <c r="C89" s="674" t="s">
        <v>483</v>
      </c>
      <c r="D89" s="675" t="s">
        <v>484</v>
      </c>
      <c r="E89" s="674" t="s">
        <v>488</v>
      </c>
      <c r="F89" s="675" t="s">
        <v>1447</v>
      </c>
      <c r="G89" s="674" t="s">
        <v>527</v>
      </c>
      <c r="H89" s="674" t="s">
        <v>793</v>
      </c>
      <c r="I89" s="674" t="s">
        <v>794</v>
      </c>
      <c r="J89" s="674" t="s">
        <v>795</v>
      </c>
      <c r="K89" s="674" t="s">
        <v>796</v>
      </c>
      <c r="L89" s="676">
        <v>1704.5600000000006</v>
      </c>
      <c r="M89" s="676">
        <v>6</v>
      </c>
      <c r="N89" s="677">
        <v>10227.360000000004</v>
      </c>
    </row>
    <row r="90" spans="1:14" ht="14.4" customHeight="1" x14ac:dyDescent="0.3">
      <c r="A90" s="672" t="s">
        <v>478</v>
      </c>
      <c r="B90" s="673" t="s">
        <v>1446</v>
      </c>
      <c r="C90" s="674" t="s">
        <v>483</v>
      </c>
      <c r="D90" s="675" t="s">
        <v>484</v>
      </c>
      <c r="E90" s="674" t="s">
        <v>488</v>
      </c>
      <c r="F90" s="675" t="s">
        <v>1447</v>
      </c>
      <c r="G90" s="674" t="s">
        <v>527</v>
      </c>
      <c r="H90" s="674" t="s">
        <v>797</v>
      </c>
      <c r="I90" s="674" t="s">
        <v>798</v>
      </c>
      <c r="J90" s="674" t="s">
        <v>799</v>
      </c>
      <c r="K90" s="674" t="s">
        <v>800</v>
      </c>
      <c r="L90" s="676">
        <v>476.0596916972421</v>
      </c>
      <c r="M90" s="676">
        <v>15</v>
      </c>
      <c r="N90" s="677">
        <v>7140.8953754586319</v>
      </c>
    </row>
    <row r="91" spans="1:14" ht="14.4" customHeight="1" x14ac:dyDescent="0.3">
      <c r="A91" s="672" t="s">
        <v>478</v>
      </c>
      <c r="B91" s="673" t="s">
        <v>1446</v>
      </c>
      <c r="C91" s="674" t="s">
        <v>483</v>
      </c>
      <c r="D91" s="675" t="s">
        <v>484</v>
      </c>
      <c r="E91" s="674" t="s">
        <v>488</v>
      </c>
      <c r="F91" s="675" t="s">
        <v>1447</v>
      </c>
      <c r="G91" s="674" t="s">
        <v>527</v>
      </c>
      <c r="H91" s="674" t="s">
        <v>801</v>
      </c>
      <c r="I91" s="674" t="s">
        <v>802</v>
      </c>
      <c r="J91" s="674" t="s">
        <v>803</v>
      </c>
      <c r="K91" s="674" t="s">
        <v>804</v>
      </c>
      <c r="L91" s="676">
        <v>20.759</v>
      </c>
      <c r="M91" s="676">
        <v>120</v>
      </c>
      <c r="N91" s="677">
        <v>2491.08</v>
      </c>
    </row>
    <row r="92" spans="1:14" ht="14.4" customHeight="1" x14ac:dyDescent="0.3">
      <c r="A92" s="672" t="s">
        <v>478</v>
      </c>
      <c r="B92" s="673" t="s">
        <v>1446</v>
      </c>
      <c r="C92" s="674" t="s">
        <v>483</v>
      </c>
      <c r="D92" s="675" t="s">
        <v>484</v>
      </c>
      <c r="E92" s="674" t="s">
        <v>488</v>
      </c>
      <c r="F92" s="675" t="s">
        <v>1447</v>
      </c>
      <c r="G92" s="674" t="s">
        <v>527</v>
      </c>
      <c r="H92" s="674" t="s">
        <v>805</v>
      </c>
      <c r="I92" s="674" t="s">
        <v>806</v>
      </c>
      <c r="J92" s="674" t="s">
        <v>807</v>
      </c>
      <c r="K92" s="674" t="s">
        <v>808</v>
      </c>
      <c r="L92" s="676">
        <v>74.859861306302008</v>
      </c>
      <c r="M92" s="676">
        <v>1</v>
      </c>
      <c r="N92" s="677">
        <v>74.859861306302008</v>
      </c>
    </row>
    <row r="93" spans="1:14" ht="14.4" customHeight="1" x14ac:dyDescent="0.3">
      <c r="A93" s="672" t="s">
        <v>478</v>
      </c>
      <c r="B93" s="673" t="s">
        <v>1446</v>
      </c>
      <c r="C93" s="674" t="s">
        <v>483</v>
      </c>
      <c r="D93" s="675" t="s">
        <v>484</v>
      </c>
      <c r="E93" s="674" t="s">
        <v>488</v>
      </c>
      <c r="F93" s="675" t="s">
        <v>1447</v>
      </c>
      <c r="G93" s="674" t="s">
        <v>527</v>
      </c>
      <c r="H93" s="674" t="s">
        <v>809</v>
      </c>
      <c r="I93" s="674" t="s">
        <v>810</v>
      </c>
      <c r="J93" s="674" t="s">
        <v>811</v>
      </c>
      <c r="K93" s="674" t="s">
        <v>812</v>
      </c>
      <c r="L93" s="676">
        <v>68.79000000000002</v>
      </c>
      <c r="M93" s="676">
        <v>4</v>
      </c>
      <c r="N93" s="677">
        <v>275.16000000000008</v>
      </c>
    </row>
    <row r="94" spans="1:14" ht="14.4" customHeight="1" x14ac:dyDescent="0.3">
      <c r="A94" s="672" t="s">
        <v>478</v>
      </c>
      <c r="B94" s="673" t="s">
        <v>1446</v>
      </c>
      <c r="C94" s="674" t="s">
        <v>483</v>
      </c>
      <c r="D94" s="675" t="s">
        <v>484</v>
      </c>
      <c r="E94" s="674" t="s">
        <v>488</v>
      </c>
      <c r="F94" s="675" t="s">
        <v>1447</v>
      </c>
      <c r="G94" s="674" t="s">
        <v>527</v>
      </c>
      <c r="H94" s="674" t="s">
        <v>813</v>
      </c>
      <c r="I94" s="674" t="s">
        <v>814</v>
      </c>
      <c r="J94" s="674" t="s">
        <v>815</v>
      </c>
      <c r="K94" s="674" t="s">
        <v>816</v>
      </c>
      <c r="L94" s="676">
        <v>46.710000000000015</v>
      </c>
      <c r="M94" s="676">
        <v>23</v>
      </c>
      <c r="N94" s="677">
        <v>1074.3300000000004</v>
      </c>
    </row>
    <row r="95" spans="1:14" ht="14.4" customHeight="1" x14ac:dyDescent="0.3">
      <c r="A95" s="672" t="s">
        <v>478</v>
      </c>
      <c r="B95" s="673" t="s">
        <v>1446</v>
      </c>
      <c r="C95" s="674" t="s">
        <v>483</v>
      </c>
      <c r="D95" s="675" t="s">
        <v>484</v>
      </c>
      <c r="E95" s="674" t="s">
        <v>488</v>
      </c>
      <c r="F95" s="675" t="s">
        <v>1447</v>
      </c>
      <c r="G95" s="674" t="s">
        <v>527</v>
      </c>
      <c r="H95" s="674" t="s">
        <v>817</v>
      </c>
      <c r="I95" s="674" t="s">
        <v>818</v>
      </c>
      <c r="J95" s="674" t="s">
        <v>819</v>
      </c>
      <c r="K95" s="674" t="s">
        <v>820</v>
      </c>
      <c r="L95" s="676">
        <v>154.02999999999997</v>
      </c>
      <c r="M95" s="676">
        <v>3</v>
      </c>
      <c r="N95" s="677">
        <v>462.08999999999992</v>
      </c>
    </row>
    <row r="96" spans="1:14" ht="14.4" customHeight="1" x14ac:dyDescent="0.3">
      <c r="A96" s="672" t="s">
        <v>478</v>
      </c>
      <c r="B96" s="673" t="s">
        <v>1446</v>
      </c>
      <c r="C96" s="674" t="s">
        <v>483</v>
      </c>
      <c r="D96" s="675" t="s">
        <v>484</v>
      </c>
      <c r="E96" s="674" t="s">
        <v>488</v>
      </c>
      <c r="F96" s="675" t="s">
        <v>1447</v>
      </c>
      <c r="G96" s="674" t="s">
        <v>527</v>
      </c>
      <c r="H96" s="674" t="s">
        <v>821</v>
      </c>
      <c r="I96" s="674" t="s">
        <v>822</v>
      </c>
      <c r="J96" s="674" t="s">
        <v>823</v>
      </c>
      <c r="K96" s="674" t="s">
        <v>824</v>
      </c>
      <c r="L96" s="676">
        <v>2866.38</v>
      </c>
      <c r="M96" s="676">
        <v>16</v>
      </c>
      <c r="N96" s="677">
        <v>45862.080000000002</v>
      </c>
    </row>
    <row r="97" spans="1:14" ht="14.4" customHeight="1" x14ac:dyDescent="0.3">
      <c r="A97" s="672" t="s">
        <v>478</v>
      </c>
      <c r="B97" s="673" t="s">
        <v>1446</v>
      </c>
      <c r="C97" s="674" t="s">
        <v>483</v>
      </c>
      <c r="D97" s="675" t="s">
        <v>484</v>
      </c>
      <c r="E97" s="674" t="s">
        <v>488</v>
      </c>
      <c r="F97" s="675" t="s">
        <v>1447</v>
      </c>
      <c r="G97" s="674" t="s">
        <v>527</v>
      </c>
      <c r="H97" s="674" t="s">
        <v>825</v>
      </c>
      <c r="I97" s="674" t="s">
        <v>825</v>
      </c>
      <c r="J97" s="674" t="s">
        <v>826</v>
      </c>
      <c r="K97" s="674" t="s">
        <v>533</v>
      </c>
      <c r="L97" s="676">
        <v>288.52999999999997</v>
      </c>
      <c r="M97" s="676">
        <v>4</v>
      </c>
      <c r="N97" s="677">
        <v>1154.1199999999999</v>
      </c>
    </row>
    <row r="98" spans="1:14" ht="14.4" customHeight="1" x14ac:dyDescent="0.3">
      <c r="A98" s="672" t="s">
        <v>478</v>
      </c>
      <c r="B98" s="673" t="s">
        <v>1446</v>
      </c>
      <c r="C98" s="674" t="s">
        <v>483</v>
      </c>
      <c r="D98" s="675" t="s">
        <v>484</v>
      </c>
      <c r="E98" s="674" t="s">
        <v>488</v>
      </c>
      <c r="F98" s="675" t="s">
        <v>1447</v>
      </c>
      <c r="G98" s="674" t="s">
        <v>527</v>
      </c>
      <c r="H98" s="674" t="s">
        <v>827</v>
      </c>
      <c r="I98" s="674" t="s">
        <v>828</v>
      </c>
      <c r="J98" s="674" t="s">
        <v>829</v>
      </c>
      <c r="K98" s="674" t="s">
        <v>579</v>
      </c>
      <c r="L98" s="676">
        <v>45.227772516811001</v>
      </c>
      <c r="M98" s="676">
        <v>45</v>
      </c>
      <c r="N98" s="677">
        <v>2035.249763256495</v>
      </c>
    </row>
    <row r="99" spans="1:14" ht="14.4" customHeight="1" x14ac:dyDescent="0.3">
      <c r="A99" s="672" t="s">
        <v>478</v>
      </c>
      <c r="B99" s="673" t="s">
        <v>1446</v>
      </c>
      <c r="C99" s="674" t="s">
        <v>483</v>
      </c>
      <c r="D99" s="675" t="s">
        <v>484</v>
      </c>
      <c r="E99" s="674" t="s">
        <v>488</v>
      </c>
      <c r="F99" s="675" t="s">
        <v>1447</v>
      </c>
      <c r="G99" s="674" t="s">
        <v>527</v>
      </c>
      <c r="H99" s="674" t="s">
        <v>830</v>
      </c>
      <c r="I99" s="674" t="s">
        <v>831</v>
      </c>
      <c r="J99" s="674" t="s">
        <v>832</v>
      </c>
      <c r="K99" s="674" t="s">
        <v>833</v>
      </c>
      <c r="L99" s="676">
        <v>945.32189022244393</v>
      </c>
      <c r="M99" s="676">
        <v>50</v>
      </c>
      <c r="N99" s="677">
        <v>47266.094511122195</v>
      </c>
    </row>
    <row r="100" spans="1:14" ht="14.4" customHeight="1" x14ac:dyDescent="0.3">
      <c r="A100" s="672" t="s">
        <v>478</v>
      </c>
      <c r="B100" s="673" t="s">
        <v>1446</v>
      </c>
      <c r="C100" s="674" t="s">
        <v>483</v>
      </c>
      <c r="D100" s="675" t="s">
        <v>484</v>
      </c>
      <c r="E100" s="674" t="s">
        <v>488</v>
      </c>
      <c r="F100" s="675" t="s">
        <v>1447</v>
      </c>
      <c r="G100" s="674" t="s">
        <v>527</v>
      </c>
      <c r="H100" s="674" t="s">
        <v>834</v>
      </c>
      <c r="I100" s="674" t="s">
        <v>835</v>
      </c>
      <c r="J100" s="674" t="s">
        <v>836</v>
      </c>
      <c r="K100" s="674" t="s">
        <v>837</v>
      </c>
      <c r="L100" s="676">
        <v>78.53</v>
      </c>
      <c r="M100" s="676">
        <v>2</v>
      </c>
      <c r="N100" s="677">
        <v>157.06</v>
      </c>
    </row>
    <row r="101" spans="1:14" ht="14.4" customHeight="1" x14ac:dyDescent="0.3">
      <c r="A101" s="672" t="s">
        <v>478</v>
      </c>
      <c r="B101" s="673" t="s">
        <v>1446</v>
      </c>
      <c r="C101" s="674" t="s">
        <v>483</v>
      </c>
      <c r="D101" s="675" t="s">
        <v>484</v>
      </c>
      <c r="E101" s="674" t="s">
        <v>488</v>
      </c>
      <c r="F101" s="675" t="s">
        <v>1447</v>
      </c>
      <c r="G101" s="674" t="s">
        <v>527</v>
      </c>
      <c r="H101" s="674" t="s">
        <v>838</v>
      </c>
      <c r="I101" s="674" t="s">
        <v>839</v>
      </c>
      <c r="J101" s="674" t="s">
        <v>840</v>
      </c>
      <c r="K101" s="674" t="s">
        <v>841</v>
      </c>
      <c r="L101" s="676">
        <v>1037.7491095879075</v>
      </c>
      <c r="M101" s="676">
        <v>70</v>
      </c>
      <c r="N101" s="677">
        <v>72642.43767115353</v>
      </c>
    </row>
    <row r="102" spans="1:14" ht="14.4" customHeight="1" x14ac:dyDescent="0.3">
      <c r="A102" s="672" t="s">
        <v>478</v>
      </c>
      <c r="B102" s="673" t="s">
        <v>1446</v>
      </c>
      <c r="C102" s="674" t="s">
        <v>483</v>
      </c>
      <c r="D102" s="675" t="s">
        <v>484</v>
      </c>
      <c r="E102" s="674" t="s">
        <v>488</v>
      </c>
      <c r="F102" s="675" t="s">
        <v>1447</v>
      </c>
      <c r="G102" s="674" t="s">
        <v>527</v>
      </c>
      <c r="H102" s="674" t="s">
        <v>842</v>
      </c>
      <c r="I102" s="674" t="s">
        <v>719</v>
      </c>
      <c r="J102" s="674" t="s">
        <v>843</v>
      </c>
      <c r="K102" s="674"/>
      <c r="L102" s="676">
        <v>124.62015137088881</v>
      </c>
      <c r="M102" s="676">
        <v>5</v>
      </c>
      <c r="N102" s="677">
        <v>623.10075685444406</v>
      </c>
    </row>
    <row r="103" spans="1:14" ht="14.4" customHeight="1" x14ac:dyDescent="0.3">
      <c r="A103" s="672" t="s">
        <v>478</v>
      </c>
      <c r="B103" s="673" t="s">
        <v>1446</v>
      </c>
      <c r="C103" s="674" t="s">
        <v>483</v>
      </c>
      <c r="D103" s="675" t="s">
        <v>484</v>
      </c>
      <c r="E103" s="674" t="s">
        <v>488</v>
      </c>
      <c r="F103" s="675" t="s">
        <v>1447</v>
      </c>
      <c r="G103" s="674" t="s">
        <v>527</v>
      </c>
      <c r="H103" s="674" t="s">
        <v>844</v>
      </c>
      <c r="I103" s="674" t="s">
        <v>845</v>
      </c>
      <c r="J103" s="674" t="s">
        <v>846</v>
      </c>
      <c r="K103" s="674" t="s">
        <v>781</v>
      </c>
      <c r="L103" s="676">
        <v>57.93832161913663</v>
      </c>
      <c r="M103" s="676">
        <v>4</v>
      </c>
      <c r="N103" s="677">
        <v>231.75328647654652</v>
      </c>
    </row>
    <row r="104" spans="1:14" ht="14.4" customHeight="1" x14ac:dyDescent="0.3">
      <c r="A104" s="672" t="s">
        <v>478</v>
      </c>
      <c r="B104" s="673" t="s">
        <v>1446</v>
      </c>
      <c r="C104" s="674" t="s">
        <v>483</v>
      </c>
      <c r="D104" s="675" t="s">
        <v>484</v>
      </c>
      <c r="E104" s="674" t="s">
        <v>488</v>
      </c>
      <c r="F104" s="675" t="s">
        <v>1447</v>
      </c>
      <c r="G104" s="674" t="s">
        <v>527</v>
      </c>
      <c r="H104" s="674" t="s">
        <v>847</v>
      </c>
      <c r="I104" s="674" t="s">
        <v>848</v>
      </c>
      <c r="J104" s="674" t="s">
        <v>849</v>
      </c>
      <c r="K104" s="674" t="s">
        <v>850</v>
      </c>
      <c r="L104" s="676">
        <v>286</v>
      </c>
      <c r="M104" s="676">
        <v>3</v>
      </c>
      <c r="N104" s="677">
        <v>858</v>
      </c>
    </row>
    <row r="105" spans="1:14" ht="14.4" customHeight="1" x14ac:dyDescent="0.3">
      <c r="A105" s="672" t="s">
        <v>478</v>
      </c>
      <c r="B105" s="673" t="s">
        <v>1446</v>
      </c>
      <c r="C105" s="674" t="s">
        <v>483</v>
      </c>
      <c r="D105" s="675" t="s">
        <v>484</v>
      </c>
      <c r="E105" s="674" t="s">
        <v>488</v>
      </c>
      <c r="F105" s="675" t="s">
        <v>1447</v>
      </c>
      <c r="G105" s="674" t="s">
        <v>527</v>
      </c>
      <c r="H105" s="674" t="s">
        <v>851</v>
      </c>
      <c r="I105" s="674" t="s">
        <v>852</v>
      </c>
      <c r="J105" s="674" t="s">
        <v>853</v>
      </c>
      <c r="K105" s="674" t="s">
        <v>854</v>
      </c>
      <c r="L105" s="676">
        <v>186.35</v>
      </c>
      <c r="M105" s="676">
        <v>46</v>
      </c>
      <c r="N105" s="677">
        <v>8572.1</v>
      </c>
    </row>
    <row r="106" spans="1:14" ht="14.4" customHeight="1" x14ac:dyDescent="0.3">
      <c r="A106" s="672" t="s">
        <v>478</v>
      </c>
      <c r="B106" s="673" t="s">
        <v>1446</v>
      </c>
      <c r="C106" s="674" t="s">
        <v>483</v>
      </c>
      <c r="D106" s="675" t="s">
        <v>484</v>
      </c>
      <c r="E106" s="674" t="s">
        <v>488</v>
      </c>
      <c r="F106" s="675" t="s">
        <v>1447</v>
      </c>
      <c r="G106" s="674" t="s">
        <v>527</v>
      </c>
      <c r="H106" s="674" t="s">
        <v>855</v>
      </c>
      <c r="I106" s="674" t="s">
        <v>856</v>
      </c>
      <c r="J106" s="674" t="s">
        <v>625</v>
      </c>
      <c r="K106" s="674" t="s">
        <v>857</v>
      </c>
      <c r="L106" s="676">
        <v>125.41</v>
      </c>
      <c r="M106" s="676">
        <v>2</v>
      </c>
      <c r="N106" s="677">
        <v>250.82</v>
      </c>
    </row>
    <row r="107" spans="1:14" ht="14.4" customHeight="1" x14ac:dyDescent="0.3">
      <c r="A107" s="672" t="s">
        <v>478</v>
      </c>
      <c r="B107" s="673" t="s">
        <v>1446</v>
      </c>
      <c r="C107" s="674" t="s">
        <v>483</v>
      </c>
      <c r="D107" s="675" t="s">
        <v>484</v>
      </c>
      <c r="E107" s="674" t="s">
        <v>488</v>
      </c>
      <c r="F107" s="675" t="s">
        <v>1447</v>
      </c>
      <c r="G107" s="674" t="s">
        <v>527</v>
      </c>
      <c r="H107" s="674" t="s">
        <v>858</v>
      </c>
      <c r="I107" s="674" t="s">
        <v>859</v>
      </c>
      <c r="J107" s="674" t="s">
        <v>860</v>
      </c>
      <c r="K107" s="674" t="s">
        <v>861</v>
      </c>
      <c r="L107" s="676">
        <v>312.83999999999997</v>
      </c>
      <c r="M107" s="676">
        <v>2</v>
      </c>
      <c r="N107" s="677">
        <v>625.67999999999995</v>
      </c>
    </row>
    <row r="108" spans="1:14" ht="14.4" customHeight="1" x14ac:dyDescent="0.3">
      <c r="A108" s="672" t="s">
        <v>478</v>
      </c>
      <c r="B108" s="673" t="s">
        <v>1446</v>
      </c>
      <c r="C108" s="674" t="s">
        <v>483</v>
      </c>
      <c r="D108" s="675" t="s">
        <v>484</v>
      </c>
      <c r="E108" s="674" t="s">
        <v>488</v>
      </c>
      <c r="F108" s="675" t="s">
        <v>1447</v>
      </c>
      <c r="G108" s="674" t="s">
        <v>527</v>
      </c>
      <c r="H108" s="674" t="s">
        <v>862</v>
      </c>
      <c r="I108" s="674" t="s">
        <v>719</v>
      </c>
      <c r="J108" s="674" t="s">
        <v>863</v>
      </c>
      <c r="K108" s="674"/>
      <c r="L108" s="676">
        <v>373.64221932130761</v>
      </c>
      <c r="M108" s="676">
        <v>4</v>
      </c>
      <c r="N108" s="677">
        <v>1494.5688772852304</v>
      </c>
    </row>
    <row r="109" spans="1:14" ht="14.4" customHeight="1" x14ac:dyDescent="0.3">
      <c r="A109" s="672" t="s">
        <v>478</v>
      </c>
      <c r="B109" s="673" t="s">
        <v>1446</v>
      </c>
      <c r="C109" s="674" t="s">
        <v>483</v>
      </c>
      <c r="D109" s="675" t="s">
        <v>484</v>
      </c>
      <c r="E109" s="674" t="s">
        <v>488</v>
      </c>
      <c r="F109" s="675" t="s">
        <v>1447</v>
      </c>
      <c r="G109" s="674" t="s">
        <v>527</v>
      </c>
      <c r="H109" s="674" t="s">
        <v>864</v>
      </c>
      <c r="I109" s="674" t="s">
        <v>865</v>
      </c>
      <c r="J109" s="674" t="s">
        <v>582</v>
      </c>
      <c r="K109" s="674" t="s">
        <v>866</v>
      </c>
      <c r="L109" s="676">
        <v>91.609529411764726</v>
      </c>
      <c r="M109" s="676">
        <v>85</v>
      </c>
      <c r="N109" s="677">
        <v>7786.8100000000013</v>
      </c>
    </row>
    <row r="110" spans="1:14" ht="14.4" customHeight="1" x14ac:dyDescent="0.3">
      <c r="A110" s="672" t="s">
        <v>478</v>
      </c>
      <c r="B110" s="673" t="s">
        <v>1446</v>
      </c>
      <c r="C110" s="674" t="s">
        <v>483</v>
      </c>
      <c r="D110" s="675" t="s">
        <v>484</v>
      </c>
      <c r="E110" s="674" t="s">
        <v>488</v>
      </c>
      <c r="F110" s="675" t="s">
        <v>1447</v>
      </c>
      <c r="G110" s="674" t="s">
        <v>527</v>
      </c>
      <c r="H110" s="674" t="s">
        <v>867</v>
      </c>
      <c r="I110" s="674" t="s">
        <v>868</v>
      </c>
      <c r="J110" s="674" t="s">
        <v>869</v>
      </c>
      <c r="K110" s="674" t="s">
        <v>870</v>
      </c>
      <c r="L110" s="676">
        <v>149.52526829200556</v>
      </c>
      <c r="M110" s="676">
        <v>115</v>
      </c>
      <c r="N110" s="677">
        <v>17195.40585358064</v>
      </c>
    </row>
    <row r="111" spans="1:14" ht="14.4" customHeight="1" x14ac:dyDescent="0.3">
      <c r="A111" s="672" t="s">
        <v>478</v>
      </c>
      <c r="B111" s="673" t="s">
        <v>1446</v>
      </c>
      <c r="C111" s="674" t="s">
        <v>483</v>
      </c>
      <c r="D111" s="675" t="s">
        <v>484</v>
      </c>
      <c r="E111" s="674" t="s">
        <v>488</v>
      </c>
      <c r="F111" s="675" t="s">
        <v>1447</v>
      </c>
      <c r="G111" s="674" t="s">
        <v>527</v>
      </c>
      <c r="H111" s="674" t="s">
        <v>871</v>
      </c>
      <c r="I111" s="674" t="s">
        <v>872</v>
      </c>
      <c r="J111" s="674" t="s">
        <v>873</v>
      </c>
      <c r="K111" s="674" t="s">
        <v>874</v>
      </c>
      <c r="L111" s="676">
        <v>47.769999999999996</v>
      </c>
      <c r="M111" s="676">
        <v>7</v>
      </c>
      <c r="N111" s="677">
        <v>334.39</v>
      </c>
    </row>
    <row r="112" spans="1:14" ht="14.4" customHeight="1" x14ac:dyDescent="0.3">
      <c r="A112" s="672" t="s">
        <v>478</v>
      </c>
      <c r="B112" s="673" t="s">
        <v>1446</v>
      </c>
      <c r="C112" s="674" t="s">
        <v>483</v>
      </c>
      <c r="D112" s="675" t="s">
        <v>484</v>
      </c>
      <c r="E112" s="674" t="s">
        <v>488</v>
      </c>
      <c r="F112" s="675" t="s">
        <v>1447</v>
      </c>
      <c r="G112" s="674" t="s">
        <v>527</v>
      </c>
      <c r="H112" s="674" t="s">
        <v>875</v>
      </c>
      <c r="I112" s="674" t="s">
        <v>876</v>
      </c>
      <c r="J112" s="674" t="s">
        <v>877</v>
      </c>
      <c r="K112" s="674" t="s">
        <v>878</v>
      </c>
      <c r="L112" s="676">
        <v>46.199999999999996</v>
      </c>
      <c r="M112" s="676">
        <v>6</v>
      </c>
      <c r="N112" s="677">
        <v>277.2</v>
      </c>
    </row>
    <row r="113" spans="1:14" ht="14.4" customHeight="1" x14ac:dyDescent="0.3">
      <c r="A113" s="672" t="s">
        <v>478</v>
      </c>
      <c r="B113" s="673" t="s">
        <v>1446</v>
      </c>
      <c r="C113" s="674" t="s">
        <v>483</v>
      </c>
      <c r="D113" s="675" t="s">
        <v>484</v>
      </c>
      <c r="E113" s="674" t="s">
        <v>488</v>
      </c>
      <c r="F113" s="675" t="s">
        <v>1447</v>
      </c>
      <c r="G113" s="674" t="s">
        <v>527</v>
      </c>
      <c r="H113" s="674" t="s">
        <v>879</v>
      </c>
      <c r="I113" s="674" t="s">
        <v>880</v>
      </c>
      <c r="J113" s="674" t="s">
        <v>881</v>
      </c>
      <c r="K113" s="674" t="s">
        <v>882</v>
      </c>
      <c r="L113" s="676">
        <v>105.80999999999999</v>
      </c>
      <c r="M113" s="676">
        <v>5</v>
      </c>
      <c r="N113" s="677">
        <v>529.04999999999995</v>
      </c>
    </row>
    <row r="114" spans="1:14" ht="14.4" customHeight="1" x14ac:dyDescent="0.3">
      <c r="A114" s="672" t="s">
        <v>478</v>
      </c>
      <c r="B114" s="673" t="s">
        <v>1446</v>
      </c>
      <c r="C114" s="674" t="s">
        <v>483</v>
      </c>
      <c r="D114" s="675" t="s">
        <v>484</v>
      </c>
      <c r="E114" s="674" t="s">
        <v>488</v>
      </c>
      <c r="F114" s="675" t="s">
        <v>1447</v>
      </c>
      <c r="G114" s="674" t="s">
        <v>527</v>
      </c>
      <c r="H114" s="674" t="s">
        <v>883</v>
      </c>
      <c r="I114" s="674" t="s">
        <v>884</v>
      </c>
      <c r="J114" s="674" t="s">
        <v>885</v>
      </c>
      <c r="K114" s="674" t="s">
        <v>886</v>
      </c>
      <c r="L114" s="676">
        <v>46.370000000000026</v>
      </c>
      <c r="M114" s="676">
        <v>3</v>
      </c>
      <c r="N114" s="677">
        <v>139.11000000000007</v>
      </c>
    </row>
    <row r="115" spans="1:14" ht="14.4" customHeight="1" x14ac:dyDescent="0.3">
      <c r="A115" s="672" t="s">
        <v>478</v>
      </c>
      <c r="B115" s="673" t="s">
        <v>1446</v>
      </c>
      <c r="C115" s="674" t="s">
        <v>483</v>
      </c>
      <c r="D115" s="675" t="s">
        <v>484</v>
      </c>
      <c r="E115" s="674" t="s">
        <v>488</v>
      </c>
      <c r="F115" s="675" t="s">
        <v>1447</v>
      </c>
      <c r="G115" s="674" t="s">
        <v>527</v>
      </c>
      <c r="H115" s="674" t="s">
        <v>887</v>
      </c>
      <c r="I115" s="674" t="s">
        <v>888</v>
      </c>
      <c r="J115" s="674" t="s">
        <v>889</v>
      </c>
      <c r="K115" s="674" t="s">
        <v>890</v>
      </c>
      <c r="L115" s="676">
        <v>111.51964463718076</v>
      </c>
      <c r="M115" s="676">
        <v>180</v>
      </c>
      <c r="N115" s="677">
        <v>20073.536034692537</v>
      </c>
    </row>
    <row r="116" spans="1:14" ht="14.4" customHeight="1" x14ac:dyDescent="0.3">
      <c r="A116" s="672" t="s">
        <v>478</v>
      </c>
      <c r="B116" s="673" t="s">
        <v>1446</v>
      </c>
      <c r="C116" s="674" t="s">
        <v>483</v>
      </c>
      <c r="D116" s="675" t="s">
        <v>484</v>
      </c>
      <c r="E116" s="674" t="s">
        <v>488</v>
      </c>
      <c r="F116" s="675" t="s">
        <v>1447</v>
      </c>
      <c r="G116" s="674" t="s">
        <v>527</v>
      </c>
      <c r="H116" s="674" t="s">
        <v>891</v>
      </c>
      <c r="I116" s="674" t="s">
        <v>892</v>
      </c>
      <c r="J116" s="674" t="s">
        <v>893</v>
      </c>
      <c r="K116" s="674" t="s">
        <v>894</v>
      </c>
      <c r="L116" s="676">
        <v>326.48</v>
      </c>
      <c r="M116" s="676">
        <v>2</v>
      </c>
      <c r="N116" s="677">
        <v>652.96</v>
      </c>
    </row>
    <row r="117" spans="1:14" ht="14.4" customHeight="1" x14ac:dyDescent="0.3">
      <c r="A117" s="672" t="s">
        <v>478</v>
      </c>
      <c r="B117" s="673" t="s">
        <v>1446</v>
      </c>
      <c r="C117" s="674" t="s">
        <v>483</v>
      </c>
      <c r="D117" s="675" t="s">
        <v>484</v>
      </c>
      <c r="E117" s="674" t="s">
        <v>488</v>
      </c>
      <c r="F117" s="675" t="s">
        <v>1447</v>
      </c>
      <c r="G117" s="674" t="s">
        <v>527</v>
      </c>
      <c r="H117" s="674" t="s">
        <v>895</v>
      </c>
      <c r="I117" s="674" t="s">
        <v>896</v>
      </c>
      <c r="J117" s="674" t="s">
        <v>897</v>
      </c>
      <c r="K117" s="674" t="s">
        <v>898</v>
      </c>
      <c r="L117" s="676">
        <v>1020.7309680672587</v>
      </c>
      <c r="M117" s="676">
        <v>1</v>
      </c>
      <c r="N117" s="677">
        <v>1020.7309680672587</v>
      </c>
    </row>
    <row r="118" spans="1:14" ht="14.4" customHeight="1" x14ac:dyDescent="0.3">
      <c r="A118" s="672" t="s">
        <v>478</v>
      </c>
      <c r="B118" s="673" t="s">
        <v>1446</v>
      </c>
      <c r="C118" s="674" t="s">
        <v>483</v>
      </c>
      <c r="D118" s="675" t="s">
        <v>484</v>
      </c>
      <c r="E118" s="674" t="s">
        <v>488</v>
      </c>
      <c r="F118" s="675" t="s">
        <v>1447</v>
      </c>
      <c r="G118" s="674" t="s">
        <v>527</v>
      </c>
      <c r="H118" s="674" t="s">
        <v>899</v>
      </c>
      <c r="I118" s="674" t="s">
        <v>900</v>
      </c>
      <c r="J118" s="674" t="s">
        <v>901</v>
      </c>
      <c r="K118" s="674" t="s">
        <v>902</v>
      </c>
      <c r="L118" s="676">
        <v>52.459999999999994</v>
      </c>
      <c r="M118" s="676">
        <v>5</v>
      </c>
      <c r="N118" s="677">
        <v>262.29999999999995</v>
      </c>
    </row>
    <row r="119" spans="1:14" ht="14.4" customHeight="1" x14ac:dyDescent="0.3">
      <c r="A119" s="672" t="s">
        <v>478</v>
      </c>
      <c r="B119" s="673" t="s">
        <v>1446</v>
      </c>
      <c r="C119" s="674" t="s">
        <v>483</v>
      </c>
      <c r="D119" s="675" t="s">
        <v>484</v>
      </c>
      <c r="E119" s="674" t="s">
        <v>488</v>
      </c>
      <c r="F119" s="675" t="s">
        <v>1447</v>
      </c>
      <c r="G119" s="674" t="s">
        <v>527</v>
      </c>
      <c r="H119" s="674" t="s">
        <v>903</v>
      </c>
      <c r="I119" s="674" t="s">
        <v>903</v>
      </c>
      <c r="J119" s="674" t="s">
        <v>904</v>
      </c>
      <c r="K119" s="674" t="s">
        <v>905</v>
      </c>
      <c r="L119" s="676">
        <v>92</v>
      </c>
      <c r="M119" s="676">
        <v>2</v>
      </c>
      <c r="N119" s="677">
        <v>184</v>
      </c>
    </row>
    <row r="120" spans="1:14" ht="14.4" customHeight="1" x14ac:dyDescent="0.3">
      <c r="A120" s="672" t="s">
        <v>478</v>
      </c>
      <c r="B120" s="673" t="s">
        <v>1446</v>
      </c>
      <c r="C120" s="674" t="s">
        <v>483</v>
      </c>
      <c r="D120" s="675" t="s">
        <v>484</v>
      </c>
      <c r="E120" s="674" t="s">
        <v>488</v>
      </c>
      <c r="F120" s="675" t="s">
        <v>1447</v>
      </c>
      <c r="G120" s="674" t="s">
        <v>527</v>
      </c>
      <c r="H120" s="674" t="s">
        <v>906</v>
      </c>
      <c r="I120" s="674" t="s">
        <v>907</v>
      </c>
      <c r="J120" s="674" t="s">
        <v>908</v>
      </c>
      <c r="K120" s="674" t="s">
        <v>909</v>
      </c>
      <c r="L120" s="676">
        <v>4503.16</v>
      </c>
      <c r="M120" s="676">
        <v>2</v>
      </c>
      <c r="N120" s="677">
        <v>9006.32</v>
      </c>
    </row>
    <row r="121" spans="1:14" ht="14.4" customHeight="1" x14ac:dyDescent="0.3">
      <c r="A121" s="672" t="s">
        <v>478</v>
      </c>
      <c r="B121" s="673" t="s">
        <v>1446</v>
      </c>
      <c r="C121" s="674" t="s">
        <v>483</v>
      </c>
      <c r="D121" s="675" t="s">
        <v>484</v>
      </c>
      <c r="E121" s="674" t="s">
        <v>488</v>
      </c>
      <c r="F121" s="675" t="s">
        <v>1447</v>
      </c>
      <c r="G121" s="674" t="s">
        <v>527</v>
      </c>
      <c r="H121" s="674" t="s">
        <v>910</v>
      </c>
      <c r="I121" s="674" t="s">
        <v>911</v>
      </c>
      <c r="J121" s="674" t="s">
        <v>912</v>
      </c>
      <c r="K121" s="674" t="s">
        <v>913</v>
      </c>
      <c r="L121" s="676">
        <v>382.10868943377449</v>
      </c>
      <c r="M121" s="676">
        <v>44</v>
      </c>
      <c r="N121" s="677">
        <v>16812.782335086078</v>
      </c>
    </row>
    <row r="122" spans="1:14" ht="14.4" customHeight="1" x14ac:dyDescent="0.3">
      <c r="A122" s="672" t="s">
        <v>478</v>
      </c>
      <c r="B122" s="673" t="s">
        <v>1446</v>
      </c>
      <c r="C122" s="674" t="s">
        <v>483</v>
      </c>
      <c r="D122" s="675" t="s">
        <v>484</v>
      </c>
      <c r="E122" s="674" t="s">
        <v>488</v>
      </c>
      <c r="F122" s="675" t="s">
        <v>1447</v>
      </c>
      <c r="G122" s="674" t="s">
        <v>527</v>
      </c>
      <c r="H122" s="674" t="s">
        <v>914</v>
      </c>
      <c r="I122" s="674" t="s">
        <v>719</v>
      </c>
      <c r="J122" s="674" t="s">
        <v>915</v>
      </c>
      <c r="K122" s="674"/>
      <c r="L122" s="676">
        <v>85.736690617297654</v>
      </c>
      <c r="M122" s="676">
        <v>3</v>
      </c>
      <c r="N122" s="677">
        <v>257.21007185189296</v>
      </c>
    </row>
    <row r="123" spans="1:14" ht="14.4" customHeight="1" x14ac:dyDescent="0.3">
      <c r="A123" s="672" t="s">
        <v>478</v>
      </c>
      <c r="B123" s="673" t="s">
        <v>1446</v>
      </c>
      <c r="C123" s="674" t="s">
        <v>483</v>
      </c>
      <c r="D123" s="675" t="s">
        <v>484</v>
      </c>
      <c r="E123" s="674" t="s">
        <v>488</v>
      </c>
      <c r="F123" s="675" t="s">
        <v>1447</v>
      </c>
      <c r="G123" s="674" t="s">
        <v>527</v>
      </c>
      <c r="H123" s="674" t="s">
        <v>916</v>
      </c>
      <c r="I123" s="674" t="s">
        <v>719</v>
      </c>
      <c r="J123" s="674" t="s">
        <v>917</v>
      </c>
      <c r="K123" s="674"/>
      <c r="L123" s="676">
        <v>211.95094937459635</v>
      </c>
      <c r="M123" s="676">
        <v>5</v>
      </c>
      <c r="N123" s="677">
        <v>1059.7547468729817</v>
      </c>
    </row>
    <row r="124" spans="1:14" ht="14.4" customHeight="1" x14ac:dyDescent="0.3">
      <c r="A124" s="672" t="s">
        <v>478</v>
      </c>
      <c r="B124" s="673" t="s">
        <v>1446</v>
      </c>
      <c r="C124" s="674" t="s">
        <v>483</v>
      </c>
      <c r="D124" s="675" t="s">
        <v>484</v>
      </c>
      <c r="E124" s="674" t="s">
        <v>488</v>
      </c>
      <c r="F124" s="675" t="s">
        <v>1447</v>
      </c>
      <c r="G124" s="674" t="s">
        <v>527</v>
      </c>
      <c r="H124" s="674" t="s">
        <v>918</v>
      </c>
      <c r="I124" s="674" t="s">
        <v>919</v>
      </c>
      <c r="J124" s="674" t="s">
        <v>920</v>
      </c>
      <c r="K124" s="674" t="s">
        <v>921</v>
      </c>
      <c r="L124" s="676">
        <v>90.379999999999981</v>
      </c>
      <c r="M124" s="676">
        <v>3</v>
      </c>
      <c r="N124" s="677">
        <v>271.13999999999993</v>
      </c>
    </row>
    <row r="125" spans="1:14" ht="14.4" customHeight="1" x14ac:dyDescent="0.3">
      <c r="A125" s="672" t="s">
        <v>478</v>
      </c>
      <c r="B125" s="673" t="s">
        <v>1446</v>
      </c>
      <c r="C125" s="674" t="s">
        <v>483</v>
      </c>
      <c r="D125" s="675" t="s">
        <v>484</v>
      </c>
      <c r="E125" s="674" t="s">
        <v>488</v>
      </c>
      <c r="F125" s="675" t="s">
        <v>1447</v>
      </c>
      <c r="G125" s="674" t="s">
        <v>527</v>
      </c>
      <c r="H125" s="674" t="s">
        <v>922</v>
      </c>
      <c r="I125" s="674" t="s">
        <v>719</v>
      </c>
      <c r="J125" s="674" t="s">
        <v>923</v>
      </c>
      <c r="K125" s="674"/>
      <c r="L125" s="676">
        <v>128</v>
      </c>
      <c r="M125" s="676">
        <v>1</v>
      </c>
      <c r="N125" s="677">
        <v>128</v>
      </c>
    </row>
    <row r="126" spans="1:14" ht="14.4" customHeight="1" x14ac:dyDescent="0.3">
      <c r="A126" s="672" t="s">
        <v>478</v>
      </c>
      <c r="B126" s="673" t="s">
        <v>1446</v>
      </c>
      <c r="C126" s="674" t="s">
        <v>483</v>
      </c>
      <c r="D126" s="675" t="s">
        <v>484</v>
      </c>
      <c r="E126" s="674" t="s">
        <v>488</v>
      </c>
      <c r="F126" s="675" t="s">
        <v>1447</v>
      </c>
      <c r="G126" s="674" t="s">
        <v>527</v>
      </c>
      <c r="H126" s="674" t="s">
        <v>924</v>
      </c>
      <c r="I126" s="674" t="s">
        <v>925</v>
      </c>
      <c r="J126" s="674" t="s">
        <v>926</v>
      </c>
      <c r="K126" s="674" t="s">
        <v>927</v>
      </c>
      <c r="L126" s="676">
        <v>136.62000000000009</v>
      </c>
      <c r="M126" s="676">
        <v>1</v>
      </c>
      <c r="N126" s="677">
        <v>136.62000000000009</v>
      </c>
    </row>
    <row r="127" spans="1:14" ht="14.4" customHeight="1" x14ac:dyDescent="0.3">
      <c r="A127" s="672" t="s">
        <v>478</v>
      </c>
      <c r="B127" s="673" t="s">
        <v>1446</v>
      </c>
      <c r="C127" s="674" t="s">
        <v>483</v>
      </c>
      <c r="D127" s="675" t="s">
        <v>484</v>
      </c>
      <c r="E127" s="674" t="s">
        <v>488</v>
      </c>
      <c r="F127" s="675" t="s">
        <v>1447</v>
      </c>
      <c r="G127" s="674" t="s">
        <v>527</v>
      </c>
      <c r="H127" s="674" t="s">
        <v>928</v>
      </c>
      <c r="I127" s="674" t="s">
        <v>929</v>
      </c>
      <c r="J127" s="674" t="s">
        <v>930</v>
      </c>
      <c r="K127" s="674" t="s">
        <v>902</v>
      </c>
      <c r="L127" s="676">
        <v>103.57</v>
      </c>
      <c r="M127" s="676">
        <v>140</v>
      </c>
      <c r="N127" s="677">
        <v>14499.8</v>
      </c>
    </row>
    <row r="128" spans="1:14" ht="14.4" customHeight="1" x14ac:dyDescent="0.3">
      <c r="A128" s="672" t="s">
        <v>478</v>
      </c>
      <c r="B128" s="673" t="s">
        <v>1446</v>
      </c>
      <c r="C128" s="674" t="s">
        <v>483</v>
      </c>
      <c r="D128" s="675" t="s">
        <v>484</v>
      </c>
      <c r="E128" s="674" t="s">
        <v>488</v>
      </c>
      <c r="F128" s="675" t="s">
        <v>1447</v>
      </c>
      <c r="G128" s="674" t="s">
        <v>527</v>
      </c>
      <c r="H128" s="674" t="s">
        <v>931</v>
      </c>
      <c r="I128" s="674" t="s">
        <v>932</v>
      </c>
      <c r="J128" s="674" t="s">
        <v>933</v>
      </c>
      <c r="K128" s="674" t="s">
        <v>934</v>
      </c>
      <c r="L128" s="676">
        <v>309.44026006964924</v>
      </c>
      <c r="M128" s="676">
        <v>1</v>
      </c>
      <c r="N128" s="677">
        <v>309.44026006964924</v>
      </c>
    </row>
    <row r="129" spans="1:14" ht="14.4" customHeight="1" x14ac:dyDescent="0.3">
      <c r="A129" s="672" t="s">
        <v>478</v>
      </c>
      <c r="B129" s="673" t="s">
        <v>1446</v>
      </c>
      <c r="C129" s="674" t="s">
        <v>483</v>
      </c>
      <c r="D129" s="675" t="s">
        <v>484</v>
      </c>
      <c r="E129" s="674" t="s">
        <v>488</v>
      </c>
      <c r="F129" s="675" t="s">
        <v>1447</v>
      </c>
      <c r="G129" s="674" t="s">
        <v>527</v>
      </c>
      <c r="H129" s="674" t="s">
        <v>935</v>
      </c>
      <c r="I129" s="674" t="s">
        <v>936</v>
      </c>
      <c r="J129" s="674" t="s">
        <v>937</v>
      </c>
      <c r="K129" s="674" t="s">
        <v>938</v>
      </c>
      <c r="L129" s="676">
        <v>276.85263157894735</v>
      </c>
      <c r="M129" s="676">
        <v>19</v>
      </c>
      <c r="N129" s="677">
        <v>5260.2</v>
      </c>
    </row>
    <row r="130" spans="1:14" ht="14.4" customHeight="1" x14ac:dyDescent="0.3">
      <c r="A130" s="672" t="s">
        <v>478</v>
      </c>
      <c r="B130" s="673" t="s">
        <v>1446</v>
      </c>
      <c r="C130" s="674" t="s">
        <v>483</v>
      </c>
      <c r="D130" s="675" t="s">
        <v>484</v>
      </c>
      <c r="E130" s="674" t="s">
        <v>488</v>
      </c>
      <c r="F130" s="675" t="s">
        <v>1447</v>
      </c>
      <c r="G130" s="674" t="s">
        <v>527</v>
      </c>
      <c r="H130" s="674" t="s">
        <v>939</v>
      </c>
      <c r="I130" s="674" t="s">
        <v>940</v>
      </c>
      <c r="J130" s="674" t="s">
        <v>941</v>
      </c>
      <c r="K130" s="674" t="s">
        <v>942</v>
      </c>
      <c r="L130" s="676">
        <v>35.590000000000003</v>
      </c>
      <c r="M130" s="676">
        <v>11</v>
      </c>
      <c r="N130" s="677">
        <v>391.49</v>
      </c>
    </row>
    <row r="131" spans="1:14" ht="14.4" customHeight="1" x14ac:dyDescent="0.3">
      <c r="A131" s="672" t="s">
        <v>478</v>
      </c>
      <c r="B131" s="673" t="s">
        <v>1446</v>
      </c>
      <c r="C131" s="674" t="s">
        <v>483</v>
      </c>
      <c r="D131" s="675" t="s">
        <v>484</v>
      </c>
      <c r="E131" s="674" t="s">
        <v>488</v>
      </c>
      <c r="F131" s="675" t="s">
        <v>1447</v>
      </c>
      <c r="G131" s="674" t="s">
        <v>527</v>
      </c>
      <c r="H131" s="674" t="s">
        <v>943</v>
      </c>
      <c r="I131" s="674" t="s">
        <v>719</v>
      </c>
      <c r="J131" s="674" t="s">
        <v>944</v>
      </c>
      <c r="K131" s="674"/>
      <c r="L131" s="676">
        <v>150.34685158841543</v>
      </c>
      <c r="M131" s="676">
        <v>3</v>
      </c>
      <c r="N131" s="677">
        <v>451.04055476524627</v>
      </c>
    </row>
    <row r="132" spans="1:14" ht="14.4" customHeight="1" x14ac:dyDescent="0.3">
      <c r="A132" s="672" t="s">
        <v>478</v>
      </c>
      <c r="B132" s="673" t="s">
        <v>1446</v>
      </c>
      <c r="C132" s="674" t="s">
        <v>483</v>
      </c>
      <c r="D132" s="675" t="s">
        <v>484</v>
      </c>
      <c r="E132" s="674" t="s">
        <v>488</v>
      </c>
      <c r="F132" s="675" t="s">
        <v>1447</v>
      </c>
      <c r="G132" s="674" t="s">
        <v>527</v>
      </c>
      <c r="H132" s="674" t="s">
        <v>945</v>
      </c>
      <c r="I132" s="674" t="s">
        <v>946</v>
      </c>
      <c r="J132" s="674" t="s">
        <v>947</v>
      </c>
      <c r="K132" s="674" t="s">
        <v>948</v>
      </c>
      <c r="L132" s="676">
        <v>6050</v>
      </c>
      <c r="M132" s="676">
        <v>2</v>
      </c>
      <c r="N132" s="677">
        <v>12100</v>
      </c>
    </row>
    <row r="133" spans="1:14" ht="14.4" customHeight="1" x14ac:dyDescent="0.3">
      <c r="A133" s="672" t="s">
        <v>478</v>
      </c>
      <c r="B133" s="673" t="s">
        <v>1446</v>
      </c>
      <c r="C133" s="674" t="s">
        <v>483</v>
      </c>
      <c r="D133" s="675" t="s">
        <v>484</v>
      </c>
      <c r="E133" s="674" t="s">
        <v>488</v>
      </c>
      <c r="F133" s="675" t="s">
        <v>1447</v>
      </c>
      <c r="G133" s="674" t="s">
        <v>527</v>
      </c>
      <c r="H133" s="674" t="s">
        <v>949</v>
      </c>
      <c r="I133" s="674" t="s">
        <v>949</v>
      </c>
      <c r="J133" s="674" t="s">
        <v>950</v>
      </c>
      <c r="K133" s="674" t="s">
        <v>533</v>
      </c>
      <c r="L133" s="676">
        <v>365.96999999999997</v>
      </c>
      <c r="M133" s="676">
        <v>2</v>
      </c>
      <c r="N133" s="677">
        <v>731.93999999999994</v>
      </c>
    </row>
    <row r="134" spans="1:14" ht="14.4" customHeight="1" x14ac:dyDescent="0.3">
      <c r="A134" s="672" t="s">
        <v>478</v>
      </c>
      <c r="B134" s="673" t="s">
        <v>1446</v>
      </c>
      <c r="C134" s="674" t="s">
        <v>483</v>
      </c>
      <c r="D134" s="675" t="s">
        <v>484</v>
      </c>
      <c r="E134" s="674" t="s">
        <v>488</v>
      </c>
      <c r="F134" s="675" t="s">
        <v>1447</v>
      </c>
      <c r="G134" s="674" t="s">
        <v>527</v>
      </c>
      <c r="H134" s="674" t="s">
        <v>951</v>
      </c>
      <c r="I134" s="674" t="s">
        <v>952</v>
      </c>
      <c r="J134" s="674" t="s">
        <v>953</v>
      </c>
      <c r="K134" s="674" t="s">
        <v>909</v>
      </c>
      <c r="L134" s="676">
        <v>2800</v>
      </c>
      <c r="M134" s="676">
        <v>4</v>
      </c>
      <c r="N134" s="677">
        <v>11200</v>
      </c>
    </row>
    <row r="135" spans="1:14" ht="14.4" customHeight="1" x14ac:dyDescent="0.3">
      <c r="A135" s="672" t="s">
        <v>478</v>
      </c>
      <c r="B135" s="673" t="s">
        <v>1446</v>
      </c>
      <c r="C135" s="674" t="s">
        <v>483</v>
      </c>
      <c r="D135" s="675" t="s">
        <v>484</v>
      </c>
      <c r="E135" s="674" t="s">
        <v>488</v>
      </c>
      <c r="F135" s="675" t="s">
        <v>1447</v>
      </c>
      <c r="G135" s="674" t="s">
        <v>527</v>
      </c>
      <c r="H135" s="674" t="s">
        <v>954</v>
      </c>
      <c r="I135" s="674" t="s">
        <v>955</v>
      </c>
      <c r="J135" s="674" t="s">
        <v>956</v>
      </c>
      <c r="K135" s="674" t="s">
        <v>957</v>
      </c>
      <c r="L135" s="676">
        <v>259.82571210053277</v>
      </c>
      <c r="M135" s="676">
        <v>3</v>
      </c>
      <c r="N135" s="677">
        <v>779.47713630159831</v>
      </c>
    </row>
    <row r="136" spans="1:14" ht="14.4" customHeight="1" x14ac:dyDescent="0.3">
      <c r="A136" s="672" t="s">
        <v>478</v>
      </c>
      <c r="B136" s="673" t="s">
        <v>1446</v>
      </c>
      <c r="C136" s="674" t="s">
        <v>483</v>
      </c>
      <c r="D136" s="675" t="s">
        <v>484</v>
      </c>
      <c r="E136" s="674" t="s">
        <v>488</v>
      </c>
      <c r="F136" s="675" t="s">
        <v>1447</v>
      </c>
      <c r="G136" s="674" t="s">
        <v>527</v>
      </c>
      <c r="H136" s="674" t="s">
        <v>958</v>
      </c>
      <c r="I136" s="674" t="s">
        <v>959</v>
      </c>
      <c r="J136" s="674" t="s">
        <v>960</v>
      </c>
      <c r="K136" s="674" t="s">
        <v>961</v>
      </c>
      <c r="L136" s="676">
        <v>3652.0000000000005</v>
      </c>
      <c r="M136" s="676">
        <v>2</v>
      </c>
      <c r="N136" s="677">
        <v>7304.0000000000009</v>
      </c>
    </row>
    <row r="137" spans="1:14" ht="14.4" customHeight="1" x14ac:dyDescent="0.3">
      <c r="A137" s="672" t="s">
        <v>478</v>
      </c>
      <c r="B137" s="673" t="s">
        <v>1446</v>
      </c>
      <c r="C137" s="674" t="s">
        <v>483</v>
      </c>
      <c r="D137" s="675" t="s">
        <v>484</v>
      </c>
      <c r="E137" s="674" t="s">
        <v>488</v>
      </c>
      <c r="F137" s="675" t="s">
        <v>1447</v>
      </c>
      <c r="G137" s="674" t="s">
        <v>527</v>
      </c>
      <c r="H137" s="674" t="s">
        <v>962</v>
      </c>
      <c r="I137" s="674" t="s">
        <v>963</v>
      </c>
      <c r="J137" s="674" t="s">
        <v>964</v>
      </c>
      <c r="K137" s="674" t="s">
        <v>965</v>
      </c>
      <c r="L137" s="676">
        <v>410.17</v>
      </c>
      <c r="M137" s="676">
        <v>1</v>
      </c>
      <c r="N137" s="677">
        <v>410.17</v>
      </c>
    </row>
    <row r="138" spans="1:14" ht="14.4" customHeight="1" x14ac:dyDescent="0.3">
      <c r="A138" s="672" t="s">
        <v>478</v>
      </c>
      <c r="B138" s="673" t="s">
        <v>1446</v>
      </c>
      <c r="C138" s="674" t="s">
        <v>483</v>
      </c>
      <c r="D138" s="675" t="s">
        <v>484</v>
      </c>
      <c r="E138" s="674" t="s">
        <v>488</v>
      </c>
      <c r="F138" s="675" t="s">
        <v>1447</v>
      </c>
      <c r="G138" s="674" t="s">
        <v>527</v>
      </c>
      <c r="H138" s="674" t="s">
        <v>966</v>
      </c>
      <c r="I138" s="674" t="s">
        <v>967</v>
      </c>
      <c r="J138" s="674" t="s">
        <v>968</v>
      </c>
      <c r="K138" s="674" t="s">
        <v>969</v>
      </c>
      <c r="L138" s="676">
        <v>124.77007888847648</v>
      </c>
      <c r="M138" s="676">
        <v>15</v>
      </c>
      <c r="N138" s="677">
        <v>1871.5511833271471</v>
      </c>
    </row>
    <row r="139" spans="1:14" ht="14.4" customHeight="1" x14ac:dyDescent="0.3">
      <c r="A139" s="672" t="s">
        <v>478</v>
      </c>
      <c r="B139" s="673" t="s">
        <v>1446</v>
      </c>
      <c r="C139" s="674" t="s">
        <v>483</v>
      </c>
      <c r="D139" s="675" t="s">
        <v>484</v>
      </c>
      <c r="E139" s="674" t="s">
        <v>488</v>
      </c>
      <c r="F139" s="675" t="s">
        <v>1447</v>
      </c>
      <c r="G139" s="674" t="s">
        <v>527</v>
      </c>
      <c r="H139" s="674" t="s">
        <v>970</v>
      </c>
      <c r="I139" s="674" t="s">
        <v>971</v>
      </c>
      <c r="J139" s="674" t="s">
        <v>972</v>
      </c>
      <c r="K139" s="674" t="s">
        <v>902</v>
      </c>
      <c r="L139" s="676">
        <v>80.37</v>
      </c>
      <c r="M139" s="676">
        <v>29</v>
      </c>
      <c r="N139" s="677">
        <v>2330.73</v>
      </c>
    </row>
    <row r="140" spans="1:14" ht="14.4" customHeight="1" x14ac:dyDescent="0.3">
      <c r="A140" s="672" t="s">
        <v>478</v>
      </c>
      <c r="B140" s="673" t="s">
        <v>1446</v>
      </c>
      <c r="C140" s="674" t="s">
        <v>483</v>
      </c>
      <c r="D140" s="675" t="s">
        <v>484</v>
      </c>
      <c r="E140" s="674" t="s">
        <v>488</v>
      </c>
      <c r="F140" s="675" t="s">
        <v>1447</v>
      </c>
      <c r="G140" s="674" t="s">
        <v>527</v>
      </c>
      <c r="H140" s="674" t="s">
        <v>973</v>
      </c>
      <c r="I140" s="674" t="s">
        <v>719</v>
      </c>
      <c r="J140" s="674" t="s">
        <v>974</v>
      </c>
      <c r="K140" s="674" t="s">
        <v>975</v>
      </c>
      <c r="L140" s="676">
        <v>1784.85</v>
      </c>
      <c r="M140" s="676">
        <v>11</v>
      </c>
      <c r="N140" s="677">
        <v>19633.349999999999</v>
      </c>
    </row>
    <row r="141" spans="1:14" ht="14.4" customHeight="1" x14ac:dyDescent="0.3">
      <c r="A141" s="672" t="s">
        <v>478</v>
      </c>
      <c r="B141" s="673" t="s">
        <v>1446</v>
      </c>
      <c r="C141" s="674" t="s">
        <v>483</v>
      </c>
      <c r="D141" s="675" t="s">
        <v>484</v>
      </c>
      <c r="E141" s="674" t="s">
        <v>488</v>
      </c>
      <c r="F141" s="675" t="s">
        <v>1447</v>
      </c>
      <c r="G141" s="674" t="s">
        <v>527</v>
      </c>
      <c r="H141" s="674" t="s">
        <v>976</v>
      </c>
      <c r="I141" s="674" t="s">
        <v>719</v>
      </c>
      <c r="J141" s="674" t="s">
        <v>977</v>
      </c>
      <c r="K141" s="674"/>
      <c r="L141" s="676">
        <v>339.84000000000003</v>
      </c>
      <c r="M141" s="676">
        <v>1</v>
      </c>
      <c r="N141" s="677">
        <v>339.84000000000003</v>
      </c>
    </row>
    <row r="142" spans="1:14" ht="14.4" customHeight="1" x14ac:dyDescent="0.3">
      <c r="A142" s="672" t="s">
        <v>478</v>
      </c>
      <c r="B142" s="673" t="s">
        <v>1446</v>
      </c>
      <c r="C142" s="674" t="s">
        <v>483</v>
      </c>
      <c r="D142" s="675" t="s">
        <v>484</v>
      </c>
      <c r="E142" s="674" t="s">
        <v>488</v>
      </c>
      <c r="F142" s="675" t="s">
        <v>1447</v>
      </c>
      <c r="G142" s="674" t="s">
        <v>527</v>
      </c>
      <c r="H142" s="674" t="s">
        <v>978</v>
      </c>
      <c r="I142" s="674" t="s">
        <v>978</v>
      </c>
      <c r="J142" s="674" t="s">
        <v>979</v>
      </c>
      <c r="K142" s="674" t="s">
        <v>980</v>
      </c>
      <c r="L142" s="676">
        <v>841.5</v>
      </c>
      <c r="M142" s="676">
        <v>21</v>
      </c>
      <c r="N142" s="677">
        <v>17671.5</v>
      </c>
    </row>
    <row r="143" spans="1:14" ht="14.4" customHeight="1" x14ac:dyDescent="0.3">
      <c r="A143" s="672" t="s">
        <v>478</v>
      </c>
      <c r="B143" s="673" t="s">
        <v>1446</v>
      </c>
      <c r="C143" s="674" t="s">
        <v>483</v>
      </c>
      <c r="D143" s="675" t="s">
        <v>484</v>
      </c>
      <c r="E143" s="674" t="s">
        <v>488</v>
      </c>
      <c r="F143" s="675" t="s">
        <v>1447</v>
      </c>
      <c r="G143" s="674" t="s">
        <v>527</v>
      </c>
      <c r="H143" s="674" t="s">
        <v>981</v>
      </c>
      <c r="I143" s="674" t="s">
        <v>982</v>
      </c>
      <c r="J143" s="674" t="s">
        <v>983</v>
      </c>
      <c r="K143" s="674" t="s">
        <v>984</v>
      </c>
      <c r="L143" s="676">
        <v>84.380000000000052</v>
      </c>
      <c r="M143" s="676">
        <v>2</v>
      </c>
      <c r="N143" s="677">
        <v>168.7600000000001</v>
      </c>
    </row>
    <row r="144" spans="1:14" ht="14.4" customHeight="1" x14ac:dyDescent="0.3">
      <c r="A144" s="672" t="s">
        <v>478</v>
      </c>
      <c r="B144" s="673" t="s">
        <v>1446</v>
      </c>
      <c r="C144" s="674" t="s">
        <v>483</v>
      </c>
      <c r="D144" s="675" t="s">
        <v>484</v>
      </c>
      <c r="E144" s="674" t="s">
        <v>488</v>
      </c>
      <c r="F144" s="675" t="s">
        <v>1447</v>
      </c>
      <c r="G144" s="674" t="s">
        <v>527</v>
      </c>
      <c r="H144" s="674" t="s">
        <v>985</v>
      </c>
      <c r="I144" s="674" t="s">
        <v>719</v>
      </c>
      <c r="J144" s="674" t="s">
        <v>986</v>
      </c>
      <c r="K144" s="674"/>
      <c r="L144" s="676">
        <v>130.84504639356209</v>
      </c>
      <c r="M144" s="676">
        <v>16</v>
      </c>
      <c r="N144" s="677">
        <v>2093.5207422969934</v>
      </c>
    </row>
    <row r="145" spans="1:14" ht="14.4" customHeight="1" x14ac:dyDescent="0.3">
      <c r="A145" s="672" t="s">
        <v>478</v>
      </c>
      <c r="B145" s="673" t="s">
        <v>1446</v>
      </c>
      <c r="C145" s="674" t="s">
        <v>483</v>
      </c>
      <c r="D145" s="675" t="s">
        <v>484</v>
      </c>
      <c r="E145" s="674" t="s">
        <v>488</v>
      </c>
      <c r="F145" s="675" t="s">
        <v>1447</v>
      </c>
      <c r="G145" s="674" t="s">
        <v>527</v>
      </c>
      <c r="H145" s="674" t="s">
        <v>987</v>
      </c>
      <c r="I145" s="674" t="s">
        <v>719</v>
      </c>
      <c r="J145" s="674" t="s">
        <v>988</v>
      </c>
      <c r="K145" s="674" t="s">
        <v>989</v>
      </c>
      <c r="L145" s="676">
        <v>118.74606446978767</v>
      </c>
      <c r="M145" s="676">
        <v>13</v>
      </c>
      <c r="N145" s="677">
        <v>1543.6988381072397</v>
      </c>
    </row>
    <row r="146" spans="1:14" ht="14.4" customHeight="1" x14ac:dyDescent="0.3">
      <c r="A146" s="672" t="s">
        <v>478</v>
      </c>
      <c r="B146" s="673" t="s">
        <v>1446</v>
      </c>
      <c r="C146" s="674" t="s">
        <v>483</v>
      </c>
      <c r="D146" s="675" t="s">
        <v>484</v>
      </c>
      <c r="E146" s="674" t="s">
        <v>488</v>
      </c>
      <c r="F146" s="675" t="s">
        <v>1447</v>
      </c>
      <c r="G146" s="674" t="s">
        <v>527</v>
      </c>
      <c r="H146" s="674" t="s">
        <v>990</v>
      </c>
      <c r="I146" s="674" t="s">
        <v>719</v>
      </c>
      <c r="J146" s="674" t="s">
        <v>991</v>
      </c>
      <c r="K146" s="674"/>
      <c r="L146" s="676">
        <v>91.3</v>
      </c>
      <c r="M146" s="676">
        <v>5</v>
      </c>
      <c r="N146" s="677">
        <v>456.5</v>
      </c>
    </row>
    <row r="147" spans="1:14" ht="14.4" customHeight="1" x14ac:dyDescent="0.3">
      <c r="A147" s="672" t="s">
        <v>478</v>
      </c>
      <c r="B147" s="673" t="s">
        <v>1446</v>
      </c>
      <c r="C147" s="674" t="s">
        <v>483</v>
      </c>
      <c r="D147" s="675" t="s">
        <v>484</v>
      </c>
      <c r="E147" s="674" t="s">
        <v>488</v>
      </c>
      <c r="F147" s="675" t="s">
        <v>1447</v>
      </c>
      <c r="G147" s="674" t="s">
        <v>527</v>
      </c>
      <c r="H147" s="674" t="s">
        <v>992</v>
      </c>
      <c r="I147" s="674" t="s">
        <v>993</v>
      </c>
      <c r="J147" s="674" t="s">
        <v>994</v>
      </c>
      <c r="K147" s="674" t="s">
        <v>995</v>
      </c>
      <c r="L147" s="676">
        <v>251.38</v>
      </c>
      <c r="M147" s="676">
        <v>1</v>
      </c>
      <c r="N147" s="677">
        <v>251.38</v>
      </c>
    </row>
    <row r="148" spans="1:14" ht="14.4" customHeight="1" x14ac:dyDescent="0.3">
      <c r="A148" s="672" t="s">
        <v>478</v>
      </c>
      <c r="B148" s="673" t="s">
        <v>1446</v>
      </c>
      <c r="C148" s="674" t="s">
        <v>483</v>
      </c>
      <c r="D148" s="675" t="s">
        <v>484</v>
      </c>
      <c r="E148" s="674" t="s">
        <v>488</v>
      </c>
      <c r="F148" s="675" t="s">
        <v>1447</v>
      </c>
      <c r="G148" s="674" t="s">
        <v>527</v>
      </c>
      <c r="H148" s="674" t="s">
        <v>996</v>
      </c>
      <c r="I148" s="674" t="s">
        <v>997</v>
      </c>
      <c r="J148" s="674" t="s">
        <v>998</v>
      </c>
      <c r="K148" s="674" t="s">
        <v>999</v>
      </c>
      <c r="L148" s="676">
        <v>224.81000000000023</v>
      </c>
      <c r="M148" s="676">
        <v>1</v>
      </c>
      <c r="N148" s="677">
        <v>224.81000000000023</v>
      </c>
    </row>
    <row r="149" spans="1:14" ht="14.4" customHeight="1" x14ac:dyDescent="0.3">
      <c r="A149" s="672" t="s">
        <v>478</v>
      </c>
      <c r="B149" s="673" t="s">
        <v>1446</v>
      </c>
      <c r="C149" s="674" t="s">
        <v>483</v>
      </c>
      <c r="D149" s="675" t="s">
        <v>484</v>
      </c>
      <c r="E149" s="674" t="s">
        <v>488</v>
      </c>
      <c r="F149" s="675" t="s">
        <v>1447</v>
      </c>
      <c r="G149" s="674" t="s">
        <v>527</v>
      </c>
      <c r="H149" s="674" t="s">
        <v>1000</v>
      </c>
      <c r="I149" s="674" t="s">
        <v>719</v>
      </c>
      <c r="J149" s="674" t="s">
        <v>1001</v>
      </c>
      <c r="K149" s="674"/>
      <c r="L149" s="676">
        <v>56.373133310158643</v>
      </c>
      <c r="M149" s="676">
        <v>48</v>
      </c>
      <c r="N149" s="677">
        <v>2705.910398887615</v>
      </c>
    </row>
    <row r="150" spans="1:14" ht="14.4" customHeight="1" x14ac:dyDescent="0.3">
      <c r="A150" s="672" t="s">
        <v>478</v>
      </c>
      <c r="B150" s="673" t="s">
        <v>1446</v>
      </c>
      <c r="C150" s="674" t="s">
        <v>483</v>
      </c>
      <c r="D150" s="675" t="s">
        <v>484</v>
      </c>
      <c r="E150" s="674" t="s">
        <v>488</v>
      </c>
      <c r="F150" s="675" t="s">
        <v>1447</v>
      </c>
      <c r="G150" s="674" t="s">
        <v>527</v>
      </c>
      <c r="H150" s="674" t="s">
        <v>1002</v>
      </c>
      <c r="I150" s="674" t="s">
        <v>1002</v>
      </c>
      <c r="J150" s="674" t="s">
        <v>1003</v>
      </c>
      <c r="K150" s="674" t="s">
        <v>1004</v>
      </c>
      <c r="L150" s="676">
        <v>95.572599999999994</v>
      </c>
      <c r="M150" s="676">
        <v>5</v>
      </c>
      <c r="N150" s="677">
        <v>477.86299999999994</v>
      </c>
    </row>
    <row r="151" spans="1:14" ht="14.4" customHeight="1" x14ac:dyDescent="0.3">
      <c r="A151" s="672" t="s">
        <v>478</v>
      </c>
      <c r="B151" s="673" t="s">
        <v>1446</v>
      </c>
      <c r="C151" s="674" t="s">
        <v>483</v>
      </c>
      <c r="D151" s="675" t="s">
        <v>484</v>
      </c>
      <c r="E151" s="674" t="s">
        <v>488</v>
      </c>
      <c r="F151" s="675" t="s">
        <v>1447</v>
      </c>
      <c r="G151" s="674" t="s">
        <v>527</v>
      </c>
      <c r="H151" s="674" t="s">
        <v>1005</v>
      </c>
      <c r="I151" s="674" t="s">
        <v>719</v>
      </c>
      <c r="J151" s="674" t="s">
        <v>1006</v>
      </c>
      <c r="K151" s="674" t="s">
        <v>1007</v>
      </c>
      <c r="L151" s="676">
        <v>93.520842191985636</v>
      </c>
      <c r="M151" s="676">
        <v>1</v>
      </c>
      <c r="N151" s="677">
        <v>93.520842191985636</v>
      </c>
    </row>
    <row r="152" spans="1:14" ht="14.4" customHeight="1" x14ac:dyDescent="0.3">
      <c r="A152" s="672" t="s">
        <v>478</v>
      </c>
      <c r="B152" s="673" t="s">
        <v>1446</v>
      </c>
      <c r="C152" s="674" t="s">
        <v>483</v>
      </c>
      <c r="D152" s="675" t="s">
        <v>484</v>
      </c>
      <c r="E152" s="674" t="s">
        <v>488</v>
      </c>
      <c r="F152" s="675" t="s">
        <v>1447</v>
      </c>
      <c r="G152" s="674" t="s">
        <v>527</v>
      </c>
      <c r="H152" s="674" t="s">
        <v>1008</v>
      </c>
      <c r="I152" s="674" t="s">
        <v>1009</v>
      </c>
      <c r="J152" s="674" t="s">
        <v>1010</v>
      </c>
      <c r="K152" s="674" t="s">
        <v>1011</v>
      </c>
      <c r="L152" s="676">
        <v>160.68999999999997</v>
      </c>
      <c r="M152" s="676">
        <v>1</v>
      </c>
      <c r="N152" s="677">
        <v>160.68999999999997</v>
      </c>
    </row>
    <row r="153" spans="1:14" ht="14.4" customHeight="1" x14ac:dyDescent="0.3">
      <c r="A153" s="672" t="s">
        <v>478</v>
      </c>
      <c r="B153" s="673" t="s">
        <v>1446</v>
      </c>
      <c r="C153" s="674" t="s">
        <v>483</v>
      </c>
      <c r="D153" s="675" t="s">
        <v>484</v>
      </c>
      <c r="E153" s="674" t="s">
        <v>488</v>
      </c>
      <c r="F153" s="675" t="s">
        <v>1447</v>
      </c>
      <c r="G153" s="674" t="s">
        <v>527</v>
      </c>
      <c r="H153" s="674" t="s">
        <v>1012</v>
      </c>
      <c r="I153" s="674" t="s">
        <v>1012</v>
      </c>
      <c r="J153" s="674" t="s">
        <v>1013</v>
      </c>
      <c r="K153" s="674" t="s">
        <v>1014</v>
      </c>
      <c r="L153" s="676">
        <v>145.86000000000001</v>
      </c>
      <c r="M153" s="676">
        <v>1</v>
      </c>
      <c r="N153" s="677">
        <v>145.86000000000001</v>
      </c>
    </row>
    <row r="154" spans="1:14" ht="14.4" customHeight="1" x14ac:dyDescent="0.3">
      <c r="A154" s="672" t="s">
        <v>478</v>
      </c>
      <c r="B154" s="673" t="s">
        <v>1446</v>
      </c>
      <c r="C154" s="674" t="s">
        <v>483</v>
      </c>
      <c r="D154" s="675" t="s">
        <v>484</v>
      </c>
      <c r="E154" s="674" t="s">
        <v>488</v>
      </c>
      <c r="F154" s="675" t="s">
        <v>1447</v>
      </c>
      <c r="G154" s="674" t="s">
        <v>527</v>
      </c>
      <c r="H154" s="674" t="s">
        <v>1015</v>
      </c>
      <c r="I154" s="674" t="s">
        <v>1015</v>
      </c>
      <c r="J154" s="674" t="s">
        <v>1016</v>
      </c>
      <c r="K154" s="674" t="s">
        <v>1017</v>
      </c>
      <c r="L154" s="676">
        <v>151.14975217333131</v>
      </c>
      <c r="M154" s="676">
        <v>1</v>
      </c>
      <c r="N154" s="677">
        <v>151.14975217333131</v>
      </c>
    </row>
    <row r="155" spans="1:14" ht="14.4" customHeight="1" x14ac:dyDescent="0.3">
      <c r="A155" s="672" t="s">
        <v>478</v>
      </c>
      <c r="B155" s="673" t="s">
        <v>1446</v>
      </c>
      <c r="C155" s="674" t="s">
        <v>483</v>
      </c>
      <c r="D155" s="675" t="s">
        <v>484</v>
      </c>
      <c r="E155" s="674" t="s">
        <v>488</v>
      </c>
      <c r="F155" s="675" t="s">
        <v>1447</v>
      </c>
      <c r="G155" s="674" t="s">
        <v>527</v>
      </c>
      <c r="H155" s="674" t="s">
        <v>1018</v>
      </c>
      <c r="I155" s="674" t="s">
        <v>1018</v>
      </c>
      <c r="J155" s="674" t="s">
        <v>1019</v>
      </c>
      <c r="K155" s="674" t="s">
        <v>1020</v>
      </c>
      <c r="L155" s="676">
        <v>433.41808188354514</v>
      </c>
      <c r="M155" s="676">
        <v>5</v>
      </c>
      <c r="N155" s="677">
        <v>2167.0904094177258</v>
      </c>
    </row>
    <row r="156" spans="1:14" ht="14.4" customHeight="1" x14ac:dyDescent="0.3">
      <c r="A156" s="672" t="s">
        <v>478</v>
      </c>
      <c r="B156" s="673" t="s">
        <v>1446</v>
      </c>
      <c r="C156" s="674" t="s">
        <v>483</v>
      </c>
      <c r="D156" s="675" t="s">
        <v>484</v>
      </c>
      <c r="E156" s="674" t="s">
        <v>488</v>
      </c>
      <c r="F156" s="675" t="s">
        <v>1447</v>
      </c>
      <c r="G156" s="674" t="s">
        <v>527</v>
      </c>
      <c r="H156" s="674" t="s">
        <v>1021</v>
      </c>
      <c r="I156" s="674" t="s">
        <v>1021</v>
      </c>
      <c r="J156" s="674" t="s">
        <v>1022</v>
      </c>
      <c r="K156" s="674" t="s">
        <v>1023</v>
      </c>
      <c r="L156" s="676">
        <v>431.69008188354508</v>
      </c>
      <c r="M156" s="676">
        <v>5</v>
      </c>
      <c r="N156" s="677">
        <v>2158.4504094177255</v>
      </c>
    </row>
    <row r="157" spans="1:14" ht="14.4" customHeight="1" x14ac:dyDescent="0.3">
      <c r="A157" s="672" t="s">
        <v>478</v>
      </c>
      <c r="B157" s="673" t="s">
        <v>1446</v>
      </c>
      <c r="C157" s="674" t="s">
        <v>483</v>
      </c>
      <c r="D157" s="675" t="s">
        <v>484</v>
      </c>
      <c r="E157" s="674" t="s">
        <v>488</v>
      </c>
      <c r="F157" s="675" t="s">
        <v>1447</v>
      </c>
      <c r="G157" s="674" t="s">
        <v>527</v>
      </c>
      <c r="H157" s="674" t="s">
        <v>1024</v>
      </c>
      <c r="I157" s="674" t="s">
        <v>1024</v>
      </c>
      <c r="J157" s="674" t="s">
        <v>1025</v>
      </c>
      <c r="K157" s="674" t="s">
        <v>1026</v>
      </c>
      <c r="L157" s="676">
        <v>175.03020000000001</v>
      </c>
      <c r="M157" s="676">
        <v>3</v>
      </c>
      <c r="N157" s="677">
        <v>525.09059999999999</v>
      </c>
    </row>
    <row r="158" spans="1:14" ht="14.4" customHeight="1" x14ac:dyDescent="0.3">
      <c r="A158" s="672" t="s">
        <v>478</v>
      </c>
      <c r="B158" s="673" t="s">
        <v>1446</v>
      </c>
      <c r="C158" s="674" t="s">
        <v>483</v>
      </c>
      <c r="D158" s="675" t="s">
        <v>484</v>
      </c>
      <c r="E158" s="674" t="s">
        <v>488</v>
      </c>
      <c r="F158" s="675" t="s">
        <v>1447</v>
      </c>
      <c r="G158" s="674" t="s">
        <v>527</v>
      </c>
      <c r="H158" s="674" t="s">
        <v>1027</v>
      </c>
      <c r="I158" s="674" t="s">
        <v>1027</v>
      </c>
      <c r="J158" s="674" t="s">
        <v>1028</v>
      </c>
      <c r="K158" s="674" t="s">
        <v>1029</v>
      </c>
      <c r="L158" s="676">
        <v>2687.2599999999998</v>
      </c>
      <c r="M158" s="676">
        <v>4</v>
      </c>
      <c r="N158" s="677">
        <v>10749.039999999999</v>
      </c>
    </row>
    <row r="159" spans="1:14" ht="14.4" customHeight="1" x14ac:dyDescent="0.3">
      <c r="A159" s="672" t="s">
        <v>478</v>
      </c>
      <c r="B159" s="673" t="s">
        <v>1446</v>
      </c>
      <c r="C159" s="674" t="s">
        <v>483</v>
      </c>
      <c r="D159" s="675" t="s">
        <v>484</v>
      </c>
      <c r="E159" s="674" t="s">
        <v>488</v>
      </c>
      <c r="F159" s="675" t="s">
        <v>1447</v>
      </c>
      <c r="G159" s="674" t="s">
        <v>527</v>
      </c>
      <c r="H159" s="674" t="s">
        <v>1030</v>
      </c>
      <c r="I159" s="674" t="s">
        <v>1031</v>
      </c>
      <c r="J159" s="674" t="s">
        <v>1032</v>
      </c>
      <c r="K159" s="674"/>
      <c r="L159" s="676">
        <v>163.56996638621888</v>
      </c>
      <c r="M159" s="676">
        <v>2</v>
      </c>
      <c r="N159" s="677">
        <v>327.13993277243776</v>
      </c>
    </row>
    <row r="160" spans="1:14" ht="14.4" customHeight="1" x14ac:dyDescent="0.3">
      <c r="A160" s="672" t="s">
        <v>478</v>
      </c>
      <c r="B160" s="673" t="s">
        <v>1446</v>
      </c>
      <c r="C160" s="674" t="s">
        <v>483</v>
      </c>
      <c r="D160" s="675" t="s">
        <v>484</v>
      </c>
      <c r="E160" s="674" t="s">
        <v>488</v>
      </c>
      <c r="F160" s="675" t="s">
        <v>1447</v>
      </c>
      <c r="G160" s="674" t="s">
        <v>527</v>
      </c>
      <c r="H160" s="674" t="s">
        <v>1033</v>
      </c>
      <c r="I160" s="674" t="s">
        <v>1033</v>
      </c>
      <c r="J160" s="674" t="s">
        <v>1034</v>
      </c>
      <c r="K160" s="674" t="s">
        <v>1035</v>
      </c>
      <c r="L160" s="676">
        <v>1063.2400000000002</v>
      </c>
      <c r="M160" s="676">
        <v>3</v>
      </c>
      <c r="N160" s="677">
        <v>3189.7200000000007</v>
      </c>
    </row>
    <row r="161" spans="1:14" ht="14.4" customHeight="1" x14ac:dyDescent="0.3">
      <c r="A161" s="672" t="s">
        <v>478</v>
      </c>
      <c r="B161" s="673" t="s">
        <v>1446</v>
      </c>
      <c r="C161" s="674" t="s">
        <v>483</v>
      </c>
      <c r="D161" s="675" t="s">
        <v>484</v>
      </c>
      <c r="E161" s="674" t="s">
        <v>488</v>
      </c>
      <c r="F161" s="675" t="s">
        <v>1447</v>
      </c>
      <c r="G161" s="674" t="s">
        <v>527</v>
      </c>
      <c r="H161" s="674" t="s">
        <v>1036</v>
      </c>
      <c r="I161" s="674" t="s">
        <v>1036</v>
      </c>
      <c r="J161" s="674" t="s">
        <v>1037</v>
      </c>
      <c r="K161" s="674" t="s">
        <v>1038</v>
      </c>
      <c r="L161" s="676">
        <v>197.29</v>
      </c>
      <c r="M161" s="676">
        <v>1</v>
      </c>
      <c r="N161" s="677">
        <v>197.29</v>
      </c>
    </row>
    <row r="162" spans="1:14" ht="14.4" customHeight="1" x14ac:dyDescent="0.3">
      <c r="A162" s="672" t="s">
        <v>478</v>
      </c>
      <c r="B162" s="673" t="s">
        <v>1446</v>
      </c>
      <c r="C162" s="674" t="s">
        <v>483</v>
      </c>
      <c r="D162" s="675" t="s">
        <v>484</v>
      </c>
      <c r="E162" s="674" t="s">
        <v>488</v>
      </c>
      <c r="F162" s="675" t="s">
        <v>1447</v>
      </c>
      <c r="G162" s="674" t="s">
        <v>527</v>
      </c>
      <c r="H162" s="674" t="s">
        <v>1039</v>
      </c>
      <c r="I162" s="674" t="s">
        <v>1039</v>
      </c>
      <c r="J162" s="674" t="s">
        <v>1040</v>
      </c>
      <c r="K162" s="674" t="s">
        <v>1041</v>
      </c>
      <c r="L162" s="676">
        <v>793.32000000000028</v>
      </c>
      <c r="M162" s="676">
        <v>12</v>
      </c>
      <c r="N162" s="677">
        <v>9519.8400000000038</v>
      </c>
    </row>
    <row r="163" spans="1:14" ht="14.4" customHeight="1" x14ac:dyDescent="0.3">
      <c r="A163" s="672" t="s">
        <v>478</v>
      </c>
      <c r="B163" s="673" t="s">
        <v>1446</v>
      </c>
      <c r="C163" s="674" t="s">
        <v>483</v>
      </c>
      <c r="D163" s="675" t="s">
        <v>484</v>
      </c>
      <c r="E163" s="674" t="s">
        <v>488</v>
      </c>
      <c r="F163" s="675" t="s">
        <v>1447</v>
      </c>
      <c r="G163" s="674" t="s">
        <v>527</v>
      </c>
      <c r="H163" s="674" t="s">
        <v>1042</v>
      </c>
      <c r="I163" s="674" t="s">
        <v>1042</v>
      </c>
      <c r="J163" s="674" t="s">
        <v>1043</v>
      </c>
      <c r="K163" s="674" t="s">
        <v>1044</v>
      </c>
      <c r="L163" s="676">
        <v>151.56</v>
      </c>
      <c r="M163" s="676">
        <v>2</v>
      </c>
      <c r="N163" s="677">
        <v>303.12</v>
      </c>
    </row>
    <row r="164" spans="1:14" ht="14.4" customHeight="1" x14ac:dyDescent="0.3">
      <c r="A164" s="672" t="s">
        <v>478</v>
      </c>
      <c r="B164" s="673" t="s">
        <v>1446</v>
      </c>
      <c r="C164" s="674" t="s">
        <v>483</v>
      </c>
      <c r="D164" s="675" t="s">
        <v>484</v>
      </c>
      <c r="E164" s="674" t="s">
        <v>488</v>
      </c>
      <c r="F164" s="675" t="s">
        <v>1447</v>
      </c>
      <c r="G164" s="674" t="s">
        <v>527</v>
      </c>
      <c r="H164" s="674" t="s">
        <v>1045</v>
      </c>
      <c r="I164" s="674" t="s">
        <v>719</v>
      </c>
      <c r="J164" s="674" t="s">
        <v>1046</v>
      </c>
      <c r="K164" s="674"/>
      <c r="L164" s="676">
        <v>56.91</v>
      </c>
      <c r="M164" s="676">
        <v>6</v>
      </c>
      <c r="N164" s="677">
        <v>341.46</v>
      </c>
    </row>
    <row r="165" spans="1:14" ht="14.4" customHeight="1" x14ac:dyDescent="0.3">
      <c r="A165" s="672" t="s">
        <v>478</v>
      </c>
      <c r="B165" s="673" t="s">
        <v>1446</v>
      </c>
      <c r="C165" s="674" t="s">
        <v>483</v>
      </c>
      <c r="D165" s="675" t="s">
        <v>484</v>
      </c>
      <c r="E165" s="674" t="s">
        <v>488</v>
      </c>
      <c r="F165" s="675" t="s">
        <v>1447</v>
      </c>
      <c r="G165" s="674" t="s">
        <v>527</v>
      </c>
      <c r="H165" s="674" t="s">
        <v>1047</v>
      </c>
      <c r="I165" s="674" t="s">
        <v>719</v>
      </c>
      <c r="J165" s="674" t="s">
        <v>1048</v>
      </c>
      <c r="K165" s="674"/>
      <c r="L165" s="676">
        <v>349.20799999999991</v>
      </c>
      <c r="M165" s="676">
        <v>3</v>
      </c>
      <c r="N165" s="677">
        <v>1047.6239999999998</v>
      </c>
    </row>
    <row r="166" spans="1:14" ht="14.4" customHeight="1" x14ac:dyDescent="0.3">
      <c r="A166" s="672" t="s">
        <v>478</v>
      </c>
      <c r="B166" s="673" t="s">
        <v>1446</v>
      </c>
      <c r="C166" s="674" t="s">
        <v>483</v>
      </c>
      <c r="D166" s="675" t="s">
        <v>484</v>
      </c>
      <c r="E166" s="674" t="s">
        <v>488</v>
      </c>
      <c r="F166" s="675" t="s">
        <v>1447</v>
      </c>
      <c r="G166" s="674" t="s">
        <v>527</v>
      </c>
      <c r="H166" s="674" t="s">
        <v>1049</v>
      </c>
      <c r="I166" s="674" t="s">
        <v>1049</v>
      </c>
      <c r="J166" s="674" t="s">
        <v>1050</v>
      </c>
      <c r="K166" s="674" t="s">
        <v>633</v>
      </c>
      <c r="L166" s="676">
        <v>62.210000000000015</v>
      </c>
      <c r="M166" s="676">
        <v>2</v>
      </c>
      <c r="N166" s="677">
        <v>124.42000000000003</v>
      </c>
    </row>
    <row r="167" spans="1:14" ht="14.4" customHeight="1" x14ac:dyDescent="0.3">
      <c r="A167" s="672" t="s">
        <v>478</v>
      </c>
      <c r="B167" s="673" t="s">
        <v>1446</v>
      </c>
      <c r="C167" s="674" t="s">
        <v>483</v>
      </c>
      <c r="D167" s="675" t="s">
        <v>484</v>
      </c>
      <c r="E167" s="674" t="s">
        <v>488</v>
      </c>
      <c r="F167" s="675" t="s">
        <v>1447</v>
      </c>
      <c r="G167" s="674" t="s">
        <v>527</v>
      </c>
      <c r="H167" s="674" t="s">
        <v>1051</v>
      </c>
      <c r="I167" s="674" t="s">
        <v>1051</v>
      </c>
      <c r="J167" s="674" t="s">
        <v>1052</v>
      </c>
      <c r="K167" s="674" t="s">
        <v>1053</v>
      </c>
      <c r="L167" s="676">
        <v>199.97999999999996</v>
      </c>
      <c r="M167" s="676">
        <v>25</v>
      </c>
      <c r="N167" s="677">
        <v>4999.4999999999991</v>
      </c>
    </row>
    <row r="168" spans="1:14" ht="14.4" customHeight="1" x14ac:dyDescent="0.3">
      <c r="A168" s="672" t="s">
        <v>478</v>
      </c>
      <c r="B168" s="673" t="s">
        <v>1446</v>
      </c>
      <c r="C168" s="674" t="s">
        <v>483</v>
      </c>
      <c r="D168" s="675" t="s">
        <v>484</v>
      </c>
      <c r="E168" s="674" t="s">
        <v>488</v>
      </c>
      <c r="F168" s="675" t="s">
        <v>1447</v>
      </c>
      <c r="G168" s="674" t="s">
        <v>527</v>
      </c>
      <c r="H168" s="674" t="s">
        <v>1054</v>
      </c>
      <c r="I168" s="674" t="s">
        <v>1054</v>
      </c>
      <c r="J168" s="674" t="s">
        <v>1055</v>
      </c>
      <c r="K168" s="674" t="s">
        <v>1056</v>
      </c>
      <c r="L168" s="676">
        <v>264.99</v>
      </c>
      <c r="M168" s="676">
        <v>79</v>
      </c>
      <c r="N168" s="677">
        <v>20934.21</v>
      </c>
    </row>
    <row r="169" spans="1:14" ht="14.4" customHeight="1" x14ac:dyDescent="0.3">
      <c r="A169" s="672" t="s">
        <v>478</v>
      </c>
      <c r="B169" s="673" t="s">
        <v>1446</v>
      </c>
      <c r="C169" s="674" t="s">
        <v>483</v>
      </c>
      <c r="D169" s="675" t="s">
        <v>484</v>
      </c>
      <c r="E169" s="674" t="s">
        <v>488</v>
      </c>
      <c r="F169" s="675" t="s">
        <v>1447</v>
      </c>
      <c r="G169" s="674" t="s">
        <v>527</v>
      </c>
      <c r="H169" s="674" t="s">
        <v>1057</v>
      </c>
      <c r="I169" s="674" t="s">
        <v>1057</v>
      </c>
      <c r="J169" s="674" t="s">
        <v>1058</v>
      </c>
      <c r="K169" s="674" t="s">
        <v>1059</v>
      </c>
      <c r="L169" s="676">
        <v>220.29990929478041</v>
      </c>
      <c r="M169" s="676">
        <v>13</v>
      </c>
      <c r="N169" s="677">
        <v>2863.8988208321452</v>
      </c>
    </row>
    <row r="170" spans="1:14" ht="14.4" customHeight="1" x14ac:dyDescent="0.3">
      <c r="A170" s="672" t="s">
        <v>478</v>
      </c>
      <c r="B170" s="673" t="s">
        <v>1446</v>
      </c>
      <c r="C170" s="674" t="s">
        <v>483</v>
      </c>
      <c r="D170" s="675" t="s">
        <v>484</v>
      </c>
      <c r="E170" s="674" t="s">
        <v>488</v>
      </c>
      <c r="F170" s="675" t="s">
        <v>1447</v>
      </c>
      <c r="G170" s="674" t="s">
        <v>527</v>
      </c>
      <c r="H170" s="674" t="s">
        <v>1060</v>
      </c>
      <c r="I170" s="674" t="s">
        <v>1060</v>
      </c>
      <c r="J170" s="674" t="s">
        <v>1061</v>
      </c>
      <c r="K170" s="674" t="s">
        <v>1062</v>
      </c>
      <c r="L170" s="676">
        <v>47.61</v>
      </c>
      <c r="M170" s="676">
        <v>20</v>
      </c>
      <c r="N170" s="677">
        <v>952.2</v>
      </c>
    </row>
    <row r="171" spans="1:14" ht="14.4" customHeight="1" x14ac:dyDescent="0.3">
      <c r="A171" s="672" t="s">
        <v>478</v>
      </c>
      <c r="B171" s="673" t="s">
        <v>1446</v>
      </c>
      <c r="C171" s="674" t="s">
        <v>483</v>
      </c>
      <c r="D171" s="675" t="s">
        <v>484</v>
      </c>
      <c r="E171" s="674" t="s">
        <v>488</v>
      </c>
      <c r="F171" s="675" t="s">
        <v>1447</v>
      </c>
      <c r="G171" s="674" t="s">
        <v>527</v>
      </c>
      <c r="H171" s="674" t="s">
        <v>1063</v>
      </c>
      <c r="I171" s="674" t="s">
        <v>1063</v>
      </c>
      <c r="J171" s="674" t="s">
        <v>1064</v>
      </c>
      <c r="K171" s="674" t="s">
        <v>1065</v>
      </c>
      <c r="L171" s="676">
        <v>50.23</v>
      </c>
      <c r="M171" s="676">
        <v>2</v>
      </c>
      <c r="N171" s="677">
        <v>100.46</v>
      </c>
    </row>
    <row r="172" spans="1:14" ht="14.4" customHeight="1" x14ac:dyDescent="0.3">
      <c r="A172" s="672" t="s">
        <v>478</v>
      </c>
      <c r="B172" s="673" t="s">
        <v>1446</v>
      </c>
      <c r="C172" s="674" t="s">
        <v>483</v>
      </c>
      <c r="D172" s="675" t="s">
        <v>484</v>
      </c>
      <c r="E172" s="674" t="s">
        <v>488</v>
      </c>
      <c r="F172" s="675" t="s">
        <v>1447</v>
      </c>
      <c r="G172" s="674" t="s">
        <v>527</v>
      </c>
      <c r="H172" s="674" t="s">
        <v>1066</v>
      </c>
      <c r="I172" s="674" t="s">
        <v>1066</v>
      </c>
      <c r="J172" s="674" t="s">
        <v>1067</v>
      </c>
      <c r="K172" s="674" t="s">
        <v>1068</v>
      </c>
      <c r="L172" s="676">
        <v>1360.4900000000002</v>
      </c>
      <c r="M172" s="676">
        <v>18</v>
      </c>
      <c r="N172" s="677">
        <v>24488.820000000003</v>
      </c>
    </row>
    <row r="173" spans="1:14" ht="14.4" customHeight="1" x14ac:dyDescent="0.3">
      <c r="A173" s="672" t="s">
        <v>478</v>
      </c>
      <c r="B173" s="673" t="s">
        <v>1446</v>
      </c>
      <c r="C173" s="674" t="s">
        <v>483</v>
      </c>
      <c r="D173" s="675" t="s">
        <v>484</v>
      </c>
      <c r="E173" s="674" t="s">
        <v>488</v>
      </c>
      <c r="F173" s="675" t="s">
        <v>1447</v>
      </c>
      <c r="G173" s="674" t="s">
        <v>527</v>
      </c>
      <c r="H173" s="674" t="s">
        <v>1069</v>
      </c>
      <c r="I173" s="674" t="s">
        <v>1069</v>
      </c>
      <c r="J173" s="674" t="s">
        <v>1070</v>
      </c>
      <c r="K173" s="674" t="s">
        <v>1071</v>
      </c>
      <c r="L173" s="676">
        <v>622.47014639350402</v>
      </c>
      <c r="M173" s="676">
        <v>160</v>
      </c>
      <c r="N173" s="677">
        <v>99595.22342296064</v>
      </c>
    </row>
    <row r="174" spans="1:14" ht="14.4" customHeight="1" x14ac:dyDescent="0.3">
      <c r="A174" s="672" t="s">
        <v>478</v>
      </c>
      <c r="B174" s="673" t="s">
        <v>1446</v>
      </c>
      <c r="C174" s="674" t="s">
        <v>483</v>
      </c>
      <c r="D174" s="675" t="s">
        <v>484</v>
      </c>
      <c r="E174" s="674" t="s">
        <v>488</v>
      </c>
      <c r="F174" s="675" t="s">
        <v>1447</v>
      </c>
      <c r="G174" s="674" t="s">
        <v>527</v>
      </c>
      <c r="H174" s="674" t="s">
        <v>1072</v>
      </c>
      <c r="I174" s="674" t="s">
        <v>1072</v>
      </c>
      <c r="J174" s="674" t="s">
        <v>1073</v>
      </c>
      <c r="K174" s="674" t="s">
        <v>1074</v>
      </c>
      <c r="L174" s="676">
        <v>292.4199999999999</v>
      </c>
      <c r="M174" s="676">
        <v>1</v>
      </c>
      <c r="N174" s="677">
        <v>292.4199999999999</v>
      </c>
    </row>
    <row r="175" spans="1:14" ht="14.4" customHeight="1" x14ac:dyDescent="0.3">
      <c r="A175" s="672" t="s">
        <v>478</v>
      </c>
      <c r="B175" s="673" t="s">
        <v>1446</v>
      </c>
      <c r="C175" s="674" t="s">
        <v>483</v>
      </c>
      <c r="D175" s="675" t="s">
        <v>484</v>
      </c>
      <c r="E175" s="674" t="s">
        <v>488</v>
      </c>
      <c r="F175" s="675" t="s">
        <v>1447</v>
      </c>
      <c r="G175" s="674" t="s">
        <v>527</v>
      </c>
      <c r="H175" s="674" t="s">
        <v>1075</v>
      </c>
      <c r="I175" s="674" t="s">
        <v>1075</v>
      </c>
      <c r="J175" s="674" t="s">
        <v>1076</v>
      </c>
      <c r="K175" s="674" t="s">
        <v>1077</v>
      </c>
      <c r="L175" s="676">
        <v>19.25</v>
      </c>
      <c r="M175" s="676">
        <v>30</v>
      </c>
      <c r="N175" s="677">
        <v>577.5</v>
      </c>
    </row>
    <row r="176" spans="1:14" ht="14.4" customHeight="1" x14ac:dyDescent="0.3">
      <c r="A176" s="672" t="s">
        <v>478</v>
      </c>
      <c r="B176" s="673" t="s">
        <v>1446</v>
      </c>
      <c r="C176" s="674" t="s">
        <v>483</v>
      </c>
      <c r="D176" s="675" t="s">
        <v>484</v>
      </c>
      <c r="E176" s="674" t="s">
        <v>488</v>
      </c>
      <c r="F176" s="675" t="s">
        <v>1447</v>
      </c>
      <c r="G176" s="674" t="s">
        <v>527</v>
      </c>
      <c r="H176" s="674" t="s">
        <v>1078</v>
      </c>
      <c r="I176" s="674" t="s">
        <v>719</v>
      </c>
      <c r="J176" s="674" t="s">
        <v>1079</v>
      </c>
      <c r="K176" s="674"/>
      <c r="L176" s="676">
        <v>222.25637449418343</v>
      </c>
      <c r="M176" s="676">
        <v>6</v>
      </c>
      <c r="N176" s="677">
        <v>1333.5382469651006</v>
      </c>
    </row>
    <row r="177" spans="1:14" ht="14.4" customHeight="1" x14ac:dyDescent="0.3">
      <c r="A177" s="672" t="s">
        <v>478</v>
      </c>
      <c r="B177" s="673" t="s">
        <v>1446</v>
      </c>
      <c r="C177" s="674" t="s">
        <v>483</v>
      </c>
      <c r="D177" s="675" t="s">
        <v>484</v>
      </c>
      <c r="E177" s="674" t="s">
        <v>488</v>
      </c>
      <c r="F177" s="675" t="s">
        <v>1447</v>
      </c>
      <c r="G177" s="674" t="s">
        <v>1080</v>
      </c>
      <c r="H177" s="674" t="s">
        <v>1081</v>
      </c>
      <c r="I177" s="674" t="s">
        <v>1082</v>
      </c>
      <c r="J177" s="674" t="s">
        <v>1083</v>
      </c>
      <c r="K177" s="674" t="s">
        <v>1084</v>
      </c>
      <c r="L177" s="676">
        <v>56.880019503143288</v>
      </c>
      <c r="M177" s="676">
        <v>121</v>
      </c>
      <c r="N177" s="677">
        <v>6882.4823598803378</v>
      </c>
    </row>
    <row r="178" spans="1:14" ht="14.4" customHeight="1" x14ac:dyDescent="0.3">
      <c r="A178" s="672" t="s">
        <v>478</v>
      </c>
      <c r="B178" s="673" t="s">
        <v>1446</v>
      </c>
      <c r="C178" s="674" t="s">
        <v>483</v>
      </c>
      <c r="D178" s="675" t="s">
        <v>484</v>
      </c>
      <c r="E178" s="674" t="s">
        <v>488</v>
      </c>
      <c r="F178" s="675" t="s">
        <v>1447</v>
      </c>
      <c r="G178" s="674" t="s">
        <v>1080</v>
      </c>
      <c r="H178" s="674" t="s">
        <v>1085</v>
      </c>
      <c r="I178" s="674" t="s">
        <v>1086</v>
      </c>
      <c r="J178" s="674" t="s">
        <v>1087</v>
      </c>
      <c r="K178" s="674" t="s">
        <v>1088</v>
      </c>
      <c r="L178" s="676">
        <v>34.748993377027929</v>
      </c>
      <c r="M178" s="676">
        <v>4</v>
      </c>
      <c r="N178" s="677">
        <v>138.99597350811172</v>
      </c>
    </row>
    <row r="179" spans="1:14" ht="14.4" customHeight="1" x14ac:dyDescent="0.3">
      <c r="A179" s="672" t="s">
        <v>478</v>
      </c>
      <c r="B179" s="673" t="s">
        <v>1446</v>
      </c>
      <c r="C179" s="674" t="s">
        <v>483</v>
      </c>
      <c r="D179" s="675" t="s">
        <v>484</v>
      </c>
      <c r="E179" s="674" t="s">
        <v>488</v>
      </c>
      <c r="F179" s="675" t="s">
        <v>1447</v>
      </c>
      <c r="G179" s="674" t="s">
        <v>1080</v>
      </c>
      <c r="H179" s="674" t="s">
        <v>1089</v>
      </c>
      <c r="I179" s="674" t="s">
        <v>1090</v>
      </c>
      <c r="J179" s="674" t="s">
        <v>1091</v>
      </c>
      <c r="K179" s="674" t="s">
        <v>1092</v>
      </c>
      <c r="L179" s="676">
        <v>45.189999999999991</v>
      </c>
      <c r="M179" s="676">
        <v>1</v>
      </c>
      <c r="N179" s="677">
        <v>45.189999999999991</v>
      </c>
    </row>
    <row r="180" spans="1:14" ht="14.4" customHeight="1" x14ac:dyDescent="0.3">
      <c r="A180" s="672" t="s">
        <v>478</v>
      </c>
      <c r="B180" s="673" t="s">
        <v>1446</v>
      </c>
      <c r="C180" s="674" t="s">
        <v>483</v>
      </c>
      <c r="D180" s="675" t="s">
        <v>484</v>
      </c>
      <c r="E180" s="674" t="s">
        <v>488</v>
      </c>
      <c r="F180" s="675" t="s">
        <v>1447</v>
      </c>
      <c r="G180" s="674" t="s">
        <v>1080</v>
      </c>
      <c r="H180" s="674" t="s">
        <v>1093</v>
      </c>
      <c r="I180" s="674" t="s">
        <v>1094</v>
      </c>
      <c r="J180" s="674" t="s">
        <v>1095</v>
      </c>
      <c r="K180" s="674" t="s">
        <v>1096</v>
      </c>
      <c r="L180" s="676">
        <v>36.620000000000005</v>
      </c>
      <c r="M180" s="676">
        <v>3</v>
      </c>
      <c r="N180" s="677">
        <v>109.86000000000001</v>
      </c>
    </row>
    <row r="181" spans="1:14" ht="14.4" customHeight="1" x14ac:dyDescent="0.3">
      <c r="A181" s="672" t="s">
        <v>478</v>
      </c>
      <c r="B181" s="673" t="s">
        <v>1446</v>
      </c>
      <c r="C181" s="674" t="s">
        <v>483</v>
      </c>
      <c r="D181" s="675" t="s">
        <v>484</v>
      </c>
      <c r="E181" s="674" t="s">
        <v>488</v>
      </c>
      <c r="F181" s="675" t="s">
        <v>1447</v>
      </c>
      <c r="G181" s="674" t="s">
        <v>1080</v>
      </c>
      <c r="H181" s="674" t="s">
        <v>1097</v>
      </c>
      <c r="I181" s="674" t="s">
        <v>1098</v>
      </c>
      <c r="J181" s="674" t="s">
        <v>1083</v>
      </c>
      <c r="K181" s="674" t="s">
        <v>1099</v>
      </c>
      <c r="L181" s="676">
        <v>44.590104906169095</v>
      </c>
      <c r="M181" s="676">
        <v>4</v>
      </c>
      <c r="N181" s="677">
        <v>178.36041962467638</v>
      </c>
    </row>
    <row r="182" spans="1:14" ht="14.4" customHeight="1" x14ac:dyDescent="0.3">
      <c r="A182" s="672" t="s">
        <v>478</v>
      </c>
      <c r="B182" s="673" t="s">
        <v>1446</v>
      </c>
      <c r="C182" s="674" t="s">
        <v>483</v>
      </c>
      <c r="D182" s="675" t="s">
        <v>484</v>
      </c>
      <c r="E182" s="674" t="s">
        <v>488</v>
      </c>
      <c r="F182" s="675" t="s">
        <v>1447</v>
      </c>
      <c r="G182" s="674" t="s">
        <v>1080</v>
      </c>
      <c r="H182" s="674" t="s">
        <v>1100</v>
      </c>
      <c r="I182" s="674" t="s">
        <v>1101</v>
      </c>
      <c r="J182" s="674" t="s">
        <v>1102</v>
      </c>
      <c r="K182" s="674" t="s">
        <v>1103</v>
      </c>
      <c r="L182" s="676">
        <v>81.213200000000001</v>
      </c>
      <c r="M182" s="676">
        <v>25</v>
      </c>
      <c r="N182" s="677">
        <v>2030.33</v>
      </c>
    </row>
    <row r="183" spans="1:14" ht="14.4" customHeight="1" x14ac:dyDescent="0.3">
      <c r="A183" s="672" t="s">
        <v>478</v>
      </c>
      <c r="B183" s="673" t="s">
        <v>1446</v>
      </c>
      <c r="C183" s="674" t="s">
        <v>483</v>
      </c>
      <c r="D183" s="675" t="s">
        <v>484</v>
      </c>
      <c r="E183" s="674" t="s">
        <v>488</v>
      </c>
      <c r="F183" s="675" t="s">
        <v>1447</v>
      </c>
      <c r="G183" s="674" t="s">
        <v>1080</v>
      </c>
      <c r="H183" s="674" t="s">
        <v>1104</v>
      </c>
      <c r="I183" s="674" t="s">
        <v>1105</v>
      </c>
      <c r="J183" s="674" t="s">
        <v>1106</v>
      </c>
      <c r="K183" s="674" t="s">
        <v>1096</v>
      </c>
      <c r="L183" s="676">
        <v>86.68</v>
      </c>
      <c r="M183" s="676">
        <v>3</v>
      </c>
      <c r="N183" s="677">
        <v>260.04000000000002</v>
      </c>
    </row>
    <row r="184" spans="1:14" ht="14.4" customHeight="1" x14ac:dyDescent="0.3">
      <c r="A184" s="672" t="s">
        <v>478</v>
      </c>
      <c r="B184" s="673" t="s">
        <v>1446</v>
      </c>
      <c r="C184" s="674" t="s">
        <v>483</v>
      </c>
      <c r="D184" s="675" t="s">
        <v>484</v>
      </c>
      <c r="E184" s="674" t="s">
        <v>488</v>
      </c>
      <c r="F184" s="675" t="s">
        <v>1447</v>
      </c>
      <c r="G184" s="674" t="s">
        <v>1080</v>
      </c>
      <c r="H184" s="674" t="s">
        <v>1107</v>
      </c>
      <c r="I184" s="674" t="s">
        <v>1108</v>
      </c>
      <c r="J184" s="674" t="s">
        <v>1106</v>
      </c>
      <c r="K184" s="674" t="s">
        <v>1109</v>
      </c>
      <c r="L184" s="676">
        <v>222.43</v>
      </c>
      <c r="M184" s="676">
        <v>1</v>
      </c>
      <c r="N184" s="677">
        <v>222.43</v>
      </c>
    </row>
    <row r="185" spans="1:14" ht="14.4" customHeight="1" x14ac:dyDescent="0.3">
      <c r="A185" s="672" t="s">
        <v>478</v>
      </c>
      <c r="B185" s="673" t="s">
        <v>1446</v>
      </c>
      <c r="C185" s="674" t="s">
        <v>483</v>
      </c>
      <c r="D185" s="675" t="s">
        <v>484</v>
      </c>
      <c r="E185" s="674" t="s">
        <v>488</v>
      </c>
      <c r="F185" s="675" t="s">
        <v>1447</v>
      </c>
      <c r="G185" s="674" t="s">
        <v>1080</v>
      </c>
      <c r="H185" s="674" t="s">
        <v>1110</v>
      </c>
      <c r="I185" s="674" t="s">
        <v>1111</v>
      </c>
      <c r="J185" s="674" t="s">
        <v>1112</v>
      </c>
      <c r="K185" s="674" t="s">
        <v>1038</v>
      </c>
      <c r="L185" s="676">
        <v>116.84129139773816</v>
      </c>
      <c r="M185" s="676">
        <v>1</v>
      </c>
      <c r="N185" s="677">
        <v>116.84129139773816</v>
      </c>
    </row>
    <row r="186" spans="1:14" ht="14.4" customHeight="1" x14ac:dyDescent="0.3">
      <c r="A186" s="672" t="s">
        <v>478</v>
      </c>
      <c r="B186" s="673" t="s">
        <v>1446</v>
      </c>
      <c r="C186" s="674" t="s">
        <v>483</v>
      </c>
      <c r="D186" s="675" t="s">
        <v>484</v>
      </c>
      <c r="E186" s="674" t="s">
        <v>488</v>
      </c>
      <c r="F186" s="675" t="s">
        <v>1447</v>
      </c>
      <c r="G186" s="674" t="s">
        <v>1080</v>
      </c>
      <c r="H186" s="674" t="s">
        <v>1113</v>
      </c>
      <c r="I186" s="674" t="s">
        <v>1114</v>
      </c>
      <c r="J186" s="674" t="s">
        <v>1091</v>
      </c>
      <c r="K186" s="674" t="s">
        <v>1115</v>
      </c>
      <c r="L186" s="676">
        <v>129.33000000000004</v>
      </c>
      <c r="M186" s="676">
        <v>70</v>
      </c>
      <c r="N186" s="677">
        <v>9053.1000000000022</v>
      </c>
    </row>
    <row r="187" spans="1:14" ht="14.4" customHeight="1" x14ac:dyDescent="0.3">
      <c r="A187" s="672" t="s">
        <v>478</v>
      </c>
      <c r="B187" s="673" t="s">
        <v>1446</v>
      </c>
      <c r="C187" s="674" t="s">
        <v>483</v>
      </c>
      <c r="D187" s="675" t="s">
        <v>484</v>
      </c>
      <c r="E187" s="674" t="s">
        <v>488</v>
      </c>
      <c r="F187" s="675" t="s">
        <v>1447</v>
      </c>
      <c r="G187" s="674" t="s">
        <v>1080</v>
      </c>
      <c r="H187" s="674" t="s">
        <v>1116</v>
      </c>
      <c r="I187" s="674" t="s">
        <v>1117</v>
      </c>
      <c r="J187" s="674" t="s">
        <v>1118</v>
      </c>
      <c r="K187" s="674" t="s">
        <v>1119</v>
      </c>
      <c r="L187" s="676">
        <v>24.93000000000001</v>
      </c>
      <c r="M187" s="676">
        <v>1</v>
      </c>
      <c r="N187" s="677">
        <v>24.93000000000001</v>
      </c>
    </row>
    <row r="188" spans="1:14" ht="14.4" customHeight="1" x14ac:dyDescent="0.3">
      <c r="A188" s="672" t="s">
        <v>478</v>
      </c>
      <c r="B188" s="673" t="s">
        <v>1446</v>
      </c>
      <c r="C188" s="674" t="s">
        <v>483</v>
      </c>
      <c r="D188" s="675" t="s">
        <v>484</v>
      </c>
      <c r="E188" s="674" t="s">
        <v>488</v>
      </c>
      <c r="F188" s="675" t="s">
        <v>1447</v>
      </c>
      <c r="G188" s="674" t="s">
        <v>1080</v>
      </c>
      <c r="H188" s="674" t="s">
        <v>1120</v>
      </c>
      <c r="I188" s="674" t="s">
        <v>1121</v>
      </c>
      <c r="J188" s="674" t="s">
        <v>1122</v>
      </c>
      <c r="K188" s="674" t="s">
        <v>1123</v>
      </c>
      <c r="L188" s="676">
        <v>409.5893888504246</v>
      </c>
      <c r="M188" s="676">
        <v>23</v>
      </c>
      <c r="N188" s="677">
        <v>9420.5559435597661</v>
      </c>
    </row>
    <row r="189" spans="1:14" ht="14.4" customHeight="1" x14ac:dyDescent="0.3">
      <c r="A189" s="672" t="s">
        <v>478</v>
      </c>
      <c r="B189" s="673" t="s">
        <v>1446</v>
      </c>
      <c r="C189" s="674" t="s">
        <v>483</v>
      </c>
      <c r="D189" s="675" t="s">
        <v>484</v>
      </c>
      <c r="E189" s="674" t="s">
        <v>488</v>
      </c>
      <c r="F189" s="675" t="s">
        <v>1447</v>
      </c>
      <c r="G189" s="674" t="s">
        <v>1080</v>
      </c>
      <c r="H189" s="674" t="s">
        <v>1124</v>
      </c>
      <c r="I189" s="674" t="s">
        <v>1125</v>
      </c>
      <c r="J189" s="674" t="s">
        <v>1087</v>
      </c>
      <c r="K189" s="674" t="s">
        <v>1126</v>
      </c>
      <c r="L189" s="676">
        <v>143.47</v>
      </c>
      <c r="M189" s="676">
        <v>3</v>
      </c>
      <c r="N189" s="677">
        <v>430.41</v>
      </c>
    </row>
    <row r="190" spans="1:14" ht="14.4" customHeight="1" x14ac:dyDescent="0.3">
      <c r="A190" s="672" t="s">
        <v>478</v>
      </c>
      <c r="B190" s="673" t="s">
        <v>1446</v>
      </c>
      <c r="C190" s="674" t="s">
        <v>483</v>
      </c>
      <c r="D190" s="675" t="s">
        <v>484</v>
      </c>
      <c r="E190" s="674" t="s">
        <v>488</v>
      </c>
      <c r="F190" s="675" t="s">
        <v>1447</v>
      </c>
      <c r="G190" s="674" t="s">
        <v>1080</v>
      </c>
      <c r="H190" s="674" t="s">
        <v>1127</v>
      </c>
      <c r="I190" s="674" t="s">
        <v>1128</v>
      </c>
      <c r="J190" s="674" t="s">
        <v>1129</v>
      </c>
      <c r="K190" s="674" t="s">
        <v>1130</v>
      </c>
      <c r="L190" s="676">
        <v>98.65</v>
      </c>
      <c r="M190" s="676">
        <v>1</v>
      </c>
      <c r="N190" s="677">
        <v>98.65</v>
      </c>
    </row>
    <row r="191" spans="1:14" ht="14.4" customHeight="1" x14ac:dyDescent="0.3">
      <c r="A191" s="672" t="s">
        <v>478</v>
      </c>
      <c r="B191" s="673" t="s">
        <v>1446</v>
      </c>
      <c r="C191" s="674" t="s">
        <v>483</v>
      </c>
      <c r="D191" s="675" t="s">
        <v>484</v>
      </c>
      <c r="E191" s="674" t="s">
        <v>488</v>
      </c>
      <c r="F191" s="675" t="s">
        <v>1447</v>
      </c>
      <c r="G191" s="674" t="s">
        <v>1080</v>
      </c>
      <c r="H191" s="674" t="s">
        <v>1131</v>
      </c>
      <c r="I191" s="674" t="s">
        <v>1132</v>
      </c>
      <c r="J191" s="674" t="s">
        <v>1133</v>
      </c>
      <c r="K191" s="674" t="s">
        <v>1134</v>
      </c>
      <c r="L191" s="676">
        <v>27.25</v>
      </c>
      <c r="M191" s="676">
        <v>1</v>
      </c>
      <c r="N191" s="677">
        <v>27.25</v>
      </c>
    </row>
    <row r="192" spans="1:14" ht="14.4" customHeight="1" x14ac:dyDescent="0.3">
      <c r="A192" s="672" t="s">
        <v>478</v>
      </c>
      <c r="B192" s="673" t="s">
        <v>1446</v>
      </c>
      <c r="C192" s="674" t="s">
        <v>483</v>
      </c>
      <c r="D192" s="675" t="s">
        <v>484</v>
      </c>
      <c r="E192" s="674" t="s">
        <v>488</v>
      </c>
      <c r="F192" s="675" t="s">
        <v>1447</v>
      </c>
      <c r="G192" s="674" t="s">
        <v>1080</v>
      </c>
      <c r="H192" s="674" t="s">
        <v>1135</v>
      </c>
      <c r="I192" s="674" t="s">
        <v>1136</v>
      </c>
      <c r="J192" s="674" t="s">
        <v>1137</v>
      </c>
      <c r="K192" s="674" t="s">
        <v>1138</v>
      </c>
      <c r="L192" s="676">
        <v>1375</v>
      </c>
      <c r="M192" s="676">
        <v>53</v>
      </c>
      <c r="N192" s="677">
        <v>72875</v>
      </c>
    </row>
    <row r="193" spans="1:14" ht="14.4" customHeight="1" x14ac:dyDescent="0.3">
      <c r="A193" s="672" t="s">
        <v>478</v>
      </c>
      <c r="B193" s="673" t="s">
        <v>1446</v>
      </c>
      <c r="C193" s="674" t="s">
        <v>483</v>
      </c>
      <c r="D193" s="675" t="s">
        <v>484</v>
      </c>
      <c r="E193" s="674" t="s">
        <v>488</v>
      </c>
      <c r="F193" s="675" t="s">
        <v>1447</v>
      </c>
      <c r="G193" s="674" t="s">
        <v>1080</v>
      </c>
      <c r="H193" s="674" t="s">
        <v>1139</v>
      </c>
      <c r="I193" s="674" t="s">
        <v>1140</v>
      </c>
      <c r="J193" s="674" t="s">
        <v>1141</v>
      </c>
      <c r="K193" s="674" t="s">
        <v>1142</v>
      </c>
      <c r="L193" s="676">
        <v>325.15999999999997</v>
      </c>
      <c r="M193" s="676">
        <v>17</v>
      </c>
      <c r="N193" s="677">
        <v>5527.7199999999993</v>
      </c>
    </row>
    <row r="194" spans="1:14" ht="14.4" customHeight="1" x14ac:dyDescent="0.3">
      <c r="A194" s="672" t="s">
        <v>478</v>
      </c>
      <c r="B194" s="673" t="s">
        <v>1446</v>
      </c>
      <c r="C194" s="674" t="s">
        <v>483</v>
      </c>
      <c r="D194" s="675" t="s">
        <v>484</v>
      </c>
      <c r="E194" s="674" t="s">
        <v>488</v>
      </c>
      <c r="F194" s="675" t="s">
        <v>1447</v>
      </c>
      <c r="G194" s="674" t="s">
        <v>1080</v>
      </c>
      <c r="H194" s="674" t="s">
        <v>1143</v>
      </c>
      <c r="I194" s="674" t="s">
        <v>1144</v>
      </c>
      <c r="J194" s="674" t="s">
        <v>1145</v>
      </c>
      <c r="K194" s="674" t="s">
        <v>1146</v>
      </c>
      <c r="L194" s="676">
        <v>685.40026107790811</v>
      </c>
      <c r="M194" s="676">
        <v>30</v>
      </c>
      <c r="N194" s="677">
        <v>20562.007832337244</v>
      </c>
    </row>
    <row r="195" spans="1:14" ht="14.4" customHeight="1" x14ac:dyDescent="0.3">
      <c r="A195" s="672" t="s">
        <v>478</v>
      </c>
      <c r="B195" s="673" t="s">
        <v>1446</v>
      </c>
      <c r="C195" s="674" t="s">
        <v>483</v>
      </c>
      <c r="D195" s="675" t="s">
        <v>484</v>
      </c>
      <c r="E195" s="674" t="s">
        <v>488</v>
      </c>
      <c r="F195" s="675" t="s">
        <v>1447</v>
      </c>
      <c r="G195" s="674" t="s">
        <v>1080</v>
      </c>
      <c r="H195" s="674" t="s">
        <v>1147</v>
      </c>
      <c r="I195" s="674" t="s">
        <v>1148</v>
      </c>
      <c r="J195" s="674" t="s">
        <v>1149</v>
      </c>
      <c r="K195" s="674" t="s">
        <v>1150</v>
      </c>
      <c r="L195" s="676">
        <v>960.25000000000011</v>
      </c>
      <c r="M195" s="676">
        <v>6</v>
      </c>
      <c r="N195" s="677">
        <v>5761.5000000000009</v>
      </c>
    </row>
    <row r="196" spans="1:14" ht="14.4" customHeight="1" x14ac:dyDescent="0.3">
      <c r="A196" s="672" t="s">
        <v>478</v>
      </c>
      <c r="B196" s="673" t="s">
        <v>1446</v>
      </c>
      <c r="C196" s="674" t="s">
        <v>483</v>
      </c>
      <c r="D196" s="675" t="s">
        <v>484</v>
      </c>
      <c r="E196" s="674" t="s">
        <v>488</v>
      </c>
      <c r="F196" s="675" t="s">
        <v>1447</v>
      </c>
      <c r="G196" s="674" t="s">
        <v>1080</v>
      </c>
      <c r="H196" s="674" t="s">
        <v>1151</v>
      </c>
      <c r="I196" s="674" t="s">
        <v>1151</v>
      </c>
      <c r="J196" s="674" t="s">
        <v>1152</v>
      </c>
      <c r="K196" s="674" t="s">
        <v>1153</v>
      </c>
      <c r="L196" s="676">
        <v>330.99014766428138</v>
      </c>
      <c r="M196" s="676">
        <v>5</v>
      </c>
      <c r="N196" s="677">
        <v>1654.9507383214068</v>
      </c>
    </row>
    <row r="197" spans="1:14" ht="14.4" customHeight="1" x14ac:dyDescent="0.3">
      <c r="A197" s="672" t="s">
        <v>478</v>
      </c>
      <c r="B197" s="673" t="s">
        <v>1446</v>
      </c>
      <c r="C197" s="674" t="s">
        <v>483</v>
      </c>
      <c r="D197" s="675" t="s">
        <v>484</v>
      </c>
      <c r="E197" s="674" t="s">
        <v>488</v>
      </c>
      <c r="F197" s="675" t="s">
        <v>1447</v>
      </c>
      <c r="G197" s="674" t="s">
        <v>1080</v>
      </c>
      <c r="H197" s="674" t="s">
        <v>1154</v>
      </c>
      <c r="I197" s="674" t="s">
        <v>1154</v>
      </c>
      <c r="J197" s="674" t="s">
        <v>1155</v>
      </c>
      <c r="K197" s="674" t="s">
        <v>1156</v>
      </c>
      <c r="L197" s="676">
        <v>680.1</v>
      </c>
      <c r="M197" s="676">
        <v>1</v>
      </c>
      <c r="N197" s="677">
        <v>680.1</v>
      </c>
    </row>
    <row r="198" spans="1:14" ht="14.4" customHeight="1" x14ac:dyDescent="0.3">
      <c r="A198" s="672" t="s">
        <v>478</v>
      </c>
      <c r="B198" s="673" t="s">
        <v>1446</v>
      </c>
      <c r="C198" s="674" t="s">
        <v>483</v>
      </c>
      <c r="D198" s="675" t="s">
        <v>484</v>
      </c>
      <c r="E198" s="674" t="s">
        <v>488</v>
      </c>
      <c r="F198" s="675" t="s">
        <v>1447</v>
      </c>
      <c r="G198" s="674" t="s">
        <v>1080</v>
      </c>
      <c r="H198" s="674" t="s">
        <v>1157</v>
      </c>
      <c r="I198" s="674" t="s">
        <v>1157</v>
      </c>
      <c r="J198" s="674" t="s">
        <v>1158</v>
      </c>
      <c r="K198" s="674" t="s">
        <v>1159</v>
      </c>
      <c r="L198" s="676">
        <v>139.47000000000003</v>
      </c>
      <c r="M198" s="676">
        <v>1</v>
      </c>
      <c r="N198" s="677">
        <v>139.47000000000003</v>
      </c>
    </row>
    <row r="199" spans="1:14" ht="14.4" customHeight="1" x14ac:dyDescent="0.3">
      <c r="A199" s="672" t="s">
        <v>478</v>
      </c>
      <c r="B199" s="673" t="s">
        <v>1446</v>
      </c>
      <c r="C199" s="674" t="s">
        <v>483</v>
      </c>
      <c r="D199" s="675" t="s">
        <v>484</v>
      </c>
      <c r="E199" s="674" t="s">
        <v>488</v>
      </c>
      <c r="F199" s="675" t="s">
        <v>1447</v>
      </c>
      <c r="G199" s="674" t="s">
        <v>1080</v>
      </c>
      <c r="H199" s="674" t="s">
        <v>1160</v>
      </c>
      <c r="I199" s="674" t="s">
        <v>1161</v>
      </c>
      <c r="J199" s="674" t="s">
        <v>1162</v>
      </c>
      <c r="K199" s="674" t="s">
        <v>513</v>
      </c>
      <c r="L199" s="676">
        <v>22.090000000000003</v>
      </c>
      <c r="M199" s="676">
        <v>1</v>
      </c>
      <c r="N199" s="677">
        <v>22.090000000000003</v>
      </c>
    </row>
    <row r="200" spans="1:14" ht="14.4" customHeight="1" x14ac:dyDescent="0.3">
      <c r="A200" s="672" t="s">
        <v>478</v>
      </c>
      <c r="B200" s="673" t="s">
        <v>1446</v>
      </c>
      <c r="C200" s="674" t="s">
        <v>483</v>
      </c>
      <c r="D200" s="675" t="s">
        <v>484</v>
      </c>
      <c r="E200" s="674" t="s">
        <v>488</v>
      </c>
      <c r="F200" s="675" t="s">
        <v>1447</v>
      </c>
      <c r="G200" s="674" t="s">
        <v>1080</v>
      </c>
      <c r="H200" s="674" t="s">
        <v>1163</v>
      </c>
      <c r="I200" s="674" t="s">
        <v>1163</v>
      </c>
      <c r="J200" s="674" t="s">
        <v>1164</v>
      </c>
      <c r="K200" s="674" t="s">
        <v>1165</v>
      </c>
      <c r="L200" s="676">
        <v>49.720000000000027</v>
      </c>
      <c r="M200" s="676">
        <v>1</v>
      </c>
      <c r="N200" s="677">
        <v>49.720000000000027</v>
      </c>
    </row>
    <row r="201" spans="1:14" ht="14.4" customHeight="1" x14ac:dyDescent="0.3">
      <c r="A201" s="672" t="s">
        <v>478</v>
      </c>
      <c r="B201" s="673" t="s">
        <v>1446</v>
      </c>
      <c r="C201" s="674" t="s">
        <v>483</v>
      </c>
      <c r="D201" s="675" t="s">
        <v>484</v>
      </c>
      <c r="E201" s="674" t="s">
        <v>488</v>
      </c>
      <c r="F201" s="675" t="s">
        <v>1447</v>
      </c>
      <c r="G201" s="674" t="s">
        <v>1080</v>
      </c>
      <c r="H201" s="674" t="s">
        <v>1166</v>
      </c>
      <c r="I201" s="674" t="s">
        <v>1166</v>
      </c>
      <c r="J201" s="674" t="s">
        <v>1167</v>
      </c>
      <c r="K201" s="674" t="s">
        <v>1168</v>
      </c>
      <c r="L201" s="676">
        <v>32166.761116401693</v>
      </c>
      <c r="M201" s="676">
        <v>9</v>
      </c>
      <c r="N201" s="677">
        <v>289500.85004761524</v>
      </c>
    </row>
    <row r="202" spans="1:14" ht="14.4" customHeight="1" x14ac:dyDescent="0.3">
      <c r="A202" s="672" t="s">
        <v>478</v>
      </c>
      <c r="B202" s="673" t="s">
        <v>1446</v>
      </c>
      <c r="C202" s="674" t="s">
        <v>483</v>
      </c>
      <c r="D202" s="675" t="s">
        <v>484</v>
      </c>
      <c r="E202" s="674" t="s">
        <v>488</v>
      </c>
      <c r="F202" s="675" t="s">
        <v>1447</v>
      </c>
      <c r="G202" s="674" t="s">
        <v>1080</v>
      </c>
      <c r="H202" s="674" t="s">
        <v>1169</v>
      </c>
      <c r="I202" s="674" t="s">
        <v>1169</v>
      </c>
      <c r="J202" s="674" t="s">
        <v>1170</v>
      </c>
      <c r="K202" s="674" t="s">
        <v>1171</v>
      </c>
      <c r="L202" s="676">
        <v>131.74023096151893</v>
      </c>
      <c r="M202" s="676">
        <v>1</v>
      </c>
      <c r="N202" s="677">
        <v>131.74023096151893</v>
      </c>
    </row>
    <row r="203" spans="1:14" ht="14.4" customHeight="1" x14ac:dyDescent="0.3">
      <c r="A203" s="672" t="s">
        <v>478</v>
      </c>
      <c r="B203" s="673" t="s">
        <v>1446</v>
      </c>
      <c r="C203" s="674" t="s">
        <v>483</v>
      </c>
      <c r="D203" s="675" t="s">
        <v>484</v>
      </c>
      <c r="E203" s="674" t="s">
        <v>488</v>
      </c>
      <c r="F203" s="675" t="s">
        <v>1447</v>
      </c>
      <c r="G203" s="674" t="s">
        <v>1080</v>
      </c>
      <c r="H203" s="674" t="s">
        <v>1172</v>
      </c>
      <c r="I203" s="674" t="s">
        <v>1172</v>
      </c>
      <c r="J203" s="674" t="s">
        <v>1173</v>
      </c>
      <c r="K203" s="674" t="s">
        <v>1174</v>
      </c>
      <c r="L203" s="676">
        <v>110</v>
      </c>
      <c r="M203" s="676">
        <v>3</v>
      </c>
      <c r="N203" s="677">
        <v>330</v>
      </c>
    </row>
    <row r="204" spans="1:14" ht="14.4" customHeight="1" x14ac:dyDescent="0.3">
      <c r="A204" s="672" t="s">
        <v>478</v>
      </c>
      <c r="B204" s="673" t="s">
        <v>1446</v>
      </c>
      <c r="C204" s="674" t="s">
        <v>483</v>
      </c>
      <c r="D204" s="675" t="s">
        <v>484</v>
      </c>
      <c r="E204" s="674" t="s">
        <v>488</v>
      </c>
      <c r="F204" s="675" t="s">
        <v>1447</v>
      </c>
      <c r="G204" s="674" t="s">
        <v>1080</v>
      </c>
      <c r="H204" s="674" t="s">
        <v>1175</v>
      </c>
      <c r="I204" s="674" t="s">
        <v>1175</v>
      </c>
      <c r="J204" s="674" t="s">
        <v>1176</v>
      </c>
      <c r="K204" s="674" t="s">
        <v>1177</v>
      </c>
      <c r="L204" s="676">
        <v>273.89991000958548</v>
      </c>
      <c r="M204" s="676">
        <v>3</v>
      </c>
      <c r="N204" s="677">
        <v>821.69973002875645</v>
      </c>
    </row>
    <row r="205" spans="1:14" ht="14.4" customHeight="1" x14ac:dyDescent="0.3">
      <c r="A205" s="672" t="s">
        <v>478</v>
      </c>
      <c r="B205" s="673" t="s">
        <v>1446</v>
      </c>
      <c r="C205" s="674" t="s">
        <v>483</v>
      </c>
      <c r="D205" s="675" t="s">
        <v>484</v>
      </c>
      <c r="E205" s="674" t="s">
        <v>488</v>
      </c>
      <c r="F205" s="675" t="s">
        <v>1447</v>
      </c>
      <c r="G205" s="674" t="s">
        <v>1080</v>
      </c>
      <c r="H205" s="674" t="s">
        <v>1178</v>
      </c>
      <c r="I205" s="674" t="s">
        <v>1178</v>
      </c>
      <c r="J205" s="674" t="s">
        <v>1179</v>
      </c>
      <c r="K205" s="674" t="s">
        <v>1180</v>
      </c>
      <c r="L205" s="676">
        <v>3300</v>
      </c>
      <c r="M205" s="676">
        <v>12</v>
      </c>
      <c r="N205" s="677">
        <v>39600</v>
      </c>
    </row>
    <row r="206" spans="1:14" ht="14.4" customHeight="1" x14ac:dyDescent="0.3">
      <c r="A206" s="672" t="s">
        <v>478</v>
      </c>
      <c r="B206" s="673" t="s">
        <v>1446</v>
      </c>
      <c r="C206" s="674" t="s">
        <v>483</v>
      </c>
      <c r="D206" s="675" t="s">
        <v>484</v>
      </c>
      <c r="E206" s="674" t="s">
        <v>488</v>
      </c>
      <c r="F206" s="675" t="s">
        <v>1447</v>
      </c>
      <c r="G206" s="674" t="s">
        <v>1080</v>
      </c>
      <c r="H206" s="674" t="s">
        <v>1181</v>
      </c>
      <c r="I206" s="674" t="s">
        <v>1181</v>
      </c>
      <c r="J206" s="674" t="s">
        <v>1182</v>
      </c>
      <c r="K206" s="674" t="s">
        <v>1183</v>
      </c>
      <c r="L206" s="676">
        <v>67.796522662052766</v>
      </c>
      <c r="M206" s="676">
        <v>730</v>
      </c>
      <c r="N206" s="677">
        <v>49491.461543298516</v>
      </c>
    </row>
    <row r="207" spans="1:14" ht="14.4" customHeight="1" x14ac:dyDescent="0.3">
      <c r="A207" s="672" t="s">
        <v>478</v>
      </c>
      <c r="B207" s="673" t="s">
        <v>1446</v>
      </c>
      <c r="C207" s="674" t="s">
        <v>483</v>
      </c>
      <c r="D207" s="675" t="s">
        <v>484</v>
      </c>
      <c r="E207" s="674" t="s">
        <v>488</v>
      </c>
      <c r="F207" s="675" t="s">
        <v>1447</v>
      </c>
      <c r="G207" s="674" t="s">
        <v>1080</v>
      </c>
      <c r="H207" s="674" t="s">
        <v>1184</v>
      </c>
      <c r="I207" s="674" t="s">
        <v>1184</v>
      </c>
      <c r="J207" s="674" t="s">
        <v>1185</v>
      </c>
      <c r="K207" s="674" t="s">
        <v>1186</v>
      </c>
      <c r="L207" s="676">
        <v>63.109999999999978</v>
      </c>
      <c r="M207" s="676">
        <v>3</v>
      </c>
      <c r="N207" s="677">
        <v>189.32999999999993</v>
      </c>
    </row>
    <row r="208" spans="1:14" ht="14.4" customHeight="1" x14ac:dyDescent="0.3">
      <c r="A208" s="672" t="s">
        <v>478</v>
      </c>
      <c r="B208" s="673" t="s">
        <v>1446</v>
      </c>
      <c r="C208" s="674" t="s">
        <v>483</v>
      </c>
      <c r="D208" s="675" t="s">
        <v>484</v>
      </c>
      <c r="E208" s="674" t="s">
        <v>488</v>
      </c>
      <c r="F208" s="675" t="s">
        <v>1447</v>
      </c>
      <c r="G208" s="674" t="s">
        <v>1080</v>
      </c>
      <c r="H208" s="674" t="s">
        <v>1187</v>
      </c>
      <c r="I208" s="674" t="s">
        <v>1187</v>
      </c>
      <c r="J208" s="674" t="s">
        <v>1188</v>
      </c>
      <c r="K208" s="674" t="s">
        <v>1189</v>
      </c>
      <c r="L208" s="676">
        <v>560.99947720917805</v>
      </c>
      <c r="M208" s="676">
        <v>11.2</v>
      </c>
      <c r="N208" s="677">
        <v>6283.1941447427935</v>
      </c>
    </row>
    <row r="209" spans="1:14" ht="14.4" customHeight="1" x14ac:dyDescent="0.3">
      <c r="A209" s="672" t="s">
        <v>478</v>
      </c>
      <c r="B209" s="673" t="s">
        <v>1446</v>
      </c>
      <c r="C209" s="674" t="s">
        <v>483</v>
      </c>
      <c r="D209" s="675" t="s">
        <v>484</v>
      </c>
      <c r="E209" s="674" t="s">
        <v>488</v>
      </c>
      <c r="F209" s="675" t="s">
        <v>1447</v>
      </c>
      <c r="G209" s="674" t="s">
        <v>1080</v>
      </c>
      <c r="H209" s="674" t="s">
        <v>1190</v>
      </c>
      <c r="I209" s="674" t="s">
        <v>1190</v>
      </c>
      <c r="J209" s="674" t="s">
        <v>1191</v>
      </c>
      <c r="K209" s="674" t="s">
        <v>1192</v>
      </c>
      <c r="L209" s="676">
        <v>49.37</v>
      </c>
      <c r="M209" s="676">
        <v>2</v>
      </c>
      <c r="N209" s="677">
        <v>98.74</v>
      </c>
    </row>
    <row r="210" spans="1:14" ht="14.4" customHeight="1" x14ac:dyDescent="0.3">
      <c r="A210" s="672" t="s">
        <v>478</v>
      </c>
      <c r="B210" s="673" t="s">
        <v>1446</v>
      </c>
      <c r="C210" s="674" t="s">
        <v>483</v>
      </c>
      <c r="D210" s="675" t="s">
        <v>484</v>
      </c>
      <c r="E210" s="674" t="s">
        <v>488</v>
      </c>
      <c r="F210" s="675" t="s">
        <v>1447</v>
      </c>
      <c r="G210" s="674" t="s">
        <v>1080</v>
      </c>
      <c r="H210" s="674" t="s">
        <v>1193</v>
      </c>
      <c r="I210" s="674" t="s">
        <v>1193</v>
      </c>
      <c r="J210" s="674" t="s">
        <v>1152</v>
      </c>
      <c r="K210" s="674" t="s">
        <v>1194</v>
      </c>
      <c r="L210" s="676">
        <v>67.320124071830293</v>
      </c>
      <c r="M210" s="676">
        <v>1</v>
      </c>
      <c r="N210" s="677">
        <v>67.320124071830293</v>
      </c>
    </row>
    <row r="211" spans="1:14" ht="14.4" customHeight="1" x14ac:dyDescent="0.3">
      <c r="A211" s="672" t="s">
        <v>478</v>
      </c>
      <c r="B211" s="673" t="s">
        <v>1446</v>
      </c>
      <c r="C211" s="674" t="s">
        <v>483</v>
      </c>
      <c r="D211" s="675" t="s">
        <v>484</v>
      </c>
      <c r="E211" s="674" t="s">
        <v>488</v>
      </c>
      <c r="F211" s="675" t="s">
        <v>1447</v>
      </c>
      <c r="G211" s="674" t="s">
        <v>1080</v>
      </c>
      <c r="H211" s="674" t="s">
        <v>1195</v>
      </c>
      <c r="I211" s="674" t="s">
        <v>1195</v>
      </c>
      <c r="J211" s="674" t="s">
        <v>1152</v>
      </c>
      <c r="K211" s="674" t="s">
        <v>1196</v>
      </c>
      <c r="L211" s="676">
        <v>95.37</v>
      </c>
      <c r="M211" s="676">
        <v>5</v>
      </c>
      <c r="N211" s="677">
        <v>476.85</v>
      </c>
    </row>
    <row r="212" spans="1:14" ht="14.4" customHeight="1" x14ac:dyDescent="0.3">
      <c r="A212" s="672" t="s">
        <v>478</v>
      </c>
      <c r="B212" s="673" t="s">
        <v>1446</v>
      </c>
      <c r="C212" s="674" t="s">
        <v>483</v>
      </c>
      <c r="D212" s="675" t="s">
        <v>484</v>
      </c>
      <c r="E212" s="674" t="s">
        <v>488</v>
      </c>
      <c r="F212" s="675" t="s">
        <v>1447</v>
      </c>
      <c r="G212" s="674" t="s">
        <v>1080</v>
      </c>
      <c r="H212" s="674" t="s">
        <v>1197</v>
      </c>
      <c r="I212" s="674" t="s">
        <v>1197</v>
      </c>
      <c r="J212" s="674" t="s">
        <v>1198</v>
      </c>
      <c r="K212" s="674" t="s">
        <v>1199</v>
      </c>
      <c r="L212" s="676">
        <v>785.40000000000009</v>
      </c>
      <c r="M212" s="676">
        <v>24</v>
      </c>
      <c r="N212" s="677">
        <v>18849.600000000002</v>
      </c>
    </row>
    <row r="213" spans="1:14" ht="14.4" customHeight="1" x14ac:dyDescent="0.3">
      <c r="A213" s="672" t="s">
        <v>478</v>
      </c>
      <c r="B213" s="673" t="s">
        <v>1446</v>
      </c>
      <c r="C213" s="674" t="s">
        <v>483</v>
      </c>
      <c r="D213" s="675" t="s">
        <v>484</v>
      </c>
      <c r="E213" s="674" t="s">
        <v>488</v>
      </c>
      <c r="F213" s="675" t="s">
        <v>1447</v>
      </c>
      <c r="G213" s="674" t="s">
        <v>1080</v>
      </c>
      <c r="H213" s="674" t="s">
        <v>1200</v>
      </c>
      <c r="I213" s="674" t="s">
        <v>1200</v>
      </c>
      <c r="J213" s="674" t="s">
        <v>1201</v>
      </c>
      <c r="K213" s="674" t="s">
        <v>1202</v>
      </c>
      <c r="L213" s="676">
        <v>66.730000000000018</v>
      </c>
      <c r="M213" s="676">
        <v>3</v>
      </c>
      <c r="N213" s="677">
        <v>200.19000000000005</v>
      </c>
    </row>
    <row r="214" spans="1:14" ht="14.4" customHeight="1" x14ac:dyDescent="0.3">
      <c r="A214" s="672" t="s">
        <v>478</v>
      </c>
      <c r="B214" s="673" t="s">
        <v>1446</v>
      </c>
      <c r="C214" s="674" t="s">
        <v>483</v>
      </c>
      <c r="D214" s="675" t="s">
        <v>484</v>
      </c>
      <c r="E214" s="674" t="s">
        <v>488</v>
      </c>
      <c r="F214" s="675" t="s">
        <v>1447</v>
      </c>
      <c r="G214" s="674" t="s">
        <v>1080</v>
      </c>
      <c r="H214" s="674" t="s">
        <v>1203</v>
      </c>
      <c r="I214" s="674" t="s">
        <v>1203</v>
      </c>
      <c r="J214" s="674" t="s">
        <v>1204</v>
      </c>
      <c r="K214" s="674" t="s">
        <v>1205</v>
      </c>
      <c r="L214" s="676">
        <v>98</v>
      </c>
      <c r="M214" s="676">
        <v>1</v>
      </c>
      <c r="N214" s="677">
        <v>98</v>
      </c>
    </row>
    <row r="215" spans="1:14" ht="14.4" customHeight="1" x14ac:dyDescent="0.3">
      <c r="A215" s="672" t="s">
        <v>478</v>
      </c>
      <c r="B215" s="673" t="s">
        <v>1446</v>
      </c>
      <c r="C215" s="674" t="s">
        <v>483</v>
      </c>
      <c r="D215" s="675" t="s">
        <v>484</v>
      </c>
      <c r="E215" s="674" t="s">
        <v>1206</v>
      </c>
      <c r="F215" s="675" t="s">
        <v>1448</v>
      </c>
      <c r="G215" s="674" t="s">
        <v>527</v>
      </c>
      <c r="H215" s="674" t="s">
        <v>1207</v>
      </c>
      <c r="I215" s="674" t="s">
        <v>719</v>
      </c>
      <c r="J215" s="674" t="s">
        <v>1208</v>
      </c>
      <c r="K215" s="674"/>
      <c r="L215" s="676">
        <v>1161.0999999999997</v>
      </c>
      <c r="M215" s="676">
        <v>1</v>
      </c>
      <c r="N215" s="677">
        <v>1161.0999999999997</v>
      </c>
    </row>
    <row r="216" spans="1:14" ht="14.4" customHeight="1" x14ac:dyDescent="0.3">
      <c r="A216" s="672" t="s">
        <v>478</v>
      </c>
      <c r="B216" s="673" t="s">
        <v>1446</v>
      </c>
      <c r="C216" s="674" t="s">
        <v>483</v>
      </c>
      <c r="D216" s="675" t="s">
        <v>484</v>
      </c>
      <c r="E216" s="674" t="s">
        <v>1206</v>
      </c>
      <c r="F216" s="675" t="s">
        <v>1448</v>
      </c>
      <c r="G216" s="674" t="s">
        <v>527</v>
      </c>
      <c r="H216" s="674" t="s">
        <v>1209</v>
      </c>
      <c r="I216" s="674" t="s">
        <v>719</v>
      </c>
      <c r="J216" s="674" t="s">
        <v>1210</v>
      </c>
      <c r="K216" s="674" t="s">
        <v>1211</v>
      </c>
      <c r="L216" s="676">
        <v>185.64000000000004</v>
      </c>
      <c r="M216" s="676">
        <v>34</v>
      </c>
      <c r="N216" s="677">
        <v>6311.7600000000011</v>
      </c>
    </row>
    <row r="217" spans="1:14" ht="14.4" customHeight="1" x14ac:dyDescent="0.3">
      <c r="A217" s="672" t="s">
        <v>478</v>
      </c>
      <c r="B217" s="673" t="s">
        <v>1446</v>
      </c>
      <c r="C217" s="674" t="s">
        <v>483</v>
      </c>
      <c r="D217" s="675" t="s">
        <v>484</v>
      </c>
      <c r="E217" s="674" t="s">
        <v>1206</v>
      </c>
      <c r="F217" s="675" t="s">
        <v>1448</v>
      </c>
      <c r="G217" s="674" t="s">
        <v>527</v>
      </c>
      <c r="H217" s="674" t="s">
        <v>1212</v>
      </c>
      <c r="I217" s="674" t="s">
        <v>719</v>
      </c>
      <c r="J217" s="674" t="s">
        <v>1213</v>
      </c>
      <c r="K217" s="674"/>
      <c r="L217" s="676">
        <v>253.76</v>
      </c>
      <c r="M217" s="676">
        <v>48</v>
      </c>
      <c r="N217" s="677">
        <v>12180.48</v>
      </c>
    </row>
    <row r="218" spans="1:14" ht="14.4" customHeight="1" x14ac:dyDescent="0.3">
      <c r="A218" s="672" t="s">
        <v>478</v>
      </c>
      <c r="B218" s="673" t="s">
        <v>1446</v>
      </c>
      <c r="C218" s="674" t="s">
        <v>483</v>
      </c>
      <c r="D218" s="675" t="s">
        <v>484</v>
      </c>
      <c r="E218" s="674" t="s">
        <v>1206</v>
      </c>
      <c r="F218" s="675" t="s">
        <v>1448</v>
      </c>
      <c r="G218" s="674" t="s">
        <v>527</v>
      </c>
      <c r="H218" s="674" t="s">
        <v>1214</v>
      </c>
      <c r="I218" s="674" t="s">
        <v>719</v>
      </c>
      <c r="J218" s="674" t="s">
        <v>1215</v>
      </c>
      <c r="K218" s="674"/>
      <c r="L218" s="676">
        <v>221.69000000000003</v>
      </c>
      <c r="M218" s="676">
        <v>30</v>
      </c>
      <c r="N218" s="677">
        <v>6650.7000000000007</v>
      </c>
    </row>
    <row r="219" spans="1:14" ht="14.4" customHeight="1" x14ac:dyDescent="0.3">
      <c r="A219" s="672" t="s">
        <v>478</v>
      </c>
      <c r="B219" s="673" t="s">
        <v>1446</v>
      </c>
      <c r="C219" s="674" t="s">
        <v>483</v>
      </c>
      <c r="D219" s="675" t="s">
        <v>484</v>
      </c>
      <c r="E219" s="674" t="s">
        <v>1206</v>
      </c>
      <c r="F219" s="675" t="s">
        <v>1448</v>
      </c>
      <c r="G219" s="674" t="s">
        <v>527</v>
      </c>
      <c r="H219" s="674" t="s">
        <v>1216</v>
      </c>
      <c r="I219" s="674" t="s">
        <v>719</v>
      </c>
      <c r="J219" s="674" t="s">
        <v>1217</v>
      </c>
      <c r="K219" s="674"/>
      <c r="L219" s="676">
        <v>732.81</v>
      </c>
      <c r="M219" s="676">
        <v>1</v>
      </c>
      <c r="N219" s="677">
        <v>732.81</v>
      </c>
    </row>
    <row r="220" spans="1:14" ht="14.4" customHeight="1" x14ac:dyDescent="0.3">
      <c r="A220" s="672" t="s">
        <v>478</v>
      </c>
      <c r="B220" s="673" t="s">
        <v>1446</v>
      </c>
      <c r="C220" s="674" t="s">
        <v>483</v>
      </c>
      <c r="D220" s="675" t="s">
        <v>484</v>
      </c>
      <c r="E220" s="674" t="s">
        <v>1206</v>
      </c>
      <c r="F220" s="675" t="s">
        <v>1448</v>
      </c>
      <c r="G220" s="674" t="s">
        <v>527</v>
      </c>
      <c r="H220" s="674" t="s">
        <v>1218</v>
      </c>
      <c r="I220" s="674" t="s">
        <v>1218</v>
      </c>
      <c r="J220" s="674" t="s">
        <v>1219</v>
      </c>
      <c r="K220" s="674" t="s">
        <v>1220</v>
      </c>
      <c r="L220" s="676">
        <v>1109.0406774855639</v>
      </c>
      <c r="M220" s="676">
        <v>11</v>
      </c>
      <c r="N220" s="677">
        <v>12199.447452341205</v>
      </c>
    </row>
    <row r="221" spans="1:14" ht="14.4" customHeight="1" x14ac:dyDescent="0.3">
      <c r="A221" s="672" t="s">
        <v>478</v>
      </c>
      <c r="B221" s="673" t="s">
        <v>1446</v>
      </c>
      <c r="C221" s="674" t="s">
        <v>483</v>
      </c>
      <c r="D221" s="675" t="s">
        <v>484</v>
      </c>
      <c r="E221" s="674" t="s">
        <v>1206</v>
      </c>
      <c r="F221" s="675" t="s">
        <v>1448</v>
      </c>
      <c r="G221" s="674" t="s">
        <v>527</v>
      </c>
      <c r="H221" s="674" t="s">
        <v>1221</v>
      </c>
      <c r="I221" s="674" t="s">
        <v>1221</v>
      </c>
      <c r="J221" s="674" t="s">
        <v>1222</v>
      </c>
      <c r="K221" s="674" t="s">
        <v>1223</v>
      </c>
      <c r="L221" s="676">
        <v>1731.9366666666665</v>
      </c>
      <c r="M221" s="676">
        <v>3</v>
      </c>
      <c r="N221" s="677">
        <v>5195.8099999999995</v>
      </c>
    </row>
    <row r="222" spans="1:14" ht="14.4" customHeight="1" x14ac:dyDescent="0.3">
      <c r="A222" s="672" t="s">
        <v>478</v>
      </c>
      <c r="B222" s="673" t="s">
        <v>1446</v>
      </c>
      <c r="C222" s="674" t="s">
        <v>483</v>
      </c>
      <c r="D222" s="675" t="s">
        <v>484</v>
      </c>
      <c r="E222" s="674" t="s">
        <v>1206</v>
      </c>
      <c r="F222" s="675" t="s">
        <v>1448</v>
      </c>
      <c r="G222" s="674" t="s">
        <v>527</v>
      </c>
      <c r="H222" s="674" t="s">
        <v>1224</v>
      </c>
      <c r="I222" s="674" t="s">
        <v>1224</v>
      </c>
      <c r="J222" s="674" t="s">
        <v>1225</v>
      </c>
      <c r="K222" s="674" t="s">
        <v>1226</v>
      </c>
      <c r="L222" s="676">
        <v>40.629999999999988</v>
      </c>
      <c r="M222" s="676">
        <v>27</v>
      </c>
      <c r="N222" s="677">
        <v>1097.0099999999998</v>
      </c>
    </row>
    <row r="223" spans="1:14" ht="14.4" customHeight="1" x14ac:dyDescent="0.3">
      <c r="A223" s="672" t="s">
        <v>478</v>
      </c>
      <c r="B223" s="673" t="s">
        <v>1446</v>
      </c>
      <c r="C223" s="674" t="s">
        <v>483</v>
      </c>
      <c r="D223" s="675" t="s">
        <v>484</v>
      </c>
      <c r="E223" s="674" t="s">
        <v>1206</v>
      </c>
      <c r="F223" s="675" t="s">
        <v>1448</v>
      </c>
      <c r="G223" s="674" t="s">
        <v>527</v>
      </c>
      <c r="H223" s="674" t="s">
        <v>1227</v>
      </c>
      <c r="I223" s="674" t="s">
        <v>1227</v>
      </c>
      <c r="J223" s="674" t="s">
        <v>1228</v>
      </c>
      <c r="K223" s="674" t="s">
        <v>1226</v>
      </c>
      <c r="L223" s="676">
        <v>40.63000000000001</v>
      </c>
      <c r="M223" s="676">
        <v>27</v>
      </c>
      <c r="N223" s="677">
        <v>1097.0100000000002</v>
      </c>
    </row>
    <row r="224" spans="1:14" ht="14.4" customHeight="1" x14ac:dyDescent="0.3">
      <c r="A224" s="672" t="s">
        <v>478</v>
      </c>
      <c r="B224" s="673" t="s">
        <v>1446</v>
      </c>
      <c r="C224" s="674" t="s">
        <v>483</v>
      </c>
      <c r="D224" s="675" t="s">
        <v>484</v>
      </c>
      <c r="E224" s="674" t="s">
        <v>1206</v>
      </c>
      <c r="F224" s="675" t="s">
        <v>1448</v>
      </c>
      <c r="G224" s="674" t="s">
        <v>1080</v>
      </c>
      <c r="H224" s="674" t="s">
        <v>1229</v>
      </c>
      <c r="I224" s="674" t="s">
        <v>1230</v>
      </c>
      <c r="J224" s="674" t="s">
        <v>1231</v>
      </c>
      <c r="K224" s="674" t="s">
        <v>1232</v>
      </c>
      <c r="L224" s="676">
        <v>40.92</v>
      </c>
      <c r="M224" s="676">
        <v>16</v>
      </c>
      <c r="N224" s="677">
        <v>654.72</v>
      </c>
    </row>
    <row r="225" spans="1:14" ht="14.4" customHeight="1" x14ac:dyDescent="0.3">
      <c r="A225" s="672" t="s">
        <v>478</v>
      </c>
      <c r="B225" s="673" t="s">
        <v>1446</v>
      </c>
      <c r="C225" s="674" t="s">
        <v>483</v>
      </c>
      <c r="D225" s="675" t="s">
        <v>484</v>
      </c>
      <c r="E225" s="674" t="s">
        <v>1206</v>
      </c>
      <c r="F225" s="675" t="s">
        <v>1448</v>
      </c>
      <c r="G225" s="674" t="s">
        <v>1080</v>
      </c>
      <c r="H225" s="674" t="s">
        <v>1233</v>
      </c>
      <c r="I225" s="674" t="s">
        <v>1234</v>
      </c>
      <c r="J225" s="674" t="s">
        <v>1235</v>
      </c>
      <c r="K225" s="674" t="s">
        <v>1232</v>
      </c>
      <c r="L225" s="676">
        <v>40.92</v>
      </c>
      <c r="M225" s="676">
        <v>32</v>
      </c>
      <c r="N225" s="677">
        <v>1309.44</v>
      </c>
    </row>
    <row r="226" spans="1:14" ht="14.4" customHeight="1" x14ac:dyDescent="0.3">
      <c r="A226" s="672" t="s">
        <v>478</v>
      </c>
      <c r="B226" s="673" t="s">
        <v>1446</v>
      </c>
      <c r="C226" s="674" t="s">
        <v>483</v>
      </c>
      <c r="D226" s="675" t="s">
        <v>484</v>
      </c>
      <c r="E226" s="674" t="s">
        <v>1206</v>
      </c>
      <c r="F226" s="675" t="s">
        <v>1448</v>
      </c>
      <c r="G226" s="674" t="s">
        <v>1080</v>
      </c>
      <c r="H226" s="674" t="s">
        <v>1236</v>
      </c>
      <c r="I226" s="674" t="s">
        <v>1237</v>
      </c>
      <c r="J226" s="674" t="s">
        <v>1238</v>
      </c>
      <c r="K226" s="674" t="s">
        <v>1232</v>
      </c>
      <c r="L226" s="676">
        <v>41.18</v>
      </c>
      <c r="M226" s="676">
        <v>8</v>
      </c>
      <c r="N226" s="677">
        <v>329.44</v>
      </c>
    </row>
    <row r="227" spans="1:14" ht="14.4" customHeight="1" x14ac:dyDescent="0.3">
      <c r="A227" s="672" t="s">
        <v>478</v>
      </c>
      <c r="B227" s="673" t="s">
        <v>1446</v>
      </c>
      <c r="C227" s="674" t="s">
        <v>483</v>
      </c>
      <c r="D227" s="675" t="s">
        <v>484</v>
      </c>
      <c r="E227" s="674" t="s">
        <v>1206</v>
      </c>
      <c r="F227" s="675" t="s">
        <v>1448</v>
      </c>
      <c r="G227" s="674" t="s">
        <v>1080</v>
      </c>
      <c r="H227" s="674" t="s">
        <v>1239</v>
      </c>
      <c r="I227" s="674" t="s">
        <v>1240</v>
      </c>
      <c r="J227" s="674" t="s">
        <v>1241</v>
      </c>
      <c r="K227" s="674" t="s">
        <v>1232</v>
      </c>
      <c r="L227" s="676">
        <v>41.179999999999993</v>
      </c>
      <c r="M227" s="676">
        <v>8</v>
      </c>
      <c r="N227" s="677">
        <v>329.43999999999994</v>
      </c>
    </row>
    <row r="228" spans="1:14" ht="14.4" customHeight="1" x14ac:dyDescent="0.3">
      <c r="A228" s="672" t="s">
        <v>478</v>
      </c>
      <c r="B228" s="673" t="s">
        <v>1446</v>
      </c>
      <c r="C228" s="674" t="s">
        <v>483</v>
      </c>
      <c r="D228" s="675" t="s">
        <v>484</v>
      </c>
      <c r="E228" s="674" t="s">
        <v>1206</v>
      </c>
      <c r="F228" s="675" t="s">
        <v>1448</v>
      </c>
      <c r="G228" s="674" t="s">
        <v>1080</v>
      </c>
      <c r="H228" s="674" t="s">
        <v>1242</v>
      </c>
      <c r="I228" s="674" t="s">
        <v>1243</v>
      </c>
      <c r="J228" s="674" t="s">
        <v>1244</v>
      </c>
      <c r="K228" s="674" t="s">
        <v>1245</v>
      </c>
      <c r="L228" s="676">
        <v>295.21000000000004</v>
      </c>
      <c r="M228" s="676">
        <v>16</v>
      </c>
      <c r="N228" s="677">
        <v>4723.3600000000006</v>
      </c>
    </row>
    <row r="229" spans="1:14" ht="14.4" customHeight="1" x14ac:dyDescent="0.3">
      <c r="A229" s="672" t="s">
        <v>478</v>
      </c>
      <c r="B229" s="673" t="s">
        <v>1446</v>
      </c>
      <c r="C229" s="674" t="s">
        <v>483</v>
      </c>
      <c r="D229" s="675" t="s">
        <v>484</v>
      </c>
      <c r="E229" s="674" t="s">
        <v>1206</v>
      </c>
      <c r="F229" s="675" t="s">
        <v>1448</v>
      </c>
      <c r="G229" s="674" t="s">
        <v>1080</v>
      </c>
      <c r="H229" s="674" t="s">
        <v>1246</v>
      </c>
      <c r="I229" s="674" t="s">
        <v>1246</v>
      </c>
      <c r="J229" s="674" t="s">
        <v>1247</v>
      </c>
      <c r="K229" s="674" t="s">
        <v>1248</v>
      </c>
      <c r="L229" s="676">
        <v>111.9500876997084</v>
      </c>
      <c r="M229" s="676">
        <v>4</v>
      </c>
      <c r="N229" s="677">
        <v>447.80035079883362</v>
      </c>
    </row>
    <row r="230" spans="1:14" ht="14.4" customHeight="1" x14ac:dyDescent="0.3">
      <c r="A230" s="672" t="s">
        <v>478</v>
      </c>
      <c r="B230" s="673" t="s">
        <v>1446</v>
      </c>
      <c r="C230" s="674" t="s">
        <v>483</v>
      </c>
      <c r="D230" s="675" t="s">
        <v>484</v>
      </c>
      <c r="E230" s="674" t="s">
        <v>1206</v>
      </c>
      <c r="F230" s="675" t="s">
        <v>1448</v>
      </c>
      <c r="G230" s="674" t="s">
        <v>1080</v>
      </c>
      <c r="H230" s="674" t="s">
        <v>1249</v>
      </c>
      <c r="I230" s="674" t="s">
        <v>1249</v>
      </c>
      <c r="J230" s="674" t="s">
        <v>1250</v>
      </c>
      <c r="K230" s="674" t="s">
        <v>1248</v>
      </c>
      <c r="L230" s="676">
        <v>111.95</v>
      </c>
      <c r="M230" s="676">
        <v>4</v>
      </c>
      <c r="N230" s="677">
        <v>447.8</v>
      </c>
    </row>
    <row r="231" spans="1:14" ht="14.4" customHeight="1" x14ac:dyDescent="0.3">
      <c r="A231" s="672" t="s">
        <v>478</v>
      </c>
      <c r="B231" s="673" t="s">
        <v>1446</v>
      </c>
      <c r="C231" s="674" t="s">
        <v>483</v>
      </c>
      <c r="D231" s="675" t="s">
        <v>484</v>
      </c>
      <c r="E231" s="674" t="s">
        <v>1206</v>
      </c>
      <c r="F231" s="675" t="s">
        <v>1448</v>
      </c>
      <c r="G231" s="674" t="s">
        <v>1080</v>
      </c>
      <c r="H231" s="674" t="s">
        <v>1251</v>
      </c>
      <c r="I231" s="674" t="s">
        <v>1252</v>
      </c>
      <c r="J231" s="674" t="s">
        <v>1253</v>
      </c>
      <c r="K231" s="674" t="s">
        <v>1254</v>
      </c>
      <c r="L231" s="676">
        <v>111.95000000000003</v>
      </c>
      <c r="M231" s="676">
        <v>1</v>
      </c>
      <c r="N231" s="677">
        <v>111.95000000000003</v>
      </c>
    </row>
    <row r="232" spans="1:14" ht="14.4" customHeight="1" x14ac:dyDescent="0.3">
      <c r="A232" s="672" t="s">
        <v>478</v>
      </c>
      <c r="B232" s="673" t="s">
        <v>1446</v>
      </c>
      <c r="C232" s="674" t="s">
        <v>483</v>
      </c>
      <c r="D232" s="675" t="s">
        <v>484</v>
      </c>
      <c r="E232" s="674" t="s">
        <v>1206</v>
      </c>
      <c r="F232" s="675" t="s">
        <v>1448</v>
      </c>
      <c r="G232" s="674" t="s">
        <v>1080</v>
      </c>
      <c r="H232" s="674" t="s">
        <v>1255</v>
      </c>
      <c r="I232" s="674" t="s">
        <v>1256</v>
      </c>
      <c r="J232" s="674" t="s">
        <v>1257</v>
      </c>
      <c r="K232" s="674" t="s">
        <v>1248</v>
      </c>
      <c r="L232" s="676">
        <v>111.94992730244307</v>
      </c>
      <c r="M232" s="676">
        <v>5</v>
      </c>
      <c r="N232" s="677">
        <v>559.74963651221537</v>
      </c>
    </row>
    <row r="233" spans="1:14" ht="14.4" customHeight="1" x14ac:dyDescent="0.3">
      <c r="A233" s="672" t="s">
        <v>478</v>
      </c>
      <c r="B233" s="673" t="s">
        <v>1446</v>
      </c>
      <c r="C233" s="674" t="s">
        <v>483</v>
      </c>
      <c r="D233" s="675" t="s">
        <v>484</v>
      </c>
      <c r="E233" s="674" t="s">
        <v>1206</v>
      </c>
      <c r="F233" s="675" t="s">
        <v>1448</v>
      </c>
      <c r="G233" s="674" t="s">
        <v>1080</v>
      </c>
      <c r="H233" s="674" t="s">
        <v>1258</v>
      </c>
      <c r="I233" s="674" t="s">
        <v>1258</v>
      </c>
      <c r="J233" s="674" t="s">
        <v>1259</v>
      </c>
      <c r="K233" s="674" t="s">
        <v>1260</v>
      </c>
      <c r="L233" s="676">
        <v>122.69000000000003</v>
      </c>
      <c r="M233" s="676">
        <v>7</v>
      </c>
      <c r="N233" s="677">
        <v>858.83000000000015</v>
      </c>
    </row>
    <row r="234" spans="1:14" ht="14.4" customHeight="1" x14ac:dyDescent="0.3">
      <c r="A234" s="672" t="s">
        <v>478</v>
      </c>
      <c r="B234" s="673" t="s">
        <v>1446</v>
      </c>
      <c r="C234" s="674" t="s">
        <v>483</v>
      </c>
      <c r="D234" s="675" t="s">
        <v>484</v>
      </c>
      <c r="E234" s="674" t="s">
        <v>1206</v>
      </c>
      <c r="F234" s="675" t="s">
        <v>1448</v>
      </c>
      <c r="G234" s="674" t="s">
        <v>1080</v>
      </c>
      <c r="H234" s="674" t="s">
        <v>1261</v>
      </c>
      <c r="I234" s="674" t="s">
        <v>1261</v>
      </c>
      <c r="J234" s="674" t="s">
        <v>1262</v>
      </c>
      <c r="K234" s="674" t="s">
        <v>1260</v>
      </c>
      <c r="L234" s="676">
        <v>122.68999999999998</v>
      </c>
      <c r="M234" s="676">
        <v>9</v>
      </c>
      <c r="N234" s="677">
        <v>1104.2099999999998</v>
      </c>
    </row>
    <row r="235" spans="1:14" ht="14.4" customHeight="1" x14ac:dyDescent="0.3">
      <c r="A235" s="672" t="s">
        <v>478</v>
      </c>
      <c r="B235" s="673" t="s">
        <v>1446</v>
      </c>
      <c r="C235" s="674" t="s">
        <v>483</v>
      </c>
      <c r="D235" s="675" t="s">
        <v>484</v>
      </c>
      <c r="E235" s="674" t="s">
        <v>1206</v>
      </c>
      <c r="F235" s="675" t="s">
        <v>1448</v>
      </c>
      <c r="G235" s="674" t="s">
        <v>1080</v>
      </c>
      <c r="H235" s="674" t="s">
        <v>1263</v>
      </c>
      <c r="I235" s="674" t="s">
        <v>1263</v>
      </c>
      <c r="J235" s="674" t="s">
        <v>1264</v>
      </c>
      <c r="K235" s="674" t="s">
        <v>1260</v>
      </c>
      <c r="L235" s="676">
        <v>129.97</v>
      </c>
      <c r="M235" s="676">
        <v>5</v>
      </c>
      <c r="N235" s="677">
        <v>649.85</v>
      </c>
    </row>
    <row r="236" spans="1:14" ht="14.4" customHeight="1" x14ac:dyDescent="0.3">
      <c r="A236" s="672" t="s">
        <v>478</v>
      </c>
      <c r="B236" s="673" t="s">
        <v>1446</v>
      </c>
      <c r="C236" s="674" t="s">
        <v>483</v>
      </c>
      <c r="D236" s="675" t="s">
        <v>484</v>
      </c>
      <c r="E236" s="674" t="s">
        <v>1206</v>
      </c>
      <c r="F236" s="675" t="s">
        <v>1448</v>
      </c>
      <c r="G236" s="674" t="s">
        <v>1080</v>
      </c>
      <c r="H236" s="674" t="s">
        <v>1265</v>
      </c>
      <c r="I236" s="674" t="s">
        <v>1265</v>
      </c>
      <c r="J236" s="674" t="s">
        <v>1266</v>
      </c>
      <c r="K236" s="674" t="s">
        <v>1260</v>
      </c>
      <c r="L236" s="676">
        <v>129.97</v>
      </c>
      <c r="M236" s="676">
        <v>2</v>
      </c>
      <c r="N236" s="677">
        <v>259.94</v>
      </c>
    </row>
    <row r="237" spans="1:14" ht="14.4" customHeight="1" x14ac:dyDescent="0.3">
      <c r="A237" s="672" t="s">
        <v>478</v>
      </c>
      <c r="B237" s="673" t="s">
        <v>1446</v>
      </c>
      <c r="C237" s="674" t="s">
        <v>483</v>
      </c>
      <c r="D237" s="675" t="s">
        <v>484</v>
      </c>
      <c r="E237" s="674" t="s">
        <v>1206</v>
      </c>
      <c r="F237" s="675" t="s">
        <v>1448</v>
      </c>
      <c r="G237" s="674" t="s">
        <v>1080</v>
      </c>
      <c r="H237" s="674" t="s">
        <v>1267</v>
      </c>
      <c r="I237" s="674" t="s">
        <v>1268</v>
      </c>
      <c r="J237" s="674" t="s">
        <v>1269</v>
      </c>
      <c r="K237" s="674" t="s">
        <v>1232</v>
      </c>
      <c r="L237" s="676">
        <v>30.669999999999995</v>
      </c>
      <c r="M237" s="676">
        <v>4</v>
      </c>
      <c r="N237" s="677">
        <v>122.67999999999998</v>
      </c>
    </row>
    <row r="238" spans="1:14" ht="14.4" customHeight="1" x14ac:dyDescent="0.3">
      <c r="A238" s="672" t="s">
        <v>478</v>
      </c>
      <c r="B238" s="673" t="s">
        <v>1446</v>
      </c>
      <c r="C238" s="674" t="s">
        <v>483</v>
      </c>
      <c r="D238" s="675" t="s">
        <v>484</v>
      </c>
      <c r="E238" s="674" t="s">
        <v>1270</v>
      </c>
      <c r="F238" s="675" t="s">
        <v>1449</v>
      </c>
      <c r="G238" s="674"/>
      <c r="H238" s="674" t="s">
        <v>1271</v>
      </c>
      <c r="I238" s="674" t="s">
        <v>1271</v>
      </c>
      <c r="J238" s="674" t="s">
        <v>1272</v>
      </c>
      <c r="K238" s="674" t="s">
        <v>1273</v>
      </c>
      <c r="L238" s="676">
        <v>26.610000000000003</v>
      </c>
      <c r="M238" s="676">
        <v>94</v>
      </c>
      <c r="N238" s="677">
        <v>2501.34</v>
      </c>
    </row>
    <row r="239" spans="1:14" ht="14.4" customHeight="1" x14ac:dyDescent="0.3">
      <c r="A239" s="672" t="s">
        <v>478</v>
      </c>
      <c r="B239" s="673" t="s">
        <v>1446</v>
      </c>
      <c r="C239" s="674" t="s">
        <v>483</v>
      </c>
      <c r="D239" s="675" t="s">
        <v>484</v>
      </c>
      <c r="E239" s="674" t="s">
        <v>1270</v>
      </c>
      <c r="F239" s="675" t="s">
        <v>1449</v>
      </c>
      <c r="G239" s="674"/>
      <c r="H239" s="674" t="s">
        <v>1274</v>
      </c>
      <c r="I239" s="674" t="s">
        <v>1274</v>
      </c>
      <c r="J239" s="674" t="s">
        <v>1275</v>
      </c>
      <c r="K239" s="674" t="s">
        <v>1276</v>
      </c>
      <c r="L239" s="676">
        <v>316.03000000000003</v>
      </c>
      <c r="M239" s="676">
        <v>5.7</v>
      </c>
      <c r="N239" s="677">
        <v>1801.3710000000003</v>
      </c>
    </row>
    <row r="240" spans="1:14" ht="14.4" customHeight="1" x14ac:dyDescent="0.3">
      <c r="A240" s="672" t="s">
        <v>478</v>
      </c>
      <c r="B240" s="673" t="s">
        <v>1446</v>
      </c>
      <c r="C240" s="674" t="s">
        <v>483</v>
      </c>
      <c r="D240" s="675" t="s">
        <v>484</v>
      </c>
      <c r="E240" s="674" t="s">
        <v>1270</v>
      </c>
      <c r="F240" s="675" t="s">
        <v>1449</v>
      </c>
      <c r="G240" s="674" t="s">
        <v>527</v>
      </c>
      <c r="H240" s="674" t="s">
        <v>1277</v>
      </c>
      <c r="I240" s="674" t="s">
        <v>1277</v>
      </c>
      <c r="J240" s="674" t="s">
        <v>1278</v>
      </c>
      <c r="K240" s="674" t="s">
        <v>1279</v>
      </c>
      <c r="L240" s="676">
        <v>57.99</v>
      </c>
      <c r="M240" s="676">
        <v>6</v>
      </c>
      <c r="N240" s="677">
        <v>347.94</v>
      </c>
    </row>
    <row r="241" spans="1:14" ht="14.4" customHeight="1" x14ac:dyDescent="0.3">
      <c r="A241" s="672" t="s">
        <v>478</v>
      </c>
      <c r="B241" s="673" t="s">
        <v>1446</v>
      </c>
      <c r="C241" s="674" t="s">
        <v>483</v>
      </c>
      <c r="D241" s="675" t="s">
        <v>484</v>
      </c>
      <c r="E241" s="674" t="s">
        <v>1270</v>
      </c>
      <c r="F241" s="675" t="s">
        <v>1449</v>
      </c>
      <c r="G241" s="674" t="s">
        <v>527</v>
      </c>
      <c r="H241" s="674" t="s">
        <v>1280</v>
      </c>
      <c r="I241" s="674" t="s">
        <v>1281</v>
      </c>
      <c r="J241" s="674" t="s">
        <v>1282</v>
      </c>
      <c r="K241" s="674" t="s">
        <v>1283</v>
      </c>
      <c r="L241" s="676">
        <v>51.040000000000006</v>
      </c>
      <c r="M241" s="676">
        <v>11</v>
      </c>
      <c r="N241" s="677">
        <v>561.44000000000005</v>
      </c>
    </row>
    <row r="242" spans="1:14" ht="14.4" customHeight="1" x14ac:dyDescent="0.3">
      <c r="A242" s="672" t="s">
        <v>478</v>
      </c>
      <c r="B242" s="673" t="s">
        <v>1446</v>
      </c>
      <c r="C242" s="674" t="s">
        <v>483</v>
      </c>
      <c r="D242" s="675" t="s">
        <v>484</v>
      </c>
      <c r="E242" s="674" t="s">
        <v>1270</v>
      </c>
      <c r="F242" s="675" t="s">
        <v>1449</v>
      </c>
      <c r="G242" s="674" t="s">
        <v>527</v>
      </c>
      <c r="H242" s="674" t="s">
        <v>1284</v>
      </c>
      <c r="I242" s="674" t="s">
        <v>1285</v>
      </c>
      <c r="J242" s="674" t="s">
        <v>1286</v>
      </c>
      <c r="K242" s="674" t="s">
        <v>579</v>
      </c>
      <c r="L242" s="676">
        <v>67.739999999999966</v>
      </c>
      <c r="M242" s="676">
        <v>12</v>
      </c>
      <c r="N242" s="677">
        <v>812.87999999999965</v>
      </c>
    </row>
    <row r="243" spans="1:14" ht="14.4" customHeight="1" x14ac:dyDescent="0.3">
      <c r="A243" s="672" t="s">
        <v>478</v>
      </c>
      <c r="B243" s="673" t="s">
        <v>1446</v>
      </c>
      <c r="C243" s="674" t="s">
        <v>483</v>
      </c>
      <c r="D243" s="675" t="s">
        <v>484</v>
      </c>
      <c r="E243" s="674" t="s">
        <v>1270</v>
      </c>
      <c r="F243" s="675" t="s">
        <v>1449</v>
      </c>
      <c r="G243" s="674" t="s">
        <v>527</v>
      </c>
      <c r="H243" s="674" t="s">
        <v>1287</v>
      </c>
      <c r="I243" s="674" t="s">
        <v>1288</v>
      </c>
      <c r="J243" s="674" t="s">
        <v>1289</v>
      </c>
      <c r="K243" s="674" t="s">
        <v>1290</v>
      </c>
      <c r="L243" s="676">
        <v>1739.1000000000006</v>
      </c>
      <c r="M243" s="676">
        <v>0.3</v>
      </c>
      <c r="N243" s="677">
        <v>521.73000000000013</v>
      </c>
    </row>
    <row r="244" spans="1:14" ht="14.4" customHeight="1" x14ac:dyDescent="0.3">
      <c r="A244" s="672" t="s">
        <v>478</v>
      </c>
      <c r="B244" s="673" t="s">
        <v>1446</v>
      </c>
      <c r="C244" s="674" t="s">
        <v>483</v>
      </c>
      <c r="D244" s="675" t="s">
        <v>484</v>
      </c>
      <c r="E244" s="674" t="s">
        <v>1270</v>
      </c>
      <c r="F244" s="675" t="s">
        <v>1449</v>
      </c>
      <c r="G244" s="674" t="s">
        <v>527</v>
      </c>
      <c r="H244" s="674" t="s">
        <v>1291</v>
      </c>
      <c r="I244" s="674" t="s">
        <v>1292</v>
      </c>
      <c r="J244" s="674" t="s">
        <v>1293</v>
      </c>
      <c r="K244" s="674" t="s">
        <v>1294</v>
      </c>
      <c r="L244" s="676">
        <v>31.890000000000008</v>
      </c>
      <c r="M244" s="676">
        <v>5</v>
      </c>
      <c r="N244" s="677">
        <v>159.45000000000005</v>
      </c>
    </row>
    <row r="245" spans="1:14" ht="14.4" customHeight="1" x14ac:dyDescent="0.3">
      <c r="A245" s="672" t="s">
        <v>478</v>
      </c>
      <c r="B245" s="673" t="s">
        <v>1446</v>
      </c>
      <c r="C245" s="674" t="s">
        <v>483</v>
      </c>
      <c r="D245" s="675" t="s">
        <v>484</v>
      </c>
      <c r="E245" s="674" t="s">
        <v>1270</v>
      </c>
      <c r="F245" s="675" t="s">
        <v>1449</v>
      </c>
      <c r="G245" s="674" t="s">
        <v>527</v>
      </c>
      <c r="H245" s="674" t="s">
        <v>1295</v>
      </c>
      <c r="I245" s="674" t="s">
        <v>1296</v>
      </c>
      <c r="J245" s="674" t="s">
        <v>1297</v>
      </c>
      <c r="K245" s="674" t="s">
        <v>1298</v>
      </c>
      <c r="L245" s="676">
        <v>23.560022768538278</v>
      </c>
      <c r="M245" s="676">
        <v>99</v>
      </c>
      <c r="N245" s="677">
        <v>2332.4422540852897</v>
      </c>
    </row>
    <row r="246" spans="1:14" ht="14.4" customHeight="1" x14ac:dyDescent="0.3">
      <c r="A246" s="672" t="s">
        <v>478</v>
      </c>
      <c r="B246" s="673" t="s">
        <v>1446</v>
      </c>
      <c r="C246" s="674" t="s">
        <v>483</v>
      </c>
      <c r="D246" s="675" t="s">
        <v>484</v>
      </c>
      <c r="E246" s="674" t="s">
        <v>1270</v>
      </c>
      <c r="F246" s="675" t="s">
        <v>1449</v>
      </c>
      <c r="G246" s="674" t="s">
        <v>527</v>
      </c>
      <c r="H246" s="674" t="s">
        <v>1299</v>
      </c>
      <c r="I246" s="674" t="s">
        <v>1300</v>
      </c>
      <c r="J246" s="674" t="s">
        <v>1301</v>
      </c>
      <c r="K246" s="674" t="s">
        <v>1302</v>
      </c>
      <c r="L246" s="676">
        <v>607.2180115879612</v>
      </c>
      <c r="M246" s="676">
        <v>10</v>
      </c>
      <c r="N246" s="677">
        <v>6072.1801158796115</v>
      </c>
    </row>
    <row r="247" spans="1:14" ht="14.4" customHeight="1" x14ac:dyDescent="0.3">
      <c r="A247" s="672" t="s">
        <v>478</v>
      </c>
      <c r="B247" s="673" t="s">
        <v>1446</v>
      </c>
      <c r="C247" s="674" t="s">
        <v>483</v>
      </c>
      <c r="D247" s="675" t="s">
        <v>484</v>
      </c>
      <c r="E247" s="674" t="s">
        <v>1270</v>
      </c>
      <c r="F247" s="675" t="s">
        <v>1449</v>
      </c>
      <c r="G247" s="674" t="s">
        <v>527</v>
      </c>
      <c r="H247" s="674" t="s">
        <v>1303</v>
      </c>
      <c r="I247" s="674" t="s">
        <v>1303</v>
      </c>
      <c r="J247" s="674" t="s">
        <v>1304</v>
      </c>
      <c r="K247" s="674" t="s">
        <v>1305</v>
      </c>
      <c r="L247" s="676">
        <v>264</v>
      </c>
      <c r="M247" s="676">
        <v>1</v>
      </c>
      <c r="N247" s="677">
        <v>264</v>
      </c>
    </row>
    <row r="248" spans="1:14" ht="14.4" customHeight="1" x14ac:dyDescent="0.3">
      <c r="A248" s="672" t="s">
        <v>478</v>
      </c>
      <c r="B248" s="673" t="s">
        <v>1446</v>
      </c>
      <c r="C248" s="674" t="s">
        <v>483</v>
      </c>
      <c r="D248" s="675" t="s">
        <v>484</v>
      </c>
      <c r="E248" s="674" t="s">
        <v>1270</v>
      </c>
      <c r="F248" s="675" t="s">
        <v>1449</v>
      </c>
      <c r="G248" s="674" t="s">
        <v>527</v>
      </c>
      <c r="H248" s="674" t="s">
        <v>1306</v>
      </c>
      <c r="I248" s="674" t="s">
        <v>1307</v>
      </c>
      <c r="J248" s="674" t="s">
        <v>1308</v>
      </c>
      <c r="K248" s="674" t="s">
        <v>1309</v>
      </c>
      <c r="L248" s="676">
        <v>182.31620751341677</v>
      </c>
      <c r="M248" s="676">
        <v>111.80000000000001</v>
      </c>
      <c r="N248" s="677">
        <v>20382.951999999997</v>
      </c>
    </row>
    <row r="249" spans="1:14" ht="14.4" customHeight="1" x14ac:dyDescent="0.3">
      <c r="A249" s="672" t="s">
        <v>478</v>
      </c>
      <c r="B249" s="673" t="s">
        <v>1446</v>
      </c>
      <c r="C249" s="674" t="s">
        <v>483</v>
      </c>
      <c r="D249" s="675" t="s">
        <v>484</v>
      </c>
      <c r="E249" s="674" t="s">
        <v>1270</v>
      </c>
      <c r="F249" s="675" t="s">
        <v>1449</v>
      </c>
      <c r="G249" s="674" t="s">
        <v>527</v>
      </c>
      <c r="H249" s="674" t="s">
        <v>1310</v>
      </c>
      <c r="I249" s="674" t="s">
        <v>1311</v>
      </c>
      <c r="J249" s="674" t="s">
        <v>1312</v>
      </c>
      <c r="K249" s="674" t="s">
        <v>1313</v>
      </c>
      <c r="L249" s="676">
        <v>385.41</v>
      </c>
      <c r="M249" s="676">
        <v>1</v>
      </c>
      <c r="N249" s="677">
        <v>385.41</v>
      </c>
    </row>
    <row r="250" spans="1:14" ht="14.4" customHeight="1" x14ac:dyDescent="0.3">
      <c r="A250" s="672" t="s">
        <v>478</v>
      </c>
      <c r="B250" s="673" t="s">
        <v>1446</v>
      </c>
      <c r="C250" s="674" t="s">
        <v>483</v>
      </c>
      <c r="D250" s="675" t="s">
        <v>484</v>
      </c>
      <c r="E250" s="674" t="s">
        <v>1270</v>
      </c>
      <c r="F250" s="675" t="s">
        <v>1449</v>
      </c>
      <c r="G250" s="674" t="s">
        <v>527</v>
      </c>
      <c r="H250" s="674" t="s">
        <v>1314</v>
      </c>
      <c r="I250" s="674" t="s">
        <v>1315</v>
      </c>
      <c r="J250" s="674" t="s">
        <v>1316</v>
      </c>
      <c r="K250" s="674" t="s">
        <v>1317</v>
      </c>
      <c r="L250" s="676">
        <v>666.28050499999995</v>
      </c>
      <c r="M250" s="676">
        <v>5</v>
      </c>
      <c r="N250" s="677">
        <v>3331.402525</v>
      </c>
    </row>
    <row r="251" spans="1:14" ht="14.4" customHeight="1" x14ac:dyDescent="0.3">
      <c r="A251" s="672" t="s">
        <v>478</v>
      </c>
      <c r="B251" s="673" t="s">
        <v>1446</v>
      </c>
      <c r="C251" s="674" t="s">
        <v>483</v>
      </c>
      <c r="D251" s="675" t="s">
        <v>484</v>
      </c>
      <c r="E251" s="674" t="s">
        <v>1270</v>
      </c>
      <c r="F251" s="675" t="s">
        <v>1449</v>
      </c>
      <c r="G251" s="674" t="s">
        <v>527</v>
      </c>
      <c r="H251" s="674" t="s">
        <v>1318</v>
      </c>
      <c r="I251" s="674" t="s">
        <v>1318</v>
      </c>
      <c r="J251" s="674" t="s">
        <v>1319</v>
      </c>
      <c r="K251" s="674" t="s">
        <v>1320</v>
      </c>
      <c r="L251" s="676">
        <v>517</v>
      </c>
      <c r="M251" s="676">
        <v>1</v>
      </c>
      <c r="N251" s="677">
        <v>517</v>
      </c>
    </row>
    <row r="252" spans="1:14" ht="14.4" customHeight="1" x14ac:dyDescent="0.3">
      <c r="A252" s="672" t="s">
        <v>478</v>
      </c>
      <c r="B252" s="673" t="s">
        <v>1446</v>
      </c>
      <c r="C252" s="674" t="s">
        <v>483</v>
      </c>
      <c r="D252" s="675" t="s">
        <v>484</v>
      </c>
      <c r="E252" s="674" t="s">
        <v>1270</v>
      </c>
      <c r="F252" s="675" t="s">
        <v>1449</v>
      </c>
      <c r="G252" s="674" t="s">
        <v>527</v>
      </c>
      <c r="H252" s="674" t="s">
        <v>1321</v>
      </c>
      <c r="I252" s="674" t="s">
        <v>1322</v>
      </c>
      <c r="J252" s="674" t="s">
        <v>1323</v>
      </c>
      <c r="K252" s="674" t="s">
        <v>1324</v>
      </c>
      <c r="L252" s="676">
        <v>1732.28</v>
      </c>
      <c r="M252" s="676">
        <v>5</v>
      </c>
      <c r="N252" s="677">
        <v>8661.4</v>
      </c>
    </row>
    <row r="253" spans="1:14" ht="14.4" customHeight="1" x14ac:dyDescent="0.3">
      <c r="A253" s="672" t="s">
        <v>478</v>
      </c>
      <c r="B253" s="673" t="s">
        <v>1446</v>
      </c>
      <c r="C253" s="674" t="s">
        <v>483</v>
      </c>
      <c r="D253" s="675" t="s">
        <v>484</v>
      </c>
      <c r="E253" s="674" t="s">
        <v>1270</v>
      </c>
      <c r="F253" s="675" t="s">
        <v>1449</v>
      </c>
      <c r="G253" s="674" t="s">
        <v>527</v>
      </c>
      <c r="H253" s="674" t="s">
        <v>1325</v>
      </c>
      <c r="I253" s="674" t="s">
        <v>1325</v>
      </c>
      <c r="J253" s="674" t="s">
        <v>1326</v>
      </c>
      <c r="K253" s="674" t="s">
        <v>1327</v>
      </c>
      <c r="L253" s="676">
        <v>461.99999999999994</v>
      </c>
      <c r="M253" s="676">
        <v>65.900000000000006</v>
      </c>
      <c r="N253" s="677">
        <v>30445.8</v>
      </c>
    </row>
    <row r="254" spans="1:14" ht="14.4" customHeight="1" x14ac:dyDescent="0.3">
      <c r="A254" s="672" t="s">
        <v>478</v>
      </c>
      <c r="B254" s="673" t="s">
        <v>1446</v>
      </c>
      <c r="C254" s="674" t="s">
        <v>483</v>
      </c>
      <c r="D254" s="675" t="s">
        <v>484</v>
      </c>
      <c r="E254" s="674" t="s">
        <v>1270</v>
      </c>
      <c r="F254" s="675" t="s">
        <v>1449</v>
      </c>
      <c r="G254" s="674" t="s">
        <v>527</v>
      </c>
      <c r="H254" s="674" t="s">
        <v>1328</v>
      </c>
      <c r="I254" s="674" t="s">
        <v>1328</v>
      </c>
      <c r="J254" s="674" t="s">
        <v>1329</v>
      </c>
      <c r="K254" s="674" t="s">
        <v>1014</v>
      </c>
      <c r="L254" s="676">
        <v>155.93142857142857</v>
      </c>
      <c r="M254" s="676">
        <v>5.6</v>
      </c>
      <c r="N254" s="677">
        <v>873.21599999999989</v>
      </c>
    </row>
    <row r="255" spans="1:14" ht="14.4" customHeight="1" x14ac:dyDescent="0.3">
      <c r="A255" s="672" t="s">
        <v>478</v>
      </c>
      <c r="B255" s="673" t="s">
        <v>1446</v>
      </c>
      <c r="C255" s="674" t="s">
        <v>483</v>
      </c>
      <c r="D255" s="675" t="s">
        <v>484</v>
      </c>
      <c r="E255" s="674" t="s">
        <v>1270</v>
      </c>
      <c r="F255" s="675" t="s">
        <v>1449</v>
      </c>
      <c r="G255" s="674" t="s">
        <v>527</v>
      </c>
      <c r="H255" s="674" t="s">
        <v>1330</v>
      </c>
      <c r="I255" s="674" t="s">
        <v>1330</v>
      </c>
      <c r="J255" s="674" t="s">
        <v>1331</v>
      </c>
      <c r="K255" s="674" t="s">
        <v>1332</v>
      </c>
      <c r="L255" s="676">
        <v>217.8</v>
      </c>
      <c r="M255" s="676">
        <v>1.6</v>
      </c>
      <c r="N255" s="677">
        <v>348.48</v>
      </c>
    </row>
    <row r="256" spans="1:14" ht="14.4" customHeight="1" x14ac:dyDescent="0.3">
      <c r="A256" s="672" t="s">
        <v>478</v>
      </c>
      <c r="B256" s="673" t="s">
        <v>1446</v>
      </c>
      <c r="C256" s="674" t="s">
        <v>483</v>
      </c>
      <c r="D256" s="675" t="s">
        <v>484</v>
      </c>
      <c r="E256" s="674" t="s">
        <v>1270</v>
      </c>
      <c r="F256" s="675" t="s">
        <v>1449</v>
      </c>
      <c r="G256" s="674" t="s">
        <v>527</v>
      </c>
      <c r="H256" s="674" t="s">
        <v>1333</v>
      </c>
      <c r="I256" s="674" t="s">
        <v>1333</v>
      </c>
      <c r="J256" s="674" t="s">
        <v>1334</v>
      </c>
      <c r="K256" s="674" t="s">
        <v>1335</v>
      </c>
      <c r="L256" s="676">
        <v>286</v>
      </c>
      <c r="M256" s="676">
        <v>19.600000000000001</v>
      </c>
      <c r="N256" s="677">
        <v>5605.6</v>
      </c>
    </row>
    <row r="257" spans="1:14" ht="14.4" customHeight="1" x14ac:dyDescent="0.3">
      <c r="A257" s="672" t="s">
        <v>478</v>
      </c>
      <c r="B257" s="673" t="s">
        <v>1446</v>
      </c>
      <c r="C257" s="674" t="s">
        <v>483</v>
      </c>
      <c r="D257" s="675" t="s">
        <v>484</v>
      </c>
      <c r="E257" s="674" t="s">
        <v>1270</v>
      </c>
      <c r="F257" s="675" t="s">
        <v>1449</v>
      </c>
      <c r="G257" s="674" t="s">
        <v>527</v>
      </c>
      <c r="H257" s="674" t="s">
        <v>1336</v>
      </c>
      <c r="I257" s="674" t="s">
        <v>1337</v>
      </c>
      <c r="J257" s="674" t="s">
        <v>1338</v>
      </c>
      <c r="K257" s="674" t="s">
        <v>1339</v>
      </c>
      <c r="L257" s="676">
        <v>264</v>
      </c>
      <c r="M257" s="676">
        <v>3.7</v>
      </c>
      <c r="N257" s="677">
        <v>976.80000000000007</v>
      </c>
    </row>
    <row r="258" spans="1:14" ht="14.4" customHeight="1" x14ac:dyDescent="0.3">
      <c r="A258" s="672" t="s">
        <v>478</v>
      </c>
      <c r="B258" s="673" t="s">
        <v>1446</v>
      </c>
      <c r="C258" s="674" t="s">
        <v>483</v>
      </c>
      <c r="D258" s="675" t="s">
        <v>484</v>
      </c>
      <c r="E258" s="674" t="s">
        <v>1270</v>
      </c>
      <c r="F258" s="675" t="s">
        <v>1449</v>
      </c>
      <c r="G258" s="674" t="s">
        <v>527</v>
      </c>
      <c r="H258" s="674" t="s">
        <v>1340</v>
      </c>
      <c r="I258" s="674" t="s">
        <v>1341</v>
      </c>
      <c r="J258" s="674" t="s">
        <v>1342</v>
      </c>
      <c r="K258" s="674"/>
      <c r="L258" s="676">
        <v>155.1</v>
      </c>
      <c r="M258" s="676">
        <v>9.9999999999999645E-2</v>
      </c>
      <c r="N258" s="677">
        <v>15.509999999999945</v>
      </c>
    </row>
    <row r="259" spans="1:14" ht="14.4" customHeight="1" x14ac:dyDescent="0.3">
      <c r="A259" s="672" t="s">
        <v>478</v>
      </c>
      <c r="B259" s="673" t="s">
        <v>1446</v>
      </c>
      <c r="C259" s="674" t="s">
        <v>483</v>
      </c>
      <c r="D259" s="675" t="s">
        <v>484</v>
      </c>
      <c r="E259" s="674" t="s">
        <v>1270</v>
      </c>
      <c r="F259" s="675" t="s">
        <v>1449</v>
      </c>
      <c r="G259" s="674" t="s">
        <v>527</v>
      </c>
      <c r="H259" s="674" t="s">
        <v>1343</v>
      </c>
      <c r="I259" s="674" t="s">
        <v>1343</v>
      </c>
      <c r="J259" s="674" t="s">
        <v>1344</v>
      </c>
      <c r="K259" s="674" t="s">
        <v>1345</v>
      </c>
      <c r="L259" s="676">
        <v>231.99</v>
      </c>
      <c r="M259" s="676">
        <v>3</v>
      </c>
      <c r="N259" s="677">
        <v>695.97</v>
      </c>
    </row>
    <row r="260" spans="1:14" ht="14.4" customHeight="1" x14ac:dyDescent="0.3">
      <c r="A260" s="672" t="s">
        <v>478</v>
      </c>
      <c r="B260" s="673" t="s">
        <v>1446</v>
      </c>
      <c r="C260" s="674" t="s">
        <v>483</v>
      </c>
      <c r="D260" s="675" t="s">
        <v>484</v>
      </c>
      <c r="E260" s="674" t="s">
        <v>1270</v>
      </c>
      <c r="F260" s="675" t="s">
        <v>1449</v>
      </c>
      <c r="G260" s="674" t="s">
        <v>527</v>
      </c>
      <c r="H260" s="674" t="s">
        <v>1346</v>
      </c>
      <c r="I260" s="674" t="s">
        <v>1346</v>
      </c>
      <c r="J260" s="674" t="s">
        <v>1347</v>
      </c>
      <c r="K260" s="674" t="s">
        <v>1348</v>
      </c>
      <c r="L260" s="676">
        <v>572.21999999999991</v>
      </c>
      <c r="M260" s="676">
        <v>6.4</v>
      </c>
      <c r="N260" s="677">
        <v>3662.2079999999996</v>
      </c>
    </row>
    <row r="261" spans="1:14" ht="14.4" customHeight="1" x14ac:dyDescent="0.3">
      <c r="A261" s="672" t="s">
        <v>478</v>
      </c>
      <c r="B261" s="673" t="s">
        <v>1446</v>
      </c>
      <c r="C261" s="674" t="s">
        <v>483</v>
      </c>
      <c r="D261" s="675" t="s">
        <v>484</v>
      </c>
      <c r="E261" s="674" t="s">
        <v>1270</v>
      </c>
      <c r="F261" s="675" t="s">
        <v>1449</v>
      </c>
      <c r="G261" s="674" t="s">
        <v>527</v>
      </c>
      <c r="H261" s="674" t="s">
        <v>1349</v>
      </c>
      <c r="I261" s="674" t="s">
        <v>1349</v>
      </c>
      <c r="J261" s="674" t="s">
        <v>1350</v>
      </c>
      <c r="K261" s="674" t="s">
        <v>1351</v>
      </c>
      <c r="L261" s="676">
        <v>251.33061556657128</v>
      </c>
      <c r="M261" s="676">
        <v>50</v>
      </c>
      <c r="N261" s="677">
        <v>12566.530778328564</v>
      </c>
    </row>
    <row r="262" spans="1:14" ht="14.4" customHeight="1" x14ac:dyDescent="0.3">
      <c r="A262" s="672" t="s">
        <v>478</v>
      </c>
      <c r="B262" s="673" t="s">
        <v>1446</v>
      </c>
      <c r="C262" s="674" t="s">
        <v>483</v>
      </c>
      <c r="D262" s="675" t="s">
        <v>484</v>
      </c>
      <c r="E262" s="674" t="s">
        <v>1270</v>
      </c>
      <c r="F262" s="675" t="s">
        <v>1449</v>
      </c>
      <c r="G262" s="674" t="s">
        <v>1080</v>
      </c>
      <c r="H262" s="674" t="s">
        <v>1352</v>
      </c>
      <c r="I262" s="674" t="s">
        <v>1353</v>
      </c>
      <c r="J262" s="674" t="s">
        <v>1354</v>
      </c>
      <c r="K262" s="674" t="s">
        <v>1355</v>
      </c>
      <c r="L262" s="676">
        <v>324.10000000000002</v>
      </c>
      <c r="M262" s="676">
        <v>2.5</v>
      </c>
      <c r="N262" s="677">
        <v>810.25</v>
      </c>
    </row>
    <row r="263" spans="1:14" ht="14.4" customHeight="1" x14ac:dyDescent="0.3">
      <c r="A263" s="672" t="s">
        <v>478</v>
      </c>
      <c r="B263" s="673" t="s">
        <v>1446</v>
      </c>
      <c r="C263" s="674" t="s">
        <v>483</v>
      </c>
      <c r="D263" s="675" t="s">
        <v>484</v>
      </c>
      <c r="E263" s="674" t="s">
        <v>1270</v>
      </c>
      <c r="F263" s="675" t="s">
        <v>1449</v>
      </c>
      <c r="G263" s="674" t="s">
        <v>1080</v>
      </c>
      <c r="H263" s="674" t="s">
        <v>1356</v>
      </c>
      <c r="I263" s="674" t="s">
        <v>1357</v>
      </c>
      <c r="J263" s="674" t="s">
        <v>1358</v>
      </c>
      <c r="K263" s="674" t="s">
        <v>1359</v>
      </c>
      <c r="L263" s="676">
        <v>29.34898618559918</v>
      </c>
      <c r="M263" s="676">
        <v>685</v>
      </c>
      <c r="N263" s="677">
        <v>20104.055537135438</v>
      </c>
    </row>
    <row r="264" spans="1:14" ht="14.4" customHeight="1" x14ac:dyDescent="0.3">
      <c r="A264" s="672" t="s">
        <v>478</v>
      </c>
      <c r="B264" s="673" t="s">
        <v>1446</v>
      </c>
      <c r="C264" s="674" t="s">
        <v>483</v>
      </c>
      <c r="D264" s="675" t="s">
        <v>484</v>
      </c>
      <c r="E264" s="674" t="s">
        <v>1270</v>
      </c>
      <c r="F264" s="675" t="s">
        <v>1449</v>
      </c>
      <c r="G264" s="674" t="s">
        <v>1080</v>
      </c>
      <c r="H264" s="674" t="s">
        <v>1360</v>
      </c>
      <c r="I264" s="674" t="s">
        <v>1361</v>
      </c>
      <c r="J264" s="674" t="s">
        <v>1362</v>
      </c>
      <c r="K264" s="674" t="s">
        <v>1363</v>
      </c>
      <c r="L264" s="676">
        <v>12414.76282182135</v>
      </c>
      <c r="M264" s="676">
        <v>47</v>
      </c>
      <c r="N264" s="677">
        <v>583493.85262560344</v>
      </c>
    </row>
    <row r="265" spans="1:14" ht="14.4" customHeight="1" x14ac:dyDescent="0.3">
      <c r="A265" s="672" t="s">
        <v>478</v>
      </c>
      <c r="B265" s="673" t="s">
        <v>1446</v>
      </c>
      <c r="C265" s="674" t="s">
        <v>483</v>
      </c>
      <c r="D265" s="675" t="s">
        <v>484</v>
      </c>
      <c r="E265" s="674" t="s">
        <v>1270</v>
      </c>
      <c r="F265" s="675" t="s">
        <v>1449</v>
      </c>
      <c r="G265" s="674" t="s">
        <v>1080</v>
      </c>
      <c r="H265" s="674" t="s">
        <v>1364</v>
      </c>
      <c r="I265" s="674" t="s">
        <v>1364</v>
      </c>
      <c r="J265" s="674" t="s">
        <v>1365</v>
      </c>
      <c r="K265" s="674" t="s">
        <v>1351</v>
      </c>
      <c r="L265" s="676">
        <v>34.659999999999997</v>
      </c>
      <c r="M265" s="676">
        <v>10</v>
      </c>
      <c r="N265" s="677">
        <v>346.59999999999997</v>
      </c>
    </row>
    <row r="266" spans="1:14" ht="14.4" customHeight="1" x14ac:dyDescent="0.3">
      <c r="A266" s="672" t="s">
        <v>478</v>
      </c>
      <c r="B266" s="673" t="s">
        <v>1446</v>
      </c>
      <c r="C266" s="674" t="s">
        <v>483</v>
      </c>
      <c r="D266" s="675" t="s">
        <v>484</v>
      </c>
      <c r="E266" s="674" t="s">
        <v>1270</v>
      </c>
      <c r="F266" s="675" t="s">
        <v>1449</v>
      </c>
      <c r="G266" s="674" t="s">
        <v>1080</v>
      </c>
      <c r="H266" s="674" t="s">
        <v>1366</v>
      </c>
      <c r="I266" s="674" t="s">
        <v>1366</v>
      </c>
      <c r="J266" s="674" t="s">
        <v>1367</v>
      </c>
      <c r="K266" s="674" t="s">
        <v>1368</v>
      </c>
      <c r="L266" s="676">
        <v>56.099999999999987</v>
      </c>
      <c r="M266" s="676">
        <v>10</v>
      </c>
      <c r="N266" s="677">
        <v>560.99999999999989</v>
      </c>
    </row>
    <row r="267" spans="1:14" ht="14.4" customHeight="1" x14ac:dyDescent="0.3">
      <c r="A267" s="672" t="s">
        <v>478</v>
      </c>
      <c r="B267" s="673" t="s">
        <v>1446</v>
      </c>
      <c r="C267" s="674" t="s">
        <v>483</v>
      </c>
      <c r="D267" s="675" t="s">
        <v>484</v>
      </c>
      <c r="E267" s="674" t="s">
        <v>1270</v>
      </c>
      <c r="F267" s="675" t="s">
        <v>1449</v>
      </c>
      <c r="G267" s="674" t="s">
        <v>1080</v>
      </c>
      <c r="H267" s="674" t="s">
        <v>1369</v>
      </c>
      <c r="I267" s="674" t="s">
        <v>1369</v>
      </c>
      <c r="J267" s="674" t="s">
        <v>1370</v>
      </c>
      <c r="K267" s="674" t="s">
        <v>1014</v>
      </c>
      <c r="L267" s="676">
        <v>952.9324468085108</v>
      </c>
      <c r="M267" s="676">
        <v>37.6</v>
      </c>
      <c r="N267" s="677">
        <v>35830.260000000009</v>
      </c>
    </row>
    <row r="268" spans="1:14" ht="14.4" customHeight="1" x14ac:dyDescent="0.3">
      <c r="A268" s="672" t="s">
        <v>478</v>
      </c>
      <c r="B268" s="673" t="s">
        <v>1446</v>
      </c>
      <c r="C268" s="674" t="s">
        <v>483</v>
      </c>
      <c r="D268" s="675" t="s">
        <v>484</v>
      </c>
      <c r="E268" s="674" t="s">
        <v>1371</v>
      </c>
      <c r="F268" s="675" t="s">
        <v>1450</v>
      </c>
      <c r="G268" s="674" t="s">
        <v>527</v>
      </c>
      <c r="H268" s="674" t="s">
        <v>1372</v>
      </c>
      <c r="I268" s="674" t="s">
        <v>1373</v>
      </c>
      <c r="J268" s="674" t="s">
        <v>1374</v>
      </c>
      <c r="K268" s="674" t="s">
        <v>1375</v>
      </c>
      <c r="L268" s="676">
        <v>108.62999999999997</v>
      </c>
      <c r="M268" s="676">
        <v>10</v>
      </c>
      <c r="N268" s="677">
        <v>1086.2999999999997</v>
      </c>
    </row>
    <row r="269" spans="1:14" ht="14.4" customHeight="1" x14ac:dyDescent="0.3">
      <c r="A269" s="672" t="s">
        <v>478</v>
      </c>
      <c r="B269" s="673" t="s">
        <v>1446</v>
      </c>
      <c r="C269" s="674" t="s">
        <v>483</v>
      </c>
      <c r="D269" s="675" t="s">
        <v>484</v>
      </c>
      <c r="E269" s="674" t="s">
        <v>1371</v>
      </c>
      <c r="F269" s="675" t="s">
        <v>1450</v>
      </c>
      <c r="G269" s="674" t="s">
        <v>527</v>
      </c>
      <c r="H269" s="674" t="s">
        <v>1376</v>
      </c>
      <c r="I269" s="674" t="s">
        <v>1377</v>
      </c>
      <c r="J269" s="674" t="s">
        <v>1378</v>
      </c>
      <c r="K269" s="674" t="s">
        <v>1379</v>
      </c>
      <c r="L269" s="676">
        <v>5517.05</v>
      </c>
      <c r="M269" s="676">
        <v>8</v>
      </c>
      <c r="N269" s="677">
        <v>44136.4</v>
      </c>
    </row>
    <row r="270" spans="1:14" ht="14.4" customHeight="1" x14ac:dyDescent="0.3">
      <c r="A270" s="672" t="s">
        <v>478</v>
      </c>
      <c r="B270" s="673" t="s">
        <v>1446</v>
      </c>
      <c r="C270" s="674" t="s">
        <v>483</v>
      </c>
      <c r="D270" s="675" t="s">
        <v>484</v>
      </c>
      <c r="E270" s="674" t="s">
        <v>1371</v>
      </c>
      <c r="F270" s="675" t="s">
        <v>1450</v>
      </c>
      <c r="G270" s="674" t="s">
        <v>527</v>
      </c>
      <c r="H270" s="674" t="s">
        <v>1380</v>
      </c>
      <c r="I270" s="674" t="s">
        <v>1381</v>
      </c>
      <c r="J270" s="674" t="s">
        <v>1382</v>
      </c>
      <c r="K270" s="674" t="s">
        <v>1383</v>
      </c>
      <c r="L270" s="676">
        <v>4950</v>
      </c>
      <c r="M270" s="676">
        <v>12</v>
      </c>
      <c r="N270" s="677">
        <v>59400</v>
      </c>
    </row>
    <row r="271" spans="1:14" ht="14.4" customHeight="1" x14ac:dyDescent="0.3">
      <c r="A271" s="672" t="s">
        <v>478</v>
      </c>
      <c r="B271" s="673" t="s">
        <v>1446</v>
      </c>
      <c r="C271" s="674" t="s">
        <v>483</v>
      </c>
      <c r="D271" s="675" t="s">
        <v>484</v>
      </c>
      <c r="E271" s="674" t="s">
        <v>1371</v>
      </c>
      <c r="F271" s="675" t="s">
        <v>1450</v>
      </c>
      <c r="G271" s="674" t="s">
        <v>1080</v>
      </c>
      <c r="H271" s="674" t="s">
        <v>1384</v>
      </c>
      <c r="I271" s="674" t="s">
        <v>1384</v>
      </c>
      <c r="J271" s="674" t="s">
        <v>1385</v>
      </c>
      <c r="K271" s="674" t="s">
        <v>1386</v>
      </c>
      <c r="L271" s="676">
        <v>159.50000000000003</v>
      </c>
      <c r="M271" s="676">
        <v>16.799999999999997</v>
      </c>
      <c r="N271" s="677">
        <v>2679.6</v>
      </c>
    </row>
    <row r="272" spans="1:14" ht="14.4" customHeight="1" x14ac:dyDescent="0.3">
      <c r="A272" s="672" t="s">
        <v>478</v>
      </c>
      <c r="B272" s="673" t="s">
        <v>1446</v>
      </c>
      <c r="C272" s="674" t="s">
        <v>483</v>
      </c>
      <c r="D272" s="675" t="s">
        <v>484</v>
      </c>
      <c r="E272" s="674" t="s">
        <v>1371</v>
      </c>
      <c r="F272" s="675" t="s">
        <v>1450</v>
      </c>
      <c r="G272" s="674" t="s">
        <v>1080</v>
      </c>
      <c r="H272" s="674" t="s">
        <v>1387</v>
      </c>
      <c r="I272" s="674" t="s">
        <v>1387</v>
      </c>
      <c r="J272" s="674" t="s">
        <v>1385</v>
      </c>
      <c r="K272" s="674" t="s">
        <v>1388</v>
      </c>
      <c r="L272" s="676">
        <v>308</v>
      </c>
      <c r="M272" s="676">
        <v>13.2</v>
      </c>
      <c r="N272" s="677">
        <v>4065.6</v>
      </c>
    </row>
    <row r="273" spans="1:14" ht="14.4" customHeight="1" x14ac:dyDescent="0.3">
      <c r="A273" s="672" t="s">
        <v>478</v>
      </c>
      <c r="B273" s="673" t="s">
        <v>1446</v>
      </c>
      <c r="C273" s="674" t="s">
        <v>483</v>
      </c>
      <c r="D273" s="675" t="s">
        <v>484</v>
      </c>
      <c r="E273" s="674" t="s">
        <v>1371</v>
      </c>
      <c r="F273" s="675" t="s">
        <v>1450</v>
      </c>
      <c r="G273" s="674" t="s">
        <v>1080</v>
      </c>
      <c r="H273" s="674" t="s">
        <v>1389</v>
      </c>
      <c r="I273" s="674" t="s">
        <v>1389</v>
      </c>
      <c r="J273" s="674" t="s">
        <v>1390</v>
      </c>
      <c r="K273" s="674" t="s">
        <v>1391</v>
      </c>
      <c r="L273" s="676">
        <v>493.46</v>
      </c>
      <c r="M273" s="676">
        <v>30</v>
      </c>
      <c r="N273" s="677">
        <v>14803.8</v>
      </c>
    </row>
    <row r="274" spans="1:14" ht="14.4" customHeight="1" x14ac:dyDescent="0.3">
      <c r="A274" s="672" t="s">
        <v>478</v>
      </c>
      <c r="B274" s="673" t="s">
        <v>1446</v>
      </c>
      <c r="C274" s="674" t="s">
        <v>483</v>
      </c>
      <c r="D274" s="675" t="s">
        <v>484</v>
      </c>
      <c r="E274" s="674" t="s">
        <v>1392</v>
      </c>
      <c r="F274" s="675" t="s">
        <v>1451</v>
      </c>
      <c r="G274" s="674"/>
      <c r="H274" s="674"/>
      <c r="I274" s="674" t="s">
        <v>1393</v>
      </c>
      <c r="J274" s="674" t="s">
        <v>1394</v>
      </c>
      <c r="K274" s="674"/>
      <c r="L274" s="676">
        <v>9066.2847058823536</v>
      </c>
      <c r="M274" s="676">
        <v>17</v>
      </c>
      <c r="N274" s="677">
        <v>154126.84</v>
      </c>
    </row>
    <row r="275" spans="1:14" ht="14.4" customHeight="1" x14ac:dyDescent="0.3">
      <c r="A275" s="672" t="s">
        <v>478</v>
      </c>
      <c r="B275" s="673" t="s">
        <v>1446</v>
      </c>
      <c r="C275" s="674" t="s">
        <v>483</v>
      </c>
      <c r="D275" s="675" t="s">
        <v>484</v>
      </c>
      <c r="E275" s="674" t="s">
        <v>1392</v>
      </c>
      <c r="F275" s="675" t="s">
        <v>1451</v>
      </c>
      <c r="G275" s="674"/>
      <c r="H275" s="674"/>
      <c r="I275" s="674" t="s">
        <v>1395</v>
      </c>
      <c r="J275" s="674" t="s">
        <v>1396</v>
      </c>
      <c r="K275" s="674" t="s">
        <v>1397</v>
      </c>
      <c r="L275" s="676">
        <v>1287</v>
      </c>
      <c r="M275" s="676">
        <v>69</v>
      </c>
      <c r="N275" s="677">
        <v>88803</v>
      </c>
    </row>
    <row r="276" spans="1:14" ht="14.4" customHeight="1" x14ac:dyDescent="0.3">
      <c r="A276" s="672" t="s">
        <v>478</v>
      </c>
      <c r="B276" s="673" t="s">
        <v>1446</v>
      </c>
      <c r="C276" s="674" t="s">
        <v>483</v>
      </c>
      <c r="D276" s="675" t="s">
        <v>484</v>
      </c>
      <c r="E276" s="674" t="s">
        <v>1392</v>
      </c>
      <c r="F276" s="675" t="s">
        <v>1451</v>
      </c>
      <c r="G276" s="674"/>
      <c r="H276" s="674"/>
      <c r="I276" s="674" t="s">
        <v>1398</v>
      </c>
      <c r="J276" s="674" t="s">
        <v>1399</v>
      </c>
      <c r="K276" s="674"/>
      <c r="L276" s="676">
        <v>4305.3999999999996</v>
      </c>
      <c r="M276" s="676">
        <v>17</v>
      </c>
      <c r="N276" s="677">
        <v>73191.799999999988</v>
      </c>
    </row>
    <row r="277" spans="1:14" ht="14.4" customHeight="1" x14ac:dyDescent="0.3">
      <c r="A277" s="672" t="s">
        <v>478</v>
      </c>
      <c r="B277" s="673" t="s">
        <v>1446</v>
      </c>
      <c r="C277" s="674" t="s">
        <v>483</v>
      </c>
      <c r="D277" s="675" t="s">
        <v>484</v>
      </c>
      <c r="E277" s="674" t="s">
        <v>1392</v>
      </c>
      <c r="F277" s="675" t="s">
        <v>1451</v>
      </c>
      <c r="G277" s="674"/>
      <c r="H277" s="674"/>
      <c r="I277" s="674" t="s">
        <v>1400</v>
      </c>
      <c r="J277" s="674" t="s">
        <v>1401</v>
      </c>
      <c r="K277" s="674"/>
      <c r="L277" s="676">
        <v>2945.7999999999997</v>
      </c>
      <c r="M277" s="676">
        <v>12</v>
      </c>
      <c r="N277" s="677">
        <v>35349.599999999999</v>
      </c>
    </row>
    <row r="278" spans="1:14" ht="14.4" customHeight="1" x14ac:dyDescent="0.3">
      <c r="A278" s="672" t="s">
        <v>478</v>
      </c>
      <c r="B278" s="673" t="s">
        <v>1446</v>
      </c>
      <c r="C278" s="674" t="s">
        <v>483</v>
      </c>
      <c r="D278" s="675" t="s">
        <v>484</v>
      </c>
      <c r="E278" s="674" t="s">
        <v>1392</v>
      </c>
      <c r="F278" s="675" t="s">
        <v>1451</v>
      </c>
      <c r="G278" s="674"/>
      <c r="H278" s="674"/>
      <c r="I278" s="674" t="s">
        <v>1402</v>
      </c>
      <c r="J278" s="674" t="s">
        <v>1403</v>
      </c>
      <c r="K278" s="674" t="s">
        <v>1404</v>
      </c>
      <c r="L278" s="676">
        <v>5800.9666666666662</v>
      </c>
      <c r="M278" s="676">
        <v>9</v>
      </c>
      <c r="N278" s="677">
        <v>52208.7</v>
      </c>
    </row>
    <row r="279" spans="1:14" ht="14.4" customHeight="1" x14ac:dyDescent="0.3">
      <c r="A279" s="672" t="s">
        <v>478</v>
      </c>
      <c r="B279" s="673" t="s">
        <v>1446</v>
      </c>
      <c r="C279" s="674" t="s">
        <v>483</v>
      </c>
      <c r="D279" s="675" t="s">
        <v>484</v>
      </c>
      <c r="E279" s="674" t="s">
        <v>1405</v>
      </c>
      <c r="F279" s="675" t="s">
        <v>1452</v>
      </c>
      <c r="G279" s="674" t="s">
        <v>527</v>
      </c>
      <c r="H279" s="674" t="s">
        <v>1406</v>
      </c>
      <c r="I279" s="674" t="s">
        <v>1407</v>
      </c>
      <c r="J279" s="674" t="s">
        <v>1408</v>
      </c>
      <c r="K279" s="674" t="s">
        <v>1409</v>
      </c>
      <c r="L279" s="676">
        <v>3787.1700000000005</v>
      </c>
      <c r="M279" s="676">
        <v>1</v>
      </c>
      <c r="N279" s="677">
        <v>3787.1700000000005</v>
      </c>
    </row>
    <row r="280" spans="1:14" ht="14.4" customHeight="1" x14ac:dyDescent="0.3">
      <c r="A280" s="672" t="s">
        <v>478</v>
      </c>
      <c r="B280" s="673" t="s">
        <v>1446</v>
      </c>
      <c r="C280" s="674" t="s">
        <v>483</v>
      </c>
      <c r="D280" s="675" t="s">
        <v>484</v>
      </c>
      <c r="E280" s="674" t="s">
        <v>1405</v>
      </c>
      <c r="F280" s="675" t="s">
        <v>1452</v>
      </c>
      <c r="G280" s="674" t="s">
        <v>527</v>
      </c>
      <c r="H280" s="674" t="s">
        <v>1410</v>
      </c>
      <c r="I280" s="674" t="s">
        <v>1411</v>
      </c>
      <c r="J280" s="674" t="s">
        <v>1412</v>
      </c>
      <c r="K280" s="674" t="s">
        <v>1413</v>
      </c>
      <c r="L280" s="676">
        <v>2081.1999999999998</v>
      </c>
      <c r="M280" s="676">
        <v>43</v>
      </c>
      <c r="N280" s="677">
        <v>89491.599999999991</v>
      </c>
    </row>
    <row r="281" spans="1:14" ht="14.4" customHeight="1" x14ac:dyDescent="0.3">
      <c r="A281" s="672" t="s">
        <v>478</v>
      </c>
      <c r="B281" s="673" t="s">
        <v>1446</v>
      </c>
      <c r="C281" s="674" t="s">
        <v>483</v>
      </c>
      <c r="D281" s="675" t="s">
        <v>484</v>
      </c>
      <c r="E281" s="674" t="s">
        <v>1405</v>
      </c>
      <c r="F281" s="675" t="s">
        <v>1452</v>
      </c>
      <c r="G281" s="674" t="s">
        <v>527</v>
      </c>
      <c r="H281" s="674" t="s">
        <v>1414</v>
      </c>
      <c r="I281" s="674" t="s">
        <v>1415</v>
      </c>
      <c r="J281" s="674" t="s">
        <v>1416</v>
      </c>
      <c r="K281" s="674" t="s">
        <v>1417</v>
      </c>
      <c r="L281" s="676">
        <v>297</v>
      </c>
      <c r="M281" s="676">
        <v>40</v>
      </c>
      <c r="N281" s="677">
        <v>11880</v>
      </c>
    </row>
    <row r="282" spans="1:14" ht="14.4" customHeight="1" x14ac:dyDescent="0.3">
      <c r="A282" s="672" t="s">
        <v>478</v>
      </c>
      <c r="B282" s="673" t="s">
        <v>1446</v>
      </c>
      <c r="C282" s="674" t="s">
        <v>483</v>
      </c>
      <c r="D282" s="675" t="s">
        <v>484</v>
      </c>
      <c r="E282" s="674" t="s">
        <v>1405</v>
      </c>
      <c r="F282" s="675" t="s">
        <v>1452</v>
      </c>
      <c r="G282" s="674" t="s">
        <v>527</v>
      </c>
      <c r="H282" s="674" t="s">
        <v>1418</v>
      </c>
      <c r="I282" s="674" t="s">
        <v>1419</v>
      </c>
      <c r="J282" s="674" t="s">
        <v>1420</v>
      </c>
      <c r="K282" s="674" t="s">
        <v>1421</v>
      </c>
      <c r="L282" s="676">
        <v>2443.1898237203814</v>
      </c>
      <c r="M282" s="676">
        <v>87.8</v>
      </c>
      <c r="N282" s="677">
        <v>214512.06652264949</v>
      </c>
    </row>
    <row r="283" spans="1:14" ht="14.4" customHeight="1" x14ac:dyDescent="0.3">
      <c r="A283" s="672" t="s">
        <v>478</v>
      </c>
      <c r="B283" s="673" t="s">
        <v>1446</v>
      </c>
      <c r="C283" s="674" t="s">
        <v>483</v>
      </c>
      <c r="D283" s="675" t="s">
        <v>484</v>
      </c>
      <c r="E283" s="674" t="s">
        <v>1405</v>
      </c>
      <c r="F283" s="675" t="s">
        <v>1452</v>
      </c>
      <c r="G283" s="674" t="s">
        <v>527</v>
      </c>
      <c r="H283" s="674" t="s">
        <v>1422</v>
      </c>
      <c r="I283" s="674" t="s">
        <v>1422</v>
      </c>
      <c r="J283" s="674" t="s">
        <v>1423</v>
      </c>
      <c r="K283" s="674" t="s">
        <v>1424</v>
      </c>
      <c r="L283" s="676">
        <v>3410</v>
      </c>
      <c r="M283" s="676">
        <v>8</v>
      </c>
      <c r="N283" s="677">
        <v>27280</v>
      </c>
    </row>
    <row r="284" spans="1:14" ht="14.4" customHeight="1" x14ac:dyDescent="0.3">
      <c r="A284" s="672" t="s">
        <v>478</v>
      </c>
      <c r="B284" s="673" t="s">
        <v>1446</v>
      </c>
      <c r="C284" s="674" t="s">
        <v>483</v>
      </c>
      <c r="D284" s="675" t="s">
        <v>484</v>
      </c>
      <c r="E284" s="674" t="s">
        <v>1405</v>
      </c>
      <c r="F284" s="675" t="s">
        <v>1452</v>
      </c>
      <c r="G284" s="674" t="s">
        <v>527</v>
      </c>
      <c r="H284" s="674" t="s">
        <v>1425</v>
      </c>
      <c r="I284" s="674" t="s">
        <v>1426</v>
      </c>
      <c r="J284" s="674" t="s">
        <v>1427</v>
      </c>
      <c r="K284" s="674" t="s">
        <v>1424</v>
      </c>
      <c r="L284" s="676">
        <v>1680.5799497800526</v>
      </c>
      <c r="M284" s="676">
        <v>2</v>
      </c>
      <c r="N284" s="677">
        <v>3361.1598995601053</v>
      </c>
    </row>
    <row r="285" spans="1:14" ht="14.4" customHeight="1" x14ac:dyDescent="0.3">
      <c r="A285" s="672" t="s">
        <v>478</v>
      </c>
      <c r="B285" s="673" t="s">
        <v>1446</v>
      </c>
      <c r="C285" s="674" t="s">
        <v>483</v>
      </c>
      <c r="D285" s="675" t="s">
        <v>484</v>
      </c>
      <c r="E285" s="674" t="s">
        <v>1405</v>
      </c>
      <c r="F285" s="675" t="s">
        <v>1452</v>
      </c>
      <c r="G285" s="674" t="s">
        <v>527</v>
      </c>
      <c r="H285" s="674" t="s">
        <v>1428</v>
      </c>
      <c r="I285" s="674" t="s">
        <v>1429</v>
      </c>
      <c r="J285" s="674" t="s">
        <v>1430</v>
      </c>
      <c r="K285" s="674" t="s">
        <v>1424</v>
      </c>
      <c r="L285" s="676">
        <v>1329.4606250000002</v>
      </c>
      <c r="M285" s="676">
        <v>4</v>
      </c>
      <c r="N285" s="677">
        <v>5317.8425000000007</v>
      </c>
    </row>
    <row r="286" spans="1:14" ht="14.4" customHeight="1" x14ac:dyDescent="0.3">
      <c r="A286" s="672" t="s">
        <v>478</v>
      </c>
      <c r="B286" s="673" t="s">
        <v>1446</v>
      </c>
      <c r="C286" s="674" t="s">
        <v>483</v>
      </c>
      <c r="D286" s="675" t="s">
        <v>484</v>
      </c>
      <c r="E286" s="674" t="s">
        <v>1405</v>
      </c>
      <c r="F286" s="675" t="s">
        <v>1452</v>
      </c>
      <c r="G286" s="674" t="s">
        <v>527</v>
      </c>
      <c r="H286" s="674" t="s">
        <v>1431</v>
      </c>
      <c r="I286" s="674" t="s">
        <v>1432</v>
      </c>
      <c r="J286" s="674" t="s">
        <v>1433</v>
      </c>
      <c r="K286" s="674" t="s">
        <v>1434</v>
      </c>
      <c r="L286" s="676">
        <v>2062.5027586495694</v>
      </c>
      <c r="M286" s="676">
        <v>32</v>
      </c>
      <c r="N286" s="677">
        <v>66000.08827678622</v>
      </c>
    </row>
    <row r="287" spans="1:14" ht="14.4" customHeight="1" x14ac:dyDescent="0.3">
      <c r="A287" s="672" t="s">
        <v>478</v>
      </c>
      <c r="B287" s="673" t="s">
        <v>1446</v>
      </c>
      <c r="C287" s="674" t="s">
        <v>483</v>
      </c>
      <c r="D287" s="675" t="s">
        <v>484</v>
      </c>
      <c r="E287" s="674" t="s">
        <v>1405</v>
      </c>
      <c r="F287" s="675" t="s">
        <v>1452</v>
      </c>
      <c r="G287" s="674" t="s">
        <v>527</v>
      </c>
      <c r="H287" s="674" t="s">
        <v>1435</v>
      </c>
      <c r="I287" s="674" t="s">
        <v>1436</v>
      </c>
      <c r="J287" s="674" t="s">
        <v>1437</v>
      </c>
      <c r="K287" s="674" t="s">
        <v>1438</v>
      </c>
      <c r="L287" s="676">
        <v>2188.9499999999998</v>
      </c>
      <c r="M287" s="676">
        <v>2</v>
      </c>
      <c r="N287" s="677">
        <v>4377.8999999999996</v>
      </c>
    </row>
    <row r="288" spans="1:14" ht="14.4" customHeight="1" x14ac:dyDescent="0.3">
      <c r="A288" s="672" t="s">
        <v>478</v>
      </c>
      <c r="B288" s="673" t="s">
        <v>1446</v>
      </c>
      <c r="C288" s="674" t="s">
        <v>483</v>
      </c>
      <c r="D288" s="675" t="s">
        <v>484</v>
      </c>
      <c r="E288" s="674" t="s">
        <v>1405</v>
      </c>
      <c r="F288" s="675" t="s">
        <v>1452</v>
      </c>
      <c r="G288" s="674" t="s">
        <v>527</v>
      </c>
      <c r="H288" s="674" t="s">
        <v>1439</v>
      </c>
      <c r="I288" s="674" t="s">
        <v>1440</v>
      </c>
      <c r="J288" s="674" t="s">
        <v>1433</v>
      </c>
      <c r="K288" s="674" t="s">
        <v>1441</v>
      </c>
      <c r="L288" s="676">
        <v>3171.3000034418628</v>
      </c>
      <c r="M288" s="676">
        <v>21</v>
      </c>
      <c r="N288" s="677">
        <v>66597.300072279118</v>
      </c>
    </row>
    <row r="289" spans="1:14" ht="14.4" customHeight="1" thickBot="1" x14ac:dyDescent="0.35">
      <c r="A289" s="678" t="s">
        <v>478</v>
      </c>
      <c r="B289" s="679" t="s">
        <v>1446</v>
      </c>
      <c r="C289" s="680" t="s">
        <v>483</v>
      </c>
      <c r="D289" s="681" t="s">
        <v>484</v>
      </c>
      <c r="E289" s="680" t="s">
        <v>1405</v>
      </c>
      <c r="F289" s="681" t="s">
        <v>1452</v>
      </c>
      <c r="G289" s="680" t="s">
        <v>527</v>
      </c>
      <c r="H289" s="680" t="s">
        <v>1442</v>
      </c>
      <c r="I289" s="680" t="s">
        <v>1443</v>
      </c>
      <c r="J289" s="680" t="s">
        <v>1444</v>
      </c>
      <c r="K289" s="680" t="s">
        <v>1445</v>
      </c>
      <c r="L289" s="682">
        <v>2221.34</v>
      </c>
      <c r="M289" s="682">
        <v>3</v>
      </c>
      <c r="N289" s="683">
        <v>6664.02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4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1" customWidth="1"/>
    <col min="2" max="2" width="10" style="310" customWidth="1"/>
    <col min="3" max="3" width="5.5546875" style="313" customWidth="1"/>
    <col min="4" max="4" width="10" style="310" customWidth="1"/>
    <col min="5" max="5" width="5.5546875" style="313" customWidth="1"/>
    <col min="6" max="6" width="10" style="310" customWidth="1"/>
    <col min="7" max="16384" width="8.88671875" style="231"/>
  </cols>
  <sheetData>
    <row r="1" spans="1:6" ht="37.200000000000003" customHeight="1" thickBot="1" x14ac:dyDescent="0.4">
      <c r="A1" s="532" t="s">
        <v>181</v>
      </c>
      <c r="B1" s="533"/>
      <c r="C1" s="533"/>
      <c r="D1" s="533"/>
      <c r="E1" s="533"/>
      <c r="F1" s="533"/>
    </row>
    <row r="2" spans="1:6" ht="14.4" customHeight="1" thickBot="1" x14ac:dyDescent="0.35">
      <c r="A2" s="351" t="s">
        <v>288</v>
      </c>
      <c r="B2" s="67"/>
      <c r="C2" s="68"/>
      <c r="D2" s="69"/>
      <c r="E2" s="68"/>
      <c r="F2" s="69"/>
    </row>
    <row r="3" spans="1:6" ht="14.4" customHeight="1" thickBot="1" x14ac:dyDescent="0.35">
      <c r="A3" s="190"/>
      <c r="B3" s="534" t="s">
        <v>144</v>
      </c>
      <c r="C3" s="535"/>
      <c r="D3" s="536" t="s">
        <v>143</v>
      </c>
      <c r="E3" s="535"/>
      <c r="F3" s="96" t="s">
        <v>3</v>
      </c>
    </row>
    <row r="4" spans="1:6" ht="14.4" customHeight="1" thickBot="1" x14ac:dyDescent="0.35">
      <c r="A4" s="684" t="s">
        <v>166</v>
      </c>
      <c r="B4" s="685" t="s">
        <v>14</v>
      </c>
      <c r="C4" s="686" t="s">
        <v>2</v>
      </c>
      <c r="D4" s="685" t="s">
        <v>14</v>
      </c>
      <c r="E4" s="686" t="s">
        <v>2</v>
      </c>
      <c r="F4" s="687" t="s">
        <v>14</v>
      </c>
    </row>
    <row r="5" spans="1:6" ht="14.4" customHeight="1" thickBot="1" x14ac:dyDescent="0.35">
      <c r="A5" s="695" t="s">
        <v>1453</v>
      </c>
      <c r="B5" s="664">
        <v>10930.840999999999</v>
      </c>
      <c r="C5" s="688">
        <v>9.0007566607920777E-3</v>
      </c>
      <c r="D5" s="664">
        <v>1203504.9461172656</v>
      </c>
      <c r="E5" s="688">
        <v>0.99099924333920786</v>
      </c>
      <c r="F5" s="665">
        <v>1214435.7871172656</v>
      </c>
    </row>
    <row r="6" spans="1:6" ht="14.4" customHeight="1" thickBot="1" x14ac:dyDescent="0.35">
      <c r="A6" s="691" t="s">
        <v>3</v>
      </c>
      <c r="B6" s="692">
        <v>10930.840999999999</v>
      </c>
      <c r="C6" s="693">
        <v>9.0007566607920777E-3</v>
      </c>
      <c r="D6" s="692">
        <v>1203504.9461172656</v>
      </c>
      <c r="E6" s="693">
        <v>0.99099924333920786</v>
      </c>
      <c r="F6" s="694">
        <v>1214435.7871172656</v>
      </c>
    </row>
    <row r="7" spans="1:6" ht="14.4" customHeight="1" thickBot="1" x14ac:dyDescent="0.35"/>
    <row r="8" spans="1:6" ht="14.4" customHeight="1" x14ac:dyDescent="0.3">
      <c r="A8" s="701" t="s">
        <v>1454</v>
      </c>
      <c r="B8" s="670">
        <v>4315.7800000000007</v>
      </c>
      <c r="C8" s="689">
        <v>0.17347925101242964</v>
      </c>
      <c r="D8" s="670">
        <v>20562.007832337244</v>
      </c>
      <c r="E8" s="689">
        <v>0.82652074898757044</v>
      </c>
      <c r="F8" s="671">
        <v>24877.787832337242</v>
      </c>
    </row>
    <row r="9" spans="1:6" ht="14.4" customHeight="1" x14ac:dyDescent="0.3">
      <c r="A9" s="702" t="s">
        <v>1455</v>
      </c>
      <c r="B9" s="676">
        <v>4302.7110000000002</v>
      </c>
      <c r="C9" s="697">
        <v>1</v>
      </c>
      <c r="D9" s="676"/>
      <c r="E9" s="697">
        <v>0</v>
      </c>
      <c r="F9" s="677">
        <v>4302.7110000000002</v>
      </c>
    </row>
    <row r="10" spans="1:6" ht="14.4" customHeight="1" x14ac:dyDescent="0.3">
      <c r="A10" s="702" t="s">
        <v>1456</v>
      </c>
      <c r="B10" s="676">
        <v>1079.7800000000002</v>
      </c>
      <c r="C10" s="697">
        <v>1</v>
      </c>
      <c r="D10" s="676"/>
      <c r="E10" s="697">
        <v>0</v>
      </c>
      <c r="F10" s="677">
        <v>1079.7800000000002</v>
      </c>
    </row>
    <row r="11" spans="1:6" ht="14.4" customHeight="1" x14ac:dyDescent="0.3">
      <c r="A11" s="702" t="s">
        <v>1457</v>
      </c>
      <c r="B11" s="676">
        <v>495.84</v>
      </c>
      <c r="C11" s="697">
        <v>0.17748500087272634</v>
      </c>
      <c r="D11" s="676">
        <v>2297.8608623932369</v>
      </c>
      <c r="E11" s="697">
        <v>0.82251499912727366</v>
      </c>
      <c r="F11" s="677">
        <v>2793.700862393237</v>
      </c>
    </row>
    <row r="12" spans="1:6" ht="14.4" customHeight="1" x14ac:dyDescent="0.3">
      <c r="A12" s="702" t="s">
        <v>1458</v>
      </c>
      <c r="B12" s="676">
        <v>325.64999999999986</v>
      </c>
      <c r="C12" s="697">
        <v>1</v>
      </c>
      <c r="D12" s="676"/>
      <c r="E12" s="697">
        <v>0</v>
      </c>
      <c r="F12" s="677">
        <v>325.64999999999986</v>
      </c>
    </row>
    <row r="13" spans="1:6" ht="14.4" customHeight="1" x14ac:dyDescent="0.3">
      <c r="A13" s="702" t="s">
        <v>1459</v>
      </c>
      <c r="B13" s="676">
        <v>232.71999999999994</v>
      </c>
      <c r="C13" s="697">
        <v>0.53757131967383509</v>
      </c>
      <c r="D13" s="676">
        <v>200.19000000000005</v>
      </c>
      <c r="E13" s="697">
        <v>0.46242868032616496</v>
      </c>
      <c r="F13" s="677">
        <v>432.90999999999997</v>
      </c>
    </row>
    <row r="14" spans="1:6" ht="14.4" customHeight="1" x14ac:dyDescent="0.3">
      <c r="A14" s="702" t="s">
        <v>1460</v>
      </c>
      <c r="B14" s="676">
        <v>103.31999999999998</v>
      </c>
      <c r="C14" s="697">
        <v>1</v>
      </c>
      <c r="D14" s="676"/>
      <c r="E14" s="697">
        <v>0</v>
      </c>
      <c r="F14" s="677">
        <v>103.31999999999998</v>
      </c>
    </row>
    <row r="15" spans="1:6" ht="14.4" customHeight="1" x14ac:dyDescent="0.3">
      <c r="A15" s="702" t="s">
        <v>1461</v>
      </c>
      <c r="B15" s="676">
        <v>75.040000000000006</v>
      </c>
      <c r="C15" s="697">
        <v>1</v>
      </c>
      <c r="D15" s="676"/>
      <c r="E15" s="697">
        <v>0</v>
      </c>
      <c r="F15" s="677">
        <v>75.040000000000006</v>
      </c>
    </row>
    <row r="16" spans="1:6" ht="14.4" customHeight="1" x14ac:dyDescent="0.3">
      <c r="A16" s="702" t="s">
        <v>1462</v>
      </c>
      <c r="B16" s="676"/>
      <c r="C16" s="697">
        <v>0</v>
      </c>
      <c r="D16" s="676">
        <v>2601.2799999999997</v>
      </c>
      <c r="E16" s="697">
        <v>1</v>
      </c>
      <c r="F16" s="677">
        <v>2601.2799999999997</v>
      </c>
    </row>
    <row r="17" spans="1:6" ht="14.4" customHeight="1" x14ac:dyDescent="0.3">
      <c r="A17" s="702" t="s">
        <v>1463</v>
      </c>
      <c r="B17" s="676"/>
      <c r="C17" s="697">
        <v>0</v>
      </c>
      <c r="D17" s="676">
        <v>289500.85004761524</v>
      </c>
      <c r="E17" s="697">
        <v>1</v>
      </c>
      <c r="F17" s="677">
        <v>289500.85004761524</v>
      </c>
    </row>
    <row r="18" spans="1:6" ht="14.4" customHeight="1" x14ac:dyDescent="0.3">
      <c r="A18" s="702" t="s">
        <v>1464</v>
      </c>
      <c r="B18" s="676"/>
      <c r="C18" s="697">
        <v>0</v>
      </c>
      <c r="D18" s="676">
        <v>22.090000000000003</v>
      </c>
      <c r="E18" s="697">
        <v>1</v>
      </c>
      <c r="F18" s="677">
        <v>22.090000000000003</v>
      </c>
    </row>
    <row r="19" spans="1:6" ht="14.4" customHeight="1" x14ac:dyDescent="0.3">
      <c r="A19" s="702" t="s">
        <v>1465</v>
      </c>
      <c r="B19" s="676"/>
      <c r="C19" s="697">
        <v>0</v>
      </c>
      <c r="D19" s="676">
        <v>9098.2900000000009</v>
      </c>
      <c r="E19" s="697">
        <v>1</v>
      </c>
      <c r="F19" s="677">
        <v>9098.2900000000009</v>
      </c>
    </row>
    <row r="20" spans="1:6" ht="14.4" customHeight="1" x14ac:dyDescent="0.3">
      <c r="A20" s="702" t="s">
        <v>1466</v>
      </c>
      <c r="B20" s="676"/>
      <c r="C20" s="697">
        <v>0</v>
      </c>
      <c r="D20" s="676">
        <v>6745.2</v>
      </c>
      <c r="E20" s="697">
        <v>1</v>
      </c>
      <c r="F20" s="677">
        <v>6745.2</v>
      </c>
    </row>
    <row r="21" spans="1:6" ht="14.4" customHeight="1" x14ac:dyDescent="0.3">
      <c r="A21" s="702" t="s">
        <v>1467</v>
      </c>
      <c r="B21" s="676"/>
      <c r="C21" s="697">
        <v>0</v>
      </c>
      <c r="D21" s="676">
        <v>109.86000000000001</v>
      </c>
      <c r="E21" s="697">
        <v>1</v>
      </c>
      <c r="F21" s="677">
        <v>109.86000000000001</v>
      </c>
    </row>
    <row r="22" spans="1:6" ht="14.4" customHeight="1" x14ac:dyDescent="0.3">
      <c r="A22" s="702" t="s">
        <v>1468</v>
      </c>
      <c r="B22" s="676"/>
      <c r="C22" s="697">
        <v>0</v>
      </c>
      <c r="D22" s="676">
        <v>17496.594144742794</v>
      </c>
      <c r="E22" s="697">
        <v>1</v>
      </c>
      <c r="F22" s="677">
        <v>17496.594144742794</v>
      </c>
    </row>
    <row r="23" spans="1:6" ht="14.4" customHeight="1" x14ac:dyDescent="0.3">
      <c r="A23" s="702" t="s">
        <v>1469</v>
      </c>
      <c r="B23" s="676"/>
      <c r="C23" s="697">
        <v>0</v>
      </c>
      <c r="D23" s="676">
        <v>24.93000000000001</v>
      </c>
      <c r="E23" s="697">
        <v>1</v>
      </c>
      <c r="F23" s="677">
        <v>24.93000000000001</v>
      </c>
    </row>
    <row r="24" spans="1:6" ht="14.4" customHeight="1" x14ac:dyDescent="0.3">
      <c r="A24" s="702" t="s">
        <v>1470</v>
      </c>
      <c r="B24" s="676"/>
      <c r="C24" s="697">
        <v>0</v>
      </c>
      <c r="D24" s="676">
        <v>98.65</v>
      </c>
      <c r="E24" s="697">
        <v>1</v>
      </c>
      <c r="F24" s="677">
        <v>98.65</v>
      </c>
    </row>
    <row r="25" spans="1:6" ht="14.4" customHeight="1" x14ac:dyDescent="0.3">
      <c r="A25" s="702" t="s">
        <v>1471</v>
      </c>
      <c r="B25" s="676"/>
      <c r="C25" s="697">
        <v>0</v>
      </c>
      <c r="D25" s="676">
        <v>482.47</v>
      </c>
      <c r="E25" s="697">
        <v>1</v>
      </c>
      <c r="F25" s="677">
        <v>482.47</v>
      </c>
    </row>
    <row r="26" spans="1:6" ht="14.4" customHeight="1" x14ac:dyDescent="0.3">
      <c r="A26" s="702" t="s">
        <v>1472</v>
      </c>
      <c r="B26" s="676"/>
      <c r="C26" s="697">
        <v>0</v>
      </c>
      <c r="D26" s="676">
        <v>139.47000000000003</v>
      </c>
      <c r="E26" s="697">
        <v>1</v>
      </c>
      <c r="F26" s="677">
        <v>139.47000000000003</v>
      </c>
    </row>
    <row r="27" spans="1:6" ht="14.4" customHeight="1" x14ac:dyDescent="0.3">
      <c r="A27" s="702" t="s">
        <v>1473</v>
      </c>
      <c r="B27" s="676"/>
      <c r="C27" s="697">
        <v>0</v>
      </c>
      <c r="D27" s="676">
        <v>9420.5559435597643</v>
      </c>
      <c r="E27" s="697">
        <v>1</v>
      </c>
      <c r="F27" s="677">
        <v>9420.5559435597643</v>
      </c>
    </row>
    <row r="28" spans="1:6" ht="14.4" customHeight="1" x14ac:dyDescent="0.3">
      <c r="A28" s="702" t="s">
        <v>1474</v>
      </c>
      <c r="B28" s="676"/>
      <c r="C28" s="697">
        <v>0</v>
      </c>
      <c r="D28" s="676">
        <v>20104.055537135442</v>
      </c>
      <c r="E28" s="697">
        <v>1</v>
      </c>
      <c r="F28" s="677">
        <v>20104.055537135442</v>
      </c>
    </row>
    <row r="29" spans="1:6" ht="14.4" customHeight="1" x14ac:dyDescent="0.3">
      <c r="A29" s="702" t="s">
        <v>1475</v>
      </c>
      <c r="B29" s="676"/>
      <c r="C29" s="697">
        <v>0</v>
      </c>
      <c r="D29" s="676">
        <v>248.58152235925709</v>
      </c>
      <c r="E29" s="697">
        <v>1</v>
      </c>
      <c r="F29" s="677">
        <v>248.58152235925709</v>
      </c>
    </row>
    <row r="30" spans="1:6" ht="14.4" customHeight="1" x14ac:dyDescent="0.3">
      <c r="A30" s="702" t="s">
        <v>1476</v>
      </c>
      <c r="B30" s="676"/>
      <c r="C30" s="697">
        <v>0</v>
      </c>
      <c r="D30" s="676">
        <v>14803.8</v>
      </c>
      <c r="E30" s="697">
        <v>1</v>
      </c>
      <c r="F30" s="677">
        <v>14803.8</v>
      </c>
    </row>
    <row r="31" spans="1:6" ht="14.4" customHeight="1" x14ac:dyDescent="0.3">
      <c r="A31" s="702" t="s">
        <v>1477</v>
      </c>
      <c r="B31" s="676"/>
      <c r="C31" s="697">
        <v>0</v>
      </c>
      <c r="D31" s="676">
        <v>72875</v>
      </c>
      <c r="E31" s="697">
        <v>1</v>
      </c>
      <c r="F31" s="677">
        <v>72875</v>
      </c>
    </row>
    <row r="32" spans="1:6" ht="14.4" customHeight="1" x14ac:dyDescent="0.3">
      <c r="A32" s="702" t="s">
        <v>1478</v>
      </c>
      <c r="B32" s="676"/>
      <c r="C32" s="697">
        <v>0</v>
      </c>
      <c r="D32" s="676">
        <v>821.69973002875645</v>
      </c>
      <c r="E32" s="697">
        <v>1</v>
      </c>
      <c r="F32" s="677">
        <v>821.69973002875645</v>
      </c>
    </row>
    <row r="33" spans="1:6" ht="14.4" customHeight="1" x14ac:dyDescent="0.3">
      <c r="A33" s="702" t="s">
        <v>1479</v>
      </c>
      <c r="B33" s="676"/>
      <c r="C33" s="697">
        <v>0</v>
      </c>
      <c r="D33" s="676">
        <v>569.40597350811174</v>
      </c>
      <c r="E33" s="697">
        <v>1</v>
      </c>
      <c r="F33" s="677">
        <v>569.40597350811174</v>
      </c>
    </row>
    <row r="34" spans="1:6" ht="14.4" customHeight="1" x14ac:dyDescent="0.3">
      <c r="A34" s="702" t="s">
        <v>1480</v>
      </c>
      <c r="B34" s="676"/>
      <c r="C34" s="697">
        <v>0</v>
      </c>
      <c r="D34" s="676">
        <v>4501.2403673734025</v>
      </c>
      <c r="E34" s="697">
        <v>1</v>
      </c>
      <c r="F34" s="677">
        <v>4501.2403673734025</v>
      </c>
    </row>
    <row r="35" spans="1:6" ht="14.4" customHeight="1" x14ac:dyDescent="0.3">
      <c r="A35" s="702" t="s">
        <v>1481</v>
      </c>
      <c r="B35" s="676"/>
      <c r="C35" s="697">
        <v>0</v>
      </c>
      <c r="D35" s="676">
        <v>239.04999999999995</v>
      </c>
      <c r="E35" s="697">
        <v>1</v>
      </c>
      <c r="F35" s="677">
        <v>239.04999999999995</v>
      </c>
    </row>
    <row r="36" spans="1:6" ht="14.4" customHeight="1" x14ac:dyDescent="0.3">
      <c r="A36" s="702" t="s">
        <v>1482</v>
      </c>
      <c r="B36" s="676"/>
      <c r="C36" s="697">
        <v>0</v>
      </c>
      <c r="D36" s="676">
        <v>5761.5000000000009</v>
      </c>
      <c r="E36" s="697">
        <v>1</v>
      </c>
      <c r="F36" s="677">
        <v>5761.5000000000009</v>
      </c>
    </row>
    <row r="37" spans="1:6" ht="14.4" customHeight="1" x14ac:dyDescent="0.3">
      <c r="A37" s="702" t="s">
        <v>1483</v>
      </c>
      <c r="B37" s="676"/>
      <c r="C37" s="697">
        <v>0</v>
      </c>
      <c r="D37" s="676">
        <v>583493.85262560332</v>
      </c>
      <c r="E37" s="697">
        <v>1</v>
      </c>
      <c r="F37" s="677">
        <v>583493.85262560332</v>
      </c>
    </row>
    <row r="38" spans="1:6" ht="14.4" customHeight="1" x14ac:dyDescent="0.3">
      <c r="A38" s="702" t="s">
        <v>1484</v>
      </c>
      <c r="B38" s="676"/>
      <c r="C38" s="697">
        <v>0</v>
      </c>
      <c r="D38" s="676">
        <v>39600</v>
      </c>
      <c r="E38" s="697">
        <v>1</v>
      </c>
      <c r="F38" s="677">
        <v>39600</v>
      </c>
    </row>
    <row r="39" spans="1:6" ht="14.4" customHeight="1" x14ac:dyDescent="0.3">
      <c r="A39" s="702" t="s">
        <v>1485</v>
      </c>
      <c r="B39" s="676"/>
      <c r="C39" s="697">
        <v>0</v>
      </c>
      <c r="D39" s="676">
        <v>680.1</v>
      </c>
      <c r="E39" s="697">
        <v>1</v>
      </c>
      <c r="F39" s="677">
        <v>680.1</v>
      </c>
    </row>
    <row r="40" spans="1:6" ht="14.4" customHeight="1" x14ac:dyDescent="0.3">
      <c r="A40" s="702" t="s">
        <v>1486</v>
      </c>
      <c r="B40" s="676"/>
      <c r="C40" s="697">
        <v>0</v>
      </c>
      <c r="D40" s="676">
        <v>27.25</v>
      </c>
      <c r="E40" s="697">
        <v>1</v>
      </c>
      <c r="F40" s="677">
        <v>27.25</v>
      </c>
    </row>
    <row r="41" spans="1:6" ht="14.4" customHeight="1" x14ac:dyDescent="0.3">
      <c r="A41" s="702" t="s">
        <v>1487</v>
      </c>
      <c r="B41" s="676"/>
      <c r="C41" s="697">
        <v>0</v>
      </c>
      <c r="D41" s="676">
        <v>11909.209987311049</v>
      </c>
      <c r="E41" s="697">
        <v>1</v>
      </c>
      <c r="F41" s="677">
        <v>11909.209987311049</v>
      </c>
    </row>
    <row r="42" spans="1:6" ht="14.4" customHeight="1" x14ac:dyDescent="0.3">
      <c r="A42" s="702" t="s">
        <v>1488</v>
      </c>
      <c r="B42" s="676"/>
      <c r="C42" s="697">
        <v>0</v>
      </c>
      <c r="D42" s="676">
        <v>2030.33</v>
      </c>
      <c r="E42" s="697">
        <v>1</v>
      </c>
      <c r="F42" s="677">
        <v>2030.33</v>
      </c>
    </row>
    <row r="43" spans="1:6" ht="14.4" customHeight="1" x14ac:dyDescent="0.3">
      <c r="A43" s="702" t="s">
        <v>1489</v>
      </c>
      <c r="B43" s="676"/>
      <c r="C43" s="697">
        <v>0</v>
      </c>
      <c r="D43" s="676">
        <v>810.25</v>
      </c>
      <c r="E43" s="697">
        <v>1</v>
      </c>
      <c r="F43" s="677">
        <v>810.25</v>
      </c>
    </row>
    <row r="44" spans="1:6" ht="14.4" customHeight="1" x14ac:dyDescent="0.3">
      <c r="A44" s="702" t="s">
        <v>1490</v>
      </c>
      <c r="B44" s="676"/>
      <c r="C44" s="697">
        <v>0</v>
      </c>
      <c r="D44" s="676">
        <v>907.59999999999991</v>
      </c>
      <c r="E44" s="697">
        <v>1</v>
      </c>
      <c r="F44" s="677">
        <v>907.59999999999991</v>
      </c>
    </row>
    <row r="45" spans="1:6" ht="14.4" customHeight="1" x14ac:dyDescent="0.3">
      <c r="A45" s="702" t="s">
        <v>1491</v>
      </c>
      <c r="B45" s="676"/>
      <c r="C45" s="697">
        <v>0</v>
      </c>
      <c r="D45" s="676">
        <v>49491.461543298516</v>
      </c>
      <c r="E45" s="697">
        <v>1</v>
      </c>
      <c r="F45" s="677">
        <v>49491.461543298516</v>
      </c>
    </row>
    <row r="46" spans="1:6" ht="14.4" customHeight="1" thickBot="1" x14ac:dyDescent="0.35">
      <c r="A46" s="703" t="s">
        <v>1492</v>
      </c>
      <c r="B46" s="698"/>
      <c r="C46" s="699">
        <v>0</v>
      </c>
      <c r="D46" s="698">
        <v>35830.26</v>
      </c>
      <c r="E46" s="699">
        <v>1</v>
      </c>
      <c r="F46" s="700">
        <v>35830.26</v>
      </c>
    </row>
    <row r="47" spans="1:6" ht="14.4" customHeight="1" thickBot="1" x14ac:dyDescent="0.35">
      <c r="A47" s="691" t="s">
        <v>3</v>
      </c>
      <c r="B47" s="692">
        <v>10930.841000000002</v>
      </c>
      <c r="C47" s="693">
        <v>9.000756660792076E-3</v>
      </c>
      <c r="D47" s="692">
        <v>1203504.9461172663</v>
      </c>
      <c r="E47" s="693">
        <v>0.99099924333920797</v>
      </c>
      <c r="F47" s="694">
        <v>1214435.7871172663</v>
      </c>
    </row>
  </sheetData>
  <mergeCells count="3">
    <mergeCell ref="A1:F1"/>
    <mergeCell ref="B3:C3"/>
    <mergeCell ref="D3:E3"/>
  </mergeCells>
  <conditionalFormatting sqref="C5:C1048576">
    <cfRule type="cellIs" dxfId="4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4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2017-04-25T10:35:58Z</dcterms:modified>
</cp:coreProperties>
</file>