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Total!$A$4:$Y$4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Obdobi">'ON Data'!$B$3:$B$16</definedName>
    <definedName name="_xlnm.Print_Area" localSheetId="18">ALOS!$A$1:$M$45</definedName>
    <definedName name="_xlnm.Print_Area" localSheetId="17">CaseMix!$A$1:$O$39</definedName>
  </definedNames>
  <calcPr calcId="152511"/>
</workbook>
</file>

<file path=xl/calcChain.xml><?xml version="1.0" encoding="utf-8"?>
<calcChain xmlns="http://schemas.openxmlformats.org/spreadsheetml/2006/main">
  <c r="T69" i="371" l="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J20" i="419" l="1"/>
  <c r="I20" i="419"/>
  <c r="H20" i="419"/>
  <c r="G20" i="419"/>
  <c r="F20" i="419"/>
  <c r="E20" i="419"/>
  <c r="D20" i="419"/>
  <c r="C20" i="419"/>
  <c r="J19" i="419"/>
  <c r="I19" i="419"/>
  <c r="H19" i="419"/>
  <c r="G19" i="419"/>
  <c r="F19" i="419"/>
  <c r="E19" i="419"/>
  <c r="D19" i="419"/>
  <c r="C19" i="419"/>
  <c r="J17" i="419"/>
  <c r="I17" i="419"/>
  <c r="H17" i="419"/>
  <c r="G17" i="419"/>
  <c r="F17" i="419"/>
  <c r="E17" i="419"/>
  <c r="D17" i="419"/>
  <c r="C17" i="419"/>
  <c r="J16" i="419"/>
  <c r="I16" i="419"/>
  <c r="H16" i="419"/>
  <c r="G16" i="419"/>
  <c r="F16" i="419"/>
  <c r="E16" i="419"/>
  <c r="D16" i="419"/>
  <c r="C16" i="419"/>
  <c r="J14" i="419"/>
  <c r="I14" i="419"/>
  <c r="H14" i="419"/>
  <c r="G14" i="419"/>
  <c r="F14" i="419"/>
  <c r="E14" i="419"/>
  <c r="D14" i="419"/>
  <c r="C14" i="419"/>
  <c r="J13" i="419"/>
  <c r="I13" i="419"/>
  <c r="H13" i="419"/>
  <c r="G13" i="419"/>
  <c r="F13" i="419"/>
  <c r="E13" i="419"/>
  <c r="D13" i="419"/>
  <c r="C13" i="419"/>
  <c r="J12" i="419"/>
  <c r="I12" i="419"/>
  <c r="H12" i="419"/>
  <c r="G12" i="419"/>
  <c r="F12" i="419"/>
  <c r="E12" i="419"/>
  <c r="D12" i="419"/>
  <c r="C12" i="419"/>
  <c r="J11" i="419"/>
  <c r="I11" i="419"/>
  <c r="H11" i="419"/>
  <c r="G11" i="419"/>
  <c r="F11" i="419"/>
  <c r="E11" i="419"/>
  <c r="D11" i="419"/>
  <c r="C11" i="419"/>
  <c r="E18" i="419" l="1"/>
  <c r="C18" i="419"/>
  <c r="F18" i="419"/>
  <c r="D18" i="419"/>
  <c r="H18" i="419"/>
  <c r="I18" i="419"/>
  <c r="G18" i="419"/>
  <c r="J18" i="419"/>
  <c r="E26" i="419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T5" i="371" l="1"/>
  <c r="S5" i="371"/>
  <c r="AE3" i="418" l="1"/>
  <c r="I3" i="418"/>
  <c r="F28" i="419" l="1"/>
  <c r="F27" i="419"/>
  <c r="E11" i="339"/>
  <c r="C11" i="339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0" i="414" l="1"/>
  <c r="A21" i="414"/>
  <c r="A23" i="414"/>
  <c r="A22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3" i="414" s="1"/>
  <c r="E23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W3" i="418" l="1"/>
  <c r="AV3" i="418"/>
  <c r="AU3" i="418"/>
  <c r="AT3" i="418"/>
  <c r="AS3" i="418"/>
  <c r="AR3" i="418"/>
  <c r="B25" i="419" l="1"/>
  <c r="B27" i="419" l="1"/>
  <c r="A9" i="414"/>
  <c r="A8" i="414"/>
  <c r="A7" i="414"/>
  <c r="I21" i="419" l="1"/>
  <c r="H21" i="419"/>
  <c r="H22" i="419" s="1"/>
  <c r="G21" i="419"/>
  <c r="F21" i="419"/>
  <c r="H23" i="419" l="1"/>
  <c r="F23" i="419"/>
  <c r="G23" i="419"/>
  <c r="I23" i="419"/>
  <c r="F22" i="419"/>
  <c r="G22" i="419"/>
  <c r="I22" i="419"/>
  <c r="N3" i="418"/>
  <c r="E21" i="419" l="1"/>
  <c r="E22" i="419" s="1"/>
  <c r="D21" i="419"/>
  <c r="D22" i="419" s="1"/>
  <c r="E23" i="419" l="1"/>
  <c r="D23" i="419"/>
  <c r="B21" i="419"/>
  <c r="B22" i="419" l="1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E6" i="419" l="1"/>
  <c r="F6" i="419"/>
  <c r="I6" i="419"/>
  <c r="H6" i="419"/>
  <c r="D6" i="419"/>
  <c r="J6" i="419"/>
  <c r="G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370" l="1"/>
  <c r="C13" i="370"/>
  <c r="B13" i="370"/>
  <c r="P13" i="370" l="1"/>
  <c r="N13" i="370"/>
  <c r="F13" i="370"/>
  <c r="D20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6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 l="1"/>
  <c r="A17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6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8" i="414" s="1"/>
  <c r="B11" i="339" l="1"/>
  <c r="J11" i="339" s="1"/>
  <c r="I11" i="339" l="1"/>
  <c r="F11" i="339"/>
  <c r="H11" i="339" l="1"/>
  <c r="G11" i="339"/>
  <c r="A25" i="414"/>
  <c r="A18" i="414"/>
  <c r="A13" i="414"/>
  <c r="A14" i="414"/>
  <c r="A4" i="414"/>
  <c r="A6" i="339" l="1"/>
  <c r="A5" i="339"/>
  <c r="C17" i="414"/>
  <c r="D4" i="414"/>
  <c r="D17" i="414"/>
  <c r="D14" i="414"/>
  <c r="C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2" i="414" l="1"/>
  <c r="E22" i="414" s="1"/>
  <c r="E12" i="339"/>
  <c r="D21" i="414"/>
  <c r="E21" i="414" s="1"/>
  <c r="C12" i="339"/>
  <c r="F12" i="339" s="1"/>
  <c r="E20" i="414"/>
  <c r="B12" i="339"/>
  <c r="D24" i="414"/>
  <c r="E24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M3" i="387"/>
  <c r="K3" i="387" s="1"/>
  <c r="L3" i="387"/>
  <c r="J3" i="387"/>
  <c r="I3" i="387"/>
  <c r="G3" i="387"/>
  <c r="H3" i="387" s="1"/>
  <c r="F3" i="387"/>
  <c r="N3" i="220"/>
  <c r="L3" i="220" s="1"/>
  <c r="C19" i="414"/>
  <c r="D19" i="414"/>
  <c r="J3" i="372" l="1"/>
  <c r="N3" i="372"/>
  <c r="F3" i="372"/>
  <c r="J12" i="339"/>
  <c r="I12" i="339"/>
  <c r="I13" i="339" s="1"/>
  <c r="C26" i="414"/>
  <c r="E26" i="414" s="1"/>
  <c r="F13" i="339"/>
  <c r="E13" i="339"/>
  <c r="E15" i="339" s="1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6" i="414"/>
  <c r="C4" i="414"/>
  <c r="J13" i="339" l="1"/>
  <c r="B15" i="339"/>
  <c r="H13" i="339"/>
  <c r="F15" i="339"/>
  <c r="D25" i="414"/>
  <c r="E25" i="414" s="1"/>
  <c r="E14" i="414"/>
  <c r="E4" i="414"/>
  <c r="C6" i="340"/>
  <c r="D6" i="340" s="1"/>
  <c r="B4" i="340"/>
  <c r="G13" i="339"/>
  <c r="B13" i="340" l="1"/>
  <c r="B12" i="340"/>
  <c r="H15" i="339"/>
  <c r="G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<sst xmlns="http://schemas.openxmlformats.org/spreadsheetml/2006/main" count="12191" uniqueCount="3941">
  <si>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</si>
  <si>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</si>
  <si>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</si>
  <si>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</si>
  <si>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</si>
  <si>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</si>
  <si>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</si>
  <si>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</si>
  <si>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</si>
  <si>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</si>
  <si>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</si>
  <si>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</si>
  <si>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</si>
  <si>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</si>
  <si>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</si>
  <si>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</si>
  <si>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</si>
  <si>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</si>
  <si>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</si>
  <si>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</si>
  <si>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</si>
  <si>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</si>
  <si>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</si>
  <si>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</si>
  <si>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</si>
  <si>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</si>
  <si>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</si>
  <si>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</si>
  <si>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</si>
  <si>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</si>
  <si>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</si>
  <si>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</si>
  <si>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</si>
  <si>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</si>
  <si>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</si>
  <si>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</si>
  <si>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</si>
  <si>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</si>
  <si>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</si>
  <si>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</si>
  <si>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</si>
  <si>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</si>
  <si>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</si>
  <si>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</si>
  <si>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</si>
  <si>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</si>
  <si>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</si>
  <si>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</si>
  <si>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</si>
  <si>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</si>
  <si>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</si>
  <si>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</si>
  <si>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</si>
  <si>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</si>
  <si>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</si>
  <si>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</si>
  <si>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</si>
  <si>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</si>
  <si>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</si>
  <si>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</si>
  <si>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</si>
  <si>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</si>
  <si>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</si>
  <si>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</si>
  <si>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</si>
  <si>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</si>
  <si>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</si>
  <si>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</si>
  <si>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</si>
  <si>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</si>
  <si>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</si>
  <si>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</si>
  <si>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</si>
  <si>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</si>
  <si>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</si>
  <si>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</si>
  <si>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</si>
  <si>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</si>
  <si>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</si>
  <si>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</si>
  <si>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</si>
  <si>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</si>
  <si>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</si>
  <si>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</si>
  <si>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</si>
  <si>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</si>
  <si>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</si>
  <si>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</si>
  <si>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</si>
  <si>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</si>
  <si>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</si>
  <si>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</si>
  <si>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</si>
  <si>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</si>
  <si>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</si>
  <si>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</si>
  <si>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</si>
  <si>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</si>
  <si>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</si>
  <si>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</si>
  <si>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</si>
  <si>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</si>
  <si>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</si>
  <si>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</si>
  <si>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</si>
  <si>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</si>
  <si>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</si>
  <si>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</si>
  <si>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</si>
  <si>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</si>
  <si>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</si>
  <si>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</si>
  <si>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</si>
  <si>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</si>
  <si>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</si>
  <si>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</si>
  <si>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</si>
  <si>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</si>
  <si>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</si>
  <si>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</si>
  <si>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</si>
  <si>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</si>
  <si>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</si>
  <si>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</si>
  <si>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</si>
  <si>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</si>
  <si>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</si>
  <si>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</si>
  <si>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</si>
  <si>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</si>
  <si>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</si>
  <si>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</si>
  <si>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</si>
  <si>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</si>
  <si>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</si>
  <si>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</si>
  <si>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</si>
  <si>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</si>
  <si>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</si>
  <si>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</si>
  <si>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</si>
  <si>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</si>
  <si>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</si>
  <si>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</si>
  <si>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</si>
  <si>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</si>
  <si>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</si>
  <si>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</si>
  <si>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</si>
  <si>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</si>
  <si>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</si>
  <si>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</si>
  <si>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</si>
  <si>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</si>
  <si>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</si>
  <si>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</si>
  <si>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</si>
  <si>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</si>
  <si>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</si>
  <si>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</si>
  <si>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</si>
  <si>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</si>
  <si>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</si>
  <si>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</si>
  <si>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</si>
  <si>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</si>
  <si>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</si>
  <si>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</si>
  <si>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</si>
  <si>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</si>
  <si>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</si>
  <si>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</si>
  <si>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</si>
  <si>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</si>
  <si>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</si>
  <si>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</si>
  <si>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</si>
  <si>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</si>
  <si>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</si>
  <si>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</si>
  <si>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</si>
  <si>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</si>
  <si>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</si>
  <si>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</si>
  <si>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</si>
  <si>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</si>
  <si>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</si>
  <si>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</si>
  <si>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</si>
  <si>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</si>
  <si>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</si>
  <si>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</si>
  <si>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</si>
  <si>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</si>
  <si>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</si>
  <si>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</si>
  <si>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</si>
  <si>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</si>
  <si>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</si>
  <si>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</si>
  <si>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</si>
  <si>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</si>
  <si>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</si>
  <si>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</si>
  <si>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</si>
  <si>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</si>
  <si>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</si>
  <si>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</si>
  <si>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</si>
  <si>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</si>
  <si>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</si>
  <si>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</si>
  <si>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</si>
  <si>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</si>
  <si>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</si>
  <si>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</si>
  <si>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</si>
  <si>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</si>
  <si>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</si>
  <si>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</si>
  <si>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</si>
  <si>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</si>
  <si>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ošetřovatelé</t>
  </si>
  <si>
    <t>sanitáři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</si>
  <si>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</si>
  <si>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</si>
  <si>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</si>
  <si>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</si>
  <si>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</si>
  <si>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</si>
  <si>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</si>
  <si>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</si>
  <si>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</si>
  <si>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</si>
  <si>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</si>
  <si>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</si>
  <si>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</si>
  <si>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</si>
  <si>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lékaři bez dohledu</t>
  </si>
  <si>
    <t>lékaři specialisti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</si>
  <si>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</si>
  <si>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</si>
  <si>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</si>
  <si>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</si>
  <si>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</si>
  <si>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</si>
  <si>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</si>
  <si>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</si>
  <si>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</si>
  <si>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</si>
  <si>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</si>
  <si>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</si>
  <si>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</si>
  <si>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</si>
  <si>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</si>
  <si>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</si>
  <si>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</si>
  <si>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</si>
  <si>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</si>
  <si>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</si>
  <si>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</si>
  <si>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</si>
  <si>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</si>
  <si>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</si>
  <si>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</si>
  <si>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</si>
  <si>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</si>
  <si>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</si>
  <si>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</si>
  <si>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</si>
  <si>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</si>
  <si>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</si>
  <si>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</si>
  <si>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</si>
  <si>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</si>
  <si>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</si>
  <si>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</si>
  <si>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</si>
  <si>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</si>
  <si>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</si>
  <si>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</si>
  <si>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</si>
  <si>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</si>
  <si>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</si>
  <si>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</si>
  <si>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Kč (tisíce)</t>
  </si>
  <si>
    <t>Rozdíly 2015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</si>
  <si>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</si>
  <si>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</si>
  <si>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</si>
  <si>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</si>
  <si>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</si>
  <si>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</si>
  <si>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</si>
  <si>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</si>
  <si>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</si>
  <si>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</si>
  <si>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</si>
  <si>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</si>
  <si>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</si>
  <si>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</si>
  <si>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</si>
  <si>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</si>
  <si>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</si>
  <si>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</si>
  <si>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</si>
  <si>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</si>
  <si>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</si>
  <si>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</si>
  <si>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</si>
  <si>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</si>
  <si>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</si>
  <si>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</si>
  <si>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</si>
  <si>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</si>
  <si>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</si>
  <si>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</si>
  <si>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</si>
  <si>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</si>
  <si>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</si>
  <si>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</si>
  <si>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</si>
  <si>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</si>
  <si>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</si>
  <si>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</si>
  <si>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</si>
  <si>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</si>
  <si>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</si>
  <si>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</si>
  <si>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</si>
  <si>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</si>
  <si>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</si>
  <si>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</si>
  <si>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</si>
  <si>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</si>
  <si>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</si>
  <si>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</si>
  <si>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</si>
  <si>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</si>
  <si>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</si>
  <si>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</si>
  <si>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</si>
  <si>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</si>
  <si>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</si>
  <si>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</si>
  <si>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</si>
  <si>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</si>
  <si>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</si>
  <si>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</si>
  <si>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</si>
  <si>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</si>
  <si>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</si>
  <si>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</si>
  <si>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</si>
  <si>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</si>
  <si>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</si>
  <si>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</si>
  <si>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</si>
  <si>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</si>
  <si>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</si>
  <si>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</si>
  <si>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</si>
  <si>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</si>
  <si>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</si>
  <si>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</si>
  <si>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</si>
  <si>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</si>
  <si>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</si>
  <si>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</si>
  <si>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</si>
  <si>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</si>
  <si>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</si>
  <si>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</si>
  <si>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</si>
  <si>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</si>
  <si>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</si>
  <si>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</si>
  <si>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</si>
  <si>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</si>
  <si>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</si>
  <si>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</si>
  <si>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</si>
  <si>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</si>
  <si>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</si>
  <si>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</si>
  <si>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</si>
  <si>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</si>
  <si>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</si>
  <si>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</si>
  <si>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</si>
  <si>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</si>
  <si>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</si>
  <si>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</si>
  <si>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</si>
  <si>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</si>
  <si>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</si>
  <si>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</si>
  <si>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</si>
  <si>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</si>
  <si>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</si>
  <si>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</si>
  <si>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</si>
  <si>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</si>
  <si>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</si>
  <si>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</si>
  <si>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54910011     registrační poplatky - kongresy zahraniční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</si>
  <si>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</si>
  <si>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</si>
  <si>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</si>
  <si>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</si>
  <si>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</si>
  <si>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</si>
  <si>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</si>
  <si>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</si>
  <si>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</si>
  <si>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</si>
  <si>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</si>
  <si>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</si>
  <si>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</si>
  <si>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</si>
  <si>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</si>
  <si>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</si>
  <si>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55802004     DDHM - přepravní pouzdra pro PDS ( Potrubní poštu (sk.V_48)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</si>
  <si>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</si>
  <si>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</si>
  <si>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</si>
  <si>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</si>
  <si>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</si>
  <si>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</si>
  <si>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</si>
  <si>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</si>
  <si>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</si>
  <si>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</si>
  <si>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</si>
  <si>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</si>
  <si>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</si>
  <si>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</si>
  <si>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</si>
  <si>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</si>
  <si>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</si>
  <si>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</si>
  <si>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</si>
  <si>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</si>
  <si>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</si>
  <si>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</si>
  <si>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</si>
  <si>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</si>
  <si>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</si>
  <si>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</si>
  <si>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</si>
  <si>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</si>
  <si>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</si>
  <si>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</si>
  <si>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</si>
  <si>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</si>
  <si>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</si>
  <si>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</si>
  <si>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</si>
  <si>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</si>
  <si>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</si>
  <si>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</si>
  <si>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</si>
  <si>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</si>
  <si>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</si>
  <si>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</si>
  <si>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</si>
  <si>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</si>
  <si>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</si>
  <si>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</si>
  <si>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</si>
  <si>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</si>
  <si>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</si>
  <si>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</si>
  <si>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</si>
  <si>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</si>
  <si>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</si>
  <si>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</si>
  <si>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</si>
  <si>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</si>
  <si>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</si>
  <si>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</si>
  <si>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</si>
  <si>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</si>
  <si>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</si>
  <si>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59</t>
  </si>
  <si>
    <t>IPCHO: Oddělení int. péče chirurg. oborů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</si>
  <si>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</si>
  <si>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</si>
  <si>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</si>
  <si>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</si>
  <si>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</si>
  <si>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</si>
  <si>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</si>
  <si>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</si>
  <si>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</si>
  <si>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IPCHO: Oddělení int. péče chirurg. oborů Celkem</t>
  </si>
  <si>
    <t>SumaKL</t>
  </si>
  <si>
    <t>5931</t>
  </si>
  <si>
    <t>IPCHO: JIP 51</t>
  </si>
  <si>
    <t>IPCHO: JIP 51 Celkem</t>
  </si>
  <si>
    <t>SumaNS</t>
  </si>
  <si>
    <t>mezeraNS</t>
  </si>
  <si>
    <t>léky - paušál (LEK)</t>
  </si>
  <si>
    <t>O</t>
  </si>
  <si>
    <t>0,9 % SODIUM CHLORIDE KABI</t>
  </si>
  <si>
    <t>1x1000 ml FFlx</t>
  </si>
  <si>
    <t>ACC INJEKT</t>
  </si>
  <si>
    <t>INJ SOL 5X3ML/300MG</t>
  </si>
  <si>
    <t>ACIDUM ASCORBICUM</t>
  </si>
  <si>
    <t>INJ 5X5ML</t>
  </si>
  <si>
    <t>ADDAVEN</t>
  </si>
  <si>
    <t>IVN INF CNC SOL 20X10ML</t>
  </si>
  <si>
    <t>ADRENALIN LECIVA</t>
  </si>
  <si>
    <t>INJ 5X1ML/1MG</t>
  </si>
  <si>
    <t>AESCIN 30mg tbl.60 VULM</t>
  </si>
  <si>
    <t>AESCIN-TEVA</t>
  </si>
  <si>
    <t>POR TBL FLM 30X20MG</t>
  </si>
  <si>
    <t>ALGIFEN NEO</t>
  </si>
  <si>
    <t>POR GTT SOL 1X50ML</t>
  </si>
  <si>
    <t>ALMIRAL</t>
  </si>
  <si>
    <t>INJ 10X3ML/75MG</t>
  </si>
  <si>
    <t>AMBROBENE 7.5MG/ML</t>
  </si>
  <si>
    <t>SOL 1X40ML</t>
  </si>
  <si>
    <t>ANACID</t>
  </si>
  <si>
    <t>SUS 12X5ML(SACKY)</t>
  </si>
  <si>
    <t>ANALGIN</t>
  </si>
  <si>
    <t>INJ SOL 5X5ML</t>
  </si>
  <si>
    <t>P</t>
  </si>
  <si>
    <t>ANESIA 10 MG/ML INJ/INF EML.</t>
  </si>
  <si>
    <t>INJ+INF EML 5X20ML/200MG</t>
  </si>
  <si>
    <t>ANESIA 10 MG/ML INJEKČNÍ/INFUZNÍ EMULZE</t>
  </si>
  <si>
    <t>IVN INJ+INF EML 10X50ML</t>
  </si>
  <si>
    <t>ANESIA 20 MG/ML INJEKČNÍ/INFUZNÍ EMULZE</t>
  </si>
  <si>
    <t>INJ+INF EML 10X50MLX20MG/ML</t>
  </si>
  <si>
    <t>ANOPYRIN 100MG</t>
  </si>
  <si>
    <t>TBL 20X100MG</t>
  </si>
  <si>
    <t>APAURIN</t>
  </si>
  <si>
    <t>INJ 10X2ML/10MG</t>
  </si>
  <si>
    <t>APO-AMLO 10</t>
  </si>
  <si>
    <t>POR TBL NOB 30X10MG</t>
  </si>
  <si>
    <t>APO-AMLO 5</t>
  </si>
  <si>
    <t>POR TBL NOB 30X5MG</t>
  </si>
  <si>
    <t>APO-IBUPROFEN 400 MG</t>
  </si>
  <si>
    <t>POR TBL FLM 100X400MG</t>
  </si>
  <si>
    <t>POR TBL FLM 30X400MG</t>
  </si>
  <si>
    <t>Apotheke Ostropestřec 20x1,5g</t>
  </si>
  <si>
    <t>AQUA PRO INJECTIONE ARDEAPHARMA</t>
  </si>
  <si>
    <t>INF 1X250ML</t>
  </si>
  <si>
    <t>ARDEAELYTOSOL NA.HYDR.CARB.4.2%</t>
  </si>
  <si>
    <t>INF 1X200ML</t>
  </si>
  <si>
    <t>ARDEAELYTOSOL NA.HYDR.CARB.8.4%</t>
  </si>
  <si>
    <t>ARDEAELYTOSOL NA.HYDR.FOSF. 8,7%</t>
  </si>
  <si>
    <t>87MG/ML INF CNC SOL 10X200ML</t>
  </si>
  <si>
    <t>ARDEAELYTOSOL NA.HYDR.FOSF.8.7%</t>
  </si>
  <si>
    <t>ARDUAN</t>
  </si>
  <si>
    <t>INJ SIC 25X4MG+2ML</t>
  </si>
  <si>
    <t>Artelac CL 10ml</t>
  </si>
  <si>
    <t>ARTEOPTIC 2%</t>
  </si>
  <si>
    <t>OPH GTT SOL 3X5ML</t>
  </si>
  <si>
    <t>ATROPIN BIOTIKA 0.5MG</t>
  </si>
  <si>
    <t>INJ 10X1ML/0.5MG</t>
  </si>
  <si>
    <t>ATROVENT 0.025%</t>
  </si>
  <si>
    <t>INH SOL 1X20ML</t>
  </si>
  <si>
    <t>AULIN</t>
  </si>
  <si>
    <t>POR TBL NOB 30X100MG</t>
  </si>
  <si>
    <t>AZARGA 10 MG/ML + 5 MG/ML</t>
  </si>
  <si>
    <t>OPH GTT SUS 1X5ML</t>
  </si>
  <si>
    <t>BELODERM</t>
  </si>
  <si>
    <t>DRM CRM1X30GM 0.05%</t>
  </si>
  <si>
    <t>BERODUAL</t>
  </si>
  <si>
    <t>INH LIQ 1X20ML</t>
  </si>
  <si>
    <t>BETADINE - zelená</t>
  </si>
  <si>
    <t>LIQ 1X1000ML</t>
  </si>
  <si>
    <t>BETALOC</t>
  </si>
  <si>
    <t>INJ 5X5ML/5MG</t>
  </si>
  <si>
    <t>BETALOC SR 200MG</t>
  </si>
  <si>
    <t>TBL RET 30X200MG</t>
  </si>
  <si>
    <t>BETALOC ZOK 100 MG</t>
  </si>
  <si>
    <t>POR TBL PRO 100X100MG</t>
  </si>
  <si>
    <t>BETALOC ZOK 25 MG</t>
  </si>
  <si>
    <t>TBL RET 28X25MG</t>
  </si>
  <si>
    <t>Biopron9 tob.120</t>
  </si>
  <si>
    <t>Biopron9 tob.60</t>
  </si>
  <si>
    <t>BISEPTOL 480</t>
  </si>
  <si>
    <t>POR TBL NOB 28X480MG</t>
  </si>
  <si>
    <t>BRICANYL</t>
  </si>
  <si>
    <t>INJ 10X1ML 0.5MG</t>
  </si>
  <si>
    <t>BRUFEN 400</t>
  </si>
  <si>
    <t>BURONIL 25 MG</t>
  </si>
  <si>
    <t>POR TBL OBD 50X25MG</t>
  </si>
  <si>
    <t>CALCIUM BIOTIKA</t>
  </si>
  <si>
    <t>INJ 10X10ML/1GM</t>
  </si>
  <si>
    <t>CALCIUM GLUCONICUM 10% B.BRAUN</t>
  </si>
  <si>
    <t>INJ SOL 20X10ML</t>
  </si>
  <si>
    <t>CALCIUM CHLORATUM BIOTIKA</t>
  </si>
  <si>
    <t>INJ 5X10ML 10%</t>
  </si>
  <si>
    <t>CALCIUM RESONIUM</t>
  </si>
  <si>
    <t>POR+RCT PLV SUS 300GM</t>
  </si>
  <si>
    <t>CARDILAN</t>
  </si>
  <si>
    <t>INJ 10X10ML</t>
  </si>
  <si>
    <t>CARVESAN 6,25</t>
  </si>
  <si>
    <t>POR TBL NOB 30X6,25MG</t>
  </si>
  <si>
    <t>Catapresan inj.10x1ml/0.15mg - MIMOŘ.DOVOZ!!</t>
  </si>
  <si>
    <t>CEFTRIAXON MEDOPHARM 1 G</t>
  </si>
  <si>
    <t>INJ+INF PLV SOL 10X1GM</t>
  </si>
  <si>
    <t>CELASKON 500MG ČERVENÝ POMERANČ</t>
  </si>
  <si>
    <t>POR TBLEFF20X500MG</t>
  </si>
  <si>
    <t>PORTBLEFF3X10PROMO</t>
  </si>
  <si>
    <t>CEREBROLYSIN</t>
  </si>
  <si>
    <t>INJ SOL 5X10ML</t>
  </si>
  <si>
    <t>CERNEVIT</t>
  </si>
  <si>
    <t>INJ PLV SOL10X750MG</t>
  </si>
  <si>
    <t>CITALEC 10 ZENTIVA</t>
  </si>
  <si>
    <t>POR TBL FLM30X10MG</t>
  </si>
  <si>
    <t>CITALEC 20 ZENTIVA</t>
  </si>
  <si>
    <t>CLEXANE</t>
  </si>
  <si>
    <t>INJ SOL 10X0.2ML/2KU</t>
  </si>
  <si>
    <t>CLEXANE FORTE</t>
  </si>
  <si>
    <t>INJ SOL 10X0.8ML/12KU</t>
  </si>
  <si>
    <t>CODEIN SLOVAKOFARMA 30MG</t>
  </si>
  <si>
    <t>TBL 10X30MG-BLISTR</t>
  </si>
  <si>
    <t>COLDREX TABLETY</t>
  </si>
  <si>
    <t>POR TBL NOB 12</t>
  </si>
  <si>
    <t>CONTRACTUBEX</t>
  </si>
  <si>
    <t>GEL 1X20GM</t>
  </si>
  <si>
    <t>CONTROLOC 20 MG</t>
  </si>
  <si>
    <t>POR TBL ENT 100X20MG</t>
  </si>
  <si>
    <t>CONTROLOC I.V.</t>
  </si>
  <si>
    <t>INJ PLV SOL 1X40MG</t>
  </si>
  <si>
    <t>CORDARONE</t>
  </si>
  <si>
    <t>POR TBL NOB30X200MG</t>
  </si>
  <si>
    <t>POR TBL NOB60X200MG</t>
  </si>
  <si>
    <t>INJ SOL 6X3ML/150MG</t>
  </si>
  <si>
    <t>CORVATON FORTE</t>
  </si>
  <si>
    <t>TBL 30X4MG</t>
  </si>
  <si>
    <t>CYMEVENE</t>
  </si>
  <si>
    <t>INF SIC 1X500MG</t>
  </si>
  <si>
    <t>Deca durabolin 50mg amp.1x1ml - MIMOŘÁDNÝ DOVOZ!!</t>
  </si>
  <si>
    <t>DEGAN</t>
  </si>
  <si>
    <t>INJ 50X2ML/10MG</t>
  </si>
  <si>
    <t>DEPAKINE</t>
  </si>
  <si>
    <t>INJ PSO LQF 4X4ML/400MG</t>
  </si>
  <si>
    <t>DERMAZULEN</t>
  </si>
  <si>
    <t>UNG 1X30GM</t>
  </si>
  <si>
    <t>DERMOVATE</t>
  </si>
  <si>
    <t>CRM 1X25GM 0.05%</t>
  </si>
  <si>
    <t>DEXAMED</t>
  </si>
  <si>
    <t>INJ 10X2ML/8MG</t>
  </si>
  <si>
    <t>DEXDOR</t>
  </si>
  <si>
    <t>INF CNC SOL 5X2ML</t>
  </si>
  <si>
    <t>DIAZEPAM SLOVAKOFARMA</t>
  </si>
  <si>
    <t>TBL 20X10MG</t>
  </si>
  <si>
    <t>DICLOFENAC DUO PHARMASWISS 75 MG</t>
  </si>
  <si>
    <t>POR CPS RDR 30X75MG</t>
  </si>
  <si>
    <t>DICYNONE 250</t>
  </si>
  <si>
    <t>INJ SOL 4X2ML/250MG</t>
  </si>
  <si>
    <t>DIGOXIN 0.250 LECIVA</t>
  </si>
  <si>
    <t>TBL 30X0.25MG</t>
  </si>
  <si>
    <t>DIGOXIN ORION INJ.-MIMOŘÁDNÝ DOVOZ!!</t>
  </si>
  <si>
    <t>INJ SOL 25X1ML/0.25MG</t>
  </si>
  <si>
    <t>DILURAN</t>
  </si>
  <si>
    <t>TBL 20X250MG</t>
  </si>
  <si>
    <t>DIPEPTIVEN</t>
  </si>
  <si>
    <t>INF CNC SOL 1X100ML</t>
  </si>
  <si>
    <t>DIPIDOLOR</t>
  </si>
  <si>
    <t>INJ 5X2ML 7.5MG/ML</t>
  </si>
  <si>
    <t>DITHIADEN</t>
  </si>
  <si>
    <t>TBL 20X2MG</t>
  </si>
  <si>
    <t>INJ 10X2ML</t>
  </si>
  <si>
    <t>Dobutamin Admeda 250 inf.sol50ml</t>
  </si>
  <si>
    <t>DOLMINA 50</t>
  </si>
  <si>
    <t>TBL OBD 30X50MG</t>
  </si>
  <si>
    <t>DOPEGYT</t>
  </si>
  <si>
    <t>TBL 50X250MG</t>
  </si>
  <si>
    <t>DUPHALAC</t>
  </si>
  <si>
    <t>667MG/ML POR SOL 1X500ML HDP</t>
  </si>
  <si>
    <t>DZ BRAUNOL 500 ML</t>
  </si>
  <si>
    <t>DZ OCTENISEPT drm. sol. 250 ml</t>
  </si>
  <si>
    <t>DRM SOL 1X250ML</t>
  </si>
  <si>
    <t>EBRANTIL I.V. 25</t>
  </si>
  <si>
    <t>INJ SOL 5X5ML/25MG</t>
  </si>
  <si>
    <t>EBRANTIL I.V.50</t>
  </si>
  <si>
    <t>INJ SOL 5X10ML/50MG</t>
  </si>
  <si>
    <t>ENAP I.V.</t>
  </si>
  <si>
    <t>INJ 5X1ML/1.25MG</t>
  </si>
  <si>
    <t>ENDIARON</t>
  </si>
  <si>
    <t>TBL OBD 20X250MG</t>
  </si>
  <si>
    <t>EPANUTIN PARENTERAL</t>
  </si>
  <si>
    <t>INJ SOL 5X5ML/250MG</t>
  </si>
  <si>
    <t>ERCEFURYL 200 MG CPS.</t>
  </si>
  <si>
    <t>POR CPS DUR 14X200MG</t>
  </si>
  <si>
    <t>ERDOMED</t>
  </si>
  <si>
    <t>POR CPS DUR 60X300MG</t>
  </si>
  <si>
    <t>ERDOMED 300MG</t>
  </si>
  <si>
    <t>CPS 10X300MG</t>
  </si>
  <si>
    <t>ESMERON INJ.SOL.10X5ML</t>
  </si>
  <si>
    <t>EUTHYROX 137 MIKROGRAMŮ</t>
  </si>
  <si>
    <t>POR TBL NOB 100X137RG II</t>
  </si>
  <si>
    <t>EXACYL</t>
  </si>
  <si>
    <t>INJ 5X5ML/500MG</t>
  </si>
  <si>
    <t>EZETROL 10 MG TABLETY</t>
  </si>
  <si>
    <t>POR TBL NOB 30X10MG B</t>
  </si>
  <si>
    <t>FAMOSAN 20 MG</t>
  </si>
  <si>
    <t>POR TBL FLM100X20MG</t>
  </si>
  <si>
    <t>FASTUM GEL</t>
  </si>
  <si>
    <t>DRM GEL 1X100GM</t>
  </si>
  <si>
    <t>FLAMEXIN</t>
  </si>
  <si>
    <t>TBL 20X20MG</t>
  </si>
  <si>
    <t>FLAVOBION</t>
  </si>
  <si>
    <t>POR TBL FLM 50X70MG</t>
  </si>
  <si>
    <t>FLORSALMIN</t>
  </si>
  <si>
    <t>GTT 1X50ML</t>
  </si>
  <si>
    <t>FOSINOPRIL-TEVA 20 MG</t>
  </si>
  <si>
    <t>POR TBL NOB 30X20MG</t>
  </si>
  <si>
    <t>FRAXIPARIN MULTI</t>
  </si>
  <si>
    <t>INJ 10X5ML/47.5KU</t>
  </si>
  <si>
    <t>FRAXIPARINE</t>
  </si>
  <si>
    <t>INJ SOL 10X0.4ML</t>
  </si>
  <si>
    <t>FURON</t>
  </si>
  <si>
    <t>TBL 50X40MG</t>
  </si>
  <si>
    <t>FURORESE 40</t>
  </si>
  <si>
    <t>TBL 100X40MG</t>
  </si>
  <si>
    <t>FUROSEMID BIOTIKA</t>
  </si>
  <si>
    <t>INJ 5X2ML/20MG</t>
  </si>
  <si>
    <t>FUROSEMID BIOTIKA FORTE</t>
  </si>
  <si>
    <t>INJ 10X10ML/125MG</t>
  </si>
  <si>
    <t>FUROSEMID SLOVAKOFARMA FORTE</t>
  </si>
  <si>
    <t>TBL 10X250MG</t>
  </si>
  <si>
    <t>FYZIOLOGICKÝ ROZTOK VIAFLO</t>
  </si>
  <si>
    <t>INF SOL 30X250ML</t>
  </si>
  <si>
    <t>GELASPAN 4% EBI20x500 ml</t>
  </si>
  <si>
    <t>INF SOL20X500ML VAK</t>
  </si>
  <si>
    <t>GERATAM 3 G</t>
  </si>
  <si>
    <t>INJ SOL 4X15ML/3GM</t>
  </si>
  <si>
    <t>GLUKÓZA 10 BRAUN</t>
  </si>
  <si>
    <t>INF SOL 10X500ML-PE</t>
  </si>
  <si>
    <t>GLUKÓZA 20 BRAUN</t>
  </si>
  <si>
    <t>GLUKÓZA 40 BRAUN</t>
  </si>
  <si>
    <t>GLUKÓZA 5 BRAUN</t>
  </si>
  <si>
    <t>INF SOL 10X250ML-PE</t>
  </si>
  <si>
    <t>GODASAL 100</t>
  </si>
  <si>
    <t>POR TBL NOB 100</t>
  </si>
  <si>
    <t>POR TBL NOB 50</t>
  </si>
  <si>
    <t>GUTRON 2.5MG</t>
  </si>
  <si>
    <t>TBL 20X2.5MG</t>
  </si>
  <si>
    <t>HALOPERIDOL</t>
  </si>
  <si>
    <t>TBL 50X1.5MG</t>
  </si>
  <si>
    <t>INJ 5X1ML/5MG</t>
  </si>
  <si>
    <t>HELICID 20 ZENTIVA</t>
  </si>
  <si>
    <t>POR CPS ETD 28X20MG</t>
  </si>
  <si>
    <t>HEPARIN LECIVA</t>
  </si>
  <si>
    <t>INJ 1X10ML/50KU</t>
  </si>
  <si>
    <t>HEPAROID LECIVA</t>
  </si>
  <si>
    <t>HERPESIN 200</t>
  </si>
  <si>
    <t>POR TBL NOB 25X200MG</t>
  </si>
  <si>
    <t>HERPESIN 250</t>
  </si>
  <si>
    <t>INJ SIC 10X250MG</t>
  </si>
  <si>
    <t>HYDROCORTISON VUAB 100 MG</t>
  </si>
  <si>
    <t>INJ PLV SOL 1X100MG</t>
  </si>
  <si>
    <t>HYLAK FORTE</t>
  </si>
  <si>
    <t>GTT 1X100ML</t>
  </si>
  <si>
    <t>Hypromeloza -P 10ml</t>
  </si>
  <si>
    <t>CHIROCAINE 7,5 MG/ML</t>
  </si>
  <si>
    <t>INJ SOL 10X10ML</t>
  </si>
  <si>
    <t>CHLORID SODNÝ 0,9% BRAUN</t>
  </si>
  <si>
    <t>INF SOL 20X100MLPELAH</t>
  </si>
  <si>
    <t>INF SOL 10X250MLPELAH</t>
  </si>
  <si>
    <t>INF SOL 10X500MLPELAH</t>
  </si>
  <si>
    <t>INF SOL 10X1000MLPLAH</t>
  </si>
  <si>
    <t>IBALGIN KRÉM 100G</t>
  </si>
  <si>
    <t xml:space="preserve">DRM CRM 1X100GM </t>
  </si>
  <si>
    <t>IMUNOR</t>
  </si>
  <si>
    <t>LYO 4X10MG</t>
  </si>
  <si>
    <t>INDOMETACIN 100 BERLIN-CHEMIE</t>
  </si>
  <si>
    <t>SUP 10X100MG</t>
  </si>
  <si>
    <t>INDOMETACIN 50 BERLIN-CHEMIE</t>
  </si>
  <si>
    <t>SUP 10X50MG</t>
  </si>
  <si>
    <t>INJ PROCAINII CHLORATI 0,2% ARD 10x500ml</t>
  </si>
  <si>
    <t>2MG/ML INJ SOL 10X500ML</t>
  </si>
  <si>
    <t>INJECTIO PROCAIN.CHLOR.0.2% ARD</t>
  </si>
  <si>
    <t>INJ 1X500ML 0.2%</t>
  </si>
  <si>
    <t>INTEGRILIN 0.75MG/ML</t>
  </si>
  <si>
    <t>INF SOL1X100ML/75MG</t>
  </si>
  <si>
    <t>IR OG. OPHTHALMO-SEPTONEX</t>
  </si>
  <si>
    <t>GTT OPH 1X10ML</t>
  </si>
  <si>
    <t>ISOKET LOSUNG 0.1% PRO INFUS.</t>
  </si>
  <si>
    <t>INJ PRO INF 10X10ML</t>
  </si>
  <si>
    <t>ISOLYTE  FFX - VAK</t>
  </si>
  <si>
    <t>INF SOL 10X1000ML Freeflex</t>
  </si>
  <si>
    <t>ISOLYTE BP - PLAST. LÁHEV</t>
  </si>
  <si>
    <t xml:space="preserve">INF SOL 10X1000ML KP </t>
  </si>
  <si>
    <t>ISOPRENALIN inj.-MIMOŘÁDNÝ DOVOZ!!</t>
  </si>
  <si>
    <t>5x1 ml</t>
  </si>
  <si>
    <t>ISOPTIN 80 MG</t>
  </si>
  <si>
    <t>POR TBL FLM 50X80MG</t>
  </si>
  <si>
    <t>KALIUM CHLORATUM BIOMEDICA</t>
  </si>
  <si>
    <t>POR TBLFLM100X500MG</t>
  </si>
  <si>
    <t>KALIUMCHLORID 7.45% BRAUN</t>
  </si>
  <si>
    <t>INF CNC SOL 20X100ML</t>
  </si>
  <si>
    <t>KANAVIT</t>
  </si>
  <si>
    <t>INJ 5X1ML/10MG</t>
  </si>
  <si>
    <t>GTT 1X5ML 20MG/ML</t>
  </si>
  <si>
    <t>KARDEGIC 0.5 G</t>
  </si>
  <si>
    <t>INJ PSO LQF 6+SOL</t>
  </si>
  <si>
    <t>KL ETHANOLUM BENZ.DENAT. 500ml /400g/</t>
  </si>
  <si>
    <t>UN 1170</t>
  </si>
  <si>
    <t>KL ETHER  LÉKOPISNÝ 1000 ml Fagron, Kulich</t>
  </si>
  <si>
    <t>jednotka 1 ks   UN 1155</t>
  </si>
  <si>
    <t>KL ETHER 200G</t>
  </si>
  <si>
    <t>KL MAST NA SPALENINY, 100G</t>
  </si>
  <si>
    <t>KL MAST NA SPALENINY+ BETADINE , 100G</t>
  </si>
  <si>
    <t>KL POLYSAN, OL.HELIANTHI AA AD 1000G</t>
  </si>
  <si>
    <t>KL PRIPRAVEK</t>
  </si>
  <si>
    <t>KL SIGNATURY</t>
  </si>
  <si>
    <t>KL SOL.BORGLYCEROLI  3% 100 G</t>
  </si>
  <si>
    <t>KL SOL.BORGLYCEROLI 3% 200 G</t>
  </si>
  <si>
    <t>KL UNG.ELOCOM 15G,LENIENS AD 100G</t>
  </si>
  <si>
    <t>KL UNG.ICHT.2G,CaCO3 10G,ZnO 6G,VAS.LEN. AA AD</t>
  </si>
  <si>
    <t>100G, 2% ichtamolu</t>
  </si>
  <si>
    <t>Klysma salinické 135ml</t>
  </si>
  <si>
    <t>Lactobacillus acidophil.cps.75 bez laktózy</t>
  </si>
  <si>
    <t>LACTULOSA BIOMEDICA</t>
  </si>
  <si>
    <t>POR SIR 500ML 50%</t>
  </si>
  <si>
    <t>LETROX 100</t>
  </si>
  <si>
    <t>POR TBL NOB 100X100RG II</t>
  </si>
  <si>
    <t>LETROX 150</t>
  </si>
  <si>
    <t>POR TBL NOB 100X150RG</t>
  </si>
  <si>
    <t>LETROX 50</t>
  </si>
  <si>
    <t>POR TBL NOB 100X50RG II</t>
  </si>
  <si>
    <t>LEXAURIN</t>
  </si>
  <si>
    <t>TBL 30X1.5MG</t>
  </si>
  <si>
    <t>LEXAURIN 3</t>
  </si>
  <si>
    <t>POR TBL NOB 30X3MG</t>
  </si>
  <si>
    <t>LIDOCAIN EGIS 10 %</t>
  </si>
  <si>
    <t>DRM SPR SOL 1X38GM</t>
  </si>
  <si>
    <t>LOKREN 20 MG</t>
  </si>
  <si>
    <t>POR TBL FLM 28X20MG</t>
  </si>
  <si>
    <t>LOPERON CPS</t>
  </si>
  <si>
    <t>POR CPS DUR 10X2MG</t>
  </si>
  <si>
    <t>POR CPS DUR 20X2MG</t>
  </si>
  <si>
    <t>LORISTA 100 MG tbl.</t>
  </si>
  <si>
    <t>POR TBL FLM 28X100MG</t>
  </si>
  <si>
    <t>LYRICA 150 MG</t>
  </si>
  <si>
    <t>POR CPSDUR14X150MG</t>
  </si>
  <si>
    <t>LYRICA 75 MG</t>
  </si>
  <si>
    <t>POR CPSDUR14X75MG</t>
  </si>
  <si>
    <t>POR CPSDUR56X75MG</t>
  </si>
  <si>
    <t>MAGNE B6</t>
  </si>
  <si>
    <t>DRG 50</t>
  </si>
  <si>
    <t>MAGNESIUM SULFURICUM BIOTIKA</t>
  </si>
  <si>
    <t>INJ 5X10ML 20%</t>
  </si>
  <si>
    <t>MARCAINE 0.5%</t>
  </si>
  <si>
    <t>INJ SOL5X20ML/100MG</t>
  </si>
  <si>
    <t>MESOCAIN</t>
  </si>
  <si>
    <t>INJ 10X10ML 1%</t>
  </si>
  <si>
    <t>MIDAZOLAM ACCORD 1 MG/ML</t>
  </si>
  <si>
    <t>INJ+INF SOL 10X5MLX1MG/ML</t>
  </si>
  <si>
    <t>MIDAZOLAM ACCORD 5 MG/ML</t>
  </si>
  <si>
    <t>INJ+INF SOL 10X1MLX5MG/ML</t>
  </si>
  <si>
    <t>INJ+INF SOL 10X3MLX5MG/ML</t>
  </si>
  <si>
    <t>INJ+INF SOL 10X10ML</t>
  </si>
  <si>
    <t>MIDAZOLAM B. BRAUN 1 MG/ML</t>
  </si>
  <si>
    <t>INJ+RCT SOL 10X50ML</t>
  </si>
  <si>
    <t>MIRTAZAPIN MYLAN 30 MG</t>
  </si>
  <si>
    <t>POR TBL DIS 30X30MG</t>
  </si>
  <si>
    <t>MONOSAN 20MG</t>
  </si>
  <si>
    <t>TBL 30X20MG</t>
  </si>
  <si>
    <t>MORPHIN BIOTIKA 1%</t>
  </si>
  <si>
    <t>INJ 10X1ML/10MG</t>
  </si>
  <si>
    <t>INJ 10X2ML/20MG</t>
  </si>
  <si>
    <t>MUCOSOLVAN</t>
  </si>
  <si>
    <t>POR GTT SOL+INH SOL 60ML</t>
  </si>
  <si>
    <t>MYDOCALM 150MG</t>
  </si>
  <si>
    <t>TBL OBD 30X150MG</t>
  </si>
  <si>
    <t>NALOXONE POLFA</t>
  </si>
  <si>
    <t>INJ 10X1ML/0.4MG</t>
  </si>
  <si>
    <t>NATRIUM CHLORATUM BIOTIKA 10%</t>
  </si>
  <si>
    <t>NEBILET</t>
  </si>
  <si>
    <t>POR TBL NOB 28X5MG</t>
  </si>
  <si>
    <t>NEODOLPASSE</t>
  </si>
  <si>
    <t>INF 10X250ML</t>
  </si>
  <si>
    <t>NEPRESOL 25 MG-MIMOŘÁDNÝ DOVOZ!!</t>
  </si>
  <si>
    <t>INJ SIC 5X25MG+SOLV</t>
  </si>
  <si>
    <t>NICORETTE INVISIPATCH 15 MG/16 H</t>
  </si>
  <si>
    <t>DRM EMP TDR 7X15MG</t>
  </si>
  <si>
    <t>NICORETTE INVISIPATCH 25 MG/16 H</t>
  </si>
  <si>
    <t>DRM EMP TDR 7X25MG</t>
  </si>
  <si>
    <t>NIMESIL</t>
  </si>
  <si>
    <t>PORGRASUS30X100MG-S</t>
  </si>
  <si>
    <t>NORADRENALIN LECIVA</t>
  </si>
  <si>
    <t>NORADRENALIN LÉČIVA</t>
  </si>
  <si>
    <t>IVN INF CNC SOL 5X5ML</t>
  </si>
  <si>
    <t>NOVALGIN</t>
  </si>
  <si>
    <t>INJ 10X2ML/1000MG</t>
  </si>
  <si>
    <t>TBL OBD 20X500MG</t>
  </si>
  <si>
    <t>NOVORAPID 100 U/ML</t>
  </si>
  <si>
    <t>INJ SOL 1X10ML</t>
  </si>
  <si>
    <t>NOVOSEVEN 100 KIU (2 MG)</t>
  </si>
  <si>
    <t>INJ PSO LQF 2MG</t>
  </si>
  <si>
    <t>ONDANSETRON B. BRAUN 2 MG/ML</t>
  </si>
  <si>
    <t>INJ SOL 20X4ML/8MG LDPE</t>
  </si>
  <si>
    <t>OPHTHALMO-AZULEN</t>
  </si>
  <si>
    <t>UNG OPH 1X5GM</t>
  </si>
  <si>
    <t>OPHTHALMO-SEPTONEX</t>
  </si>
  <si>
    <t>OXANTIL</t>
  </si>
  <si>
    <t>INJ 5X2ML</t>
  </si>
  <si>
    <t>OXAZEPAM TBL.20X10MG</t>
  </si>
  <si>
    <t>TBL 20X10MG(BLISTR)</t>
  </si>
  <si>
    <t>PAMBA</t>
  </si>
  <si>
    <t>INJ SOL 5X5ML/50MG</t>
  </si>
  <si>
    <t>Panadol Extra por.tbl.film. 30</t>
  </si>
  <si>
    <t>PARACETAMOL KABI 10MG/ML</t>
  </si>
  <si>
    <t>INF SOL 10X100ML/1000MG</t>
  </si>
  <si>
    <t>PARALEN</t>
  </si>
  <si>
    <t>SUP 5X500MG</t>
  </si>
  <si>
    <t>PARALEN 500</t>
  </si>
  <si>
    <t>POR TBL NOB 24X500MG</t>
  </si>
  <si>
    <t>PATENTBLAU V - MIMOŘ.DOVOZ!!!</t>
  </si>
  <si>
    <t>INJ 5X2ML/50MG</t>
  </si>
  <si>
    <t>PERLINGANIT ROZTOK</t>
  </si>
  <si>
    <t>INF SOL10X10ML AMP</t>
  </si>
  <si>
    <t>PEROXID VODÍKU 3% COO</t>
  </si>
  <si>
    <t>DRM SOL 1X100ML 3%</t>
  </si>
  <si>
    <t>PLASMALYTE ROZTOK S GLUKOZOU 5%</t>
  </si>
  <si>
    <t>INF SOL 10X1000ML</t>
  </si>
  <si>
    <t>PRENEWEL 8 MG/2,5 MG</t>
  </si>
  <si>
    <t>POR TBL NOB 30</t>
  </si>
  <si>
    <t>PRESTANCE 5 MG/10 MG</t>
  </si>
  <si>
    <t>PRESTARIUM NEO</t>
  </si>
  <si>
    <t>POR TBL FLM 30X5MG</t>
  </si>
  <si>
    <t>POR TBL FLM 90X5MG</t>
  </si>
  <si>
    <t>PRESTARIUM NEO COMBI 5mg/1,25mg</t>
  </si>
  <si>
    <t>POR TBL FLM 30</t>
  </si>
  <si>
    <t>PRESTARIUM NEO FORTE</t>
  </si>
  <si>
    <t>POR TBL FLM 30X10MG</t>
  </si>
  <si>
    <t>POR TBL FLM 90X10MG</t>
  </si>
  <si>
    <t>Propanorm 35mg/10ml inj.10 x 10 ml/35mg</t>
  </si>
  <si>
    <t>PROPOFOL-LIPURO 1 % (10MG/ML)</t>
  </si>
  <si>
    <t>INJ+INF EML 10X100ML/1000MG</t>
  </si>
  <si>
    <t>PROSTAVASIN</t>
  </si>
  <si>
    <t>INJ SIC 10X20RG</t>
  </si>
  <si>
    <t>QUAMATEL</t>
  </si>
  <si>
    <t>INJ SIC 5X20MG+SOLV</t>
  </si>
  <si>
    <t>QUETIAPINE POLPHARMA 100 MG POTAHOVANÉ TABLETY</t>
  </si>
  <si>
    <t>POR TBL FLM 60X100MG</t>
  </si>
  <si>
    <t>RAMIL 5</t>
  </si>
  <si>
    <t>POR TBLNOB 90X5MG</t>
  </si>
  <si>
    <t>Recugel oční gel 10g</t>
  </si>
  <si>
    <t>REMESTYP 1.0</t>
  </si>
  <si>
    <t>INJ 5X10ML/1MG</t>
  </si>
  <si>
    <t>RINGERFUNDIN B.BRAUN</t>
  </si>
  <si>
    <t>INF SOL 10X500ML PE</t>
  </si>
  <si>
    <t>INF SOL10X1000ML PE</t>
  </si>
  <si>
    <t>RINGERUV ROZTOK BRAUN</t>
  </si>
  <si>
    <t>INF 10X500ML(LDPE)</t>
  </si>
  <si>
    <t>INF 10X1000ML(LDPE)</t>
  </si>
  <si>
    <t>RIVOCOR 5</t>
  </si>
  <si>
    <t>ROSUCARD 20 MG POTAHOVANÉ TABLETY</t>
  </si>
  <si>
    <t>SANDOSTATIN 0.1 MG/ML</t>
  </si>
  <si>
    <t>INJ SOL 5X1ML/0.1MG</t>
  </si>
  <si>
    <t>SANORIN</t>
  </si>
  <si>
    <t>LIQ 10ML 0.05%</t>
  </si>
  <si>
    <t>SANVAL 10 MG</t>
  </si>
  <si>
    <t>POR TBL FLM 20X10MG</t>
  </si>
  <si>
    <t>SECATOXIN /R/ FORTE</t>
  </si>
  <si>
    <t>GTT 25ML 25MG/10ML</t>
  </si>
  <si>
    <t>SEEBRI BREEZHALER 44 MCG</t>
  </si>
  <si>
    <t>INH PLV CPS DUR 30X1X44RG+INH</t>
  </si>
  <si>
    <t>SERETIDE 25/50 INHALER</t>
  </si>
  <si>
    <t>INH SUS PSS 120X25/50MCG+POČ</t>
  </si>
  <si>
    <t>SEROPRAM</t>
  </si>
  <si>
    <t>INF 5X0.5ML/20MG</t>
  </si>
  <si>
    <t>SINGULAIR 4 MG GRANULE</t>
  </si>
  <si>
    <t>POR GRA 28X4MG</t>
  </si>
  <si>
    <t>SIOFOR 500</t>
  </si>
  <si>
    <t>500MG TBL FLM 120 II</t>
  </si>
  <si>
    <t>POR TBL FLM 120X500MG</t>
  </si>
  <si>
    <t>SMECTA</t>
  </si>
  <si>
    <t>PLV POR 1X10SACKU</t>
  </si>
  <si>
    <t>SOLU-MEDROL</t>
  </si>
  <si>
    <t>INJ SIC 1X40MG+1ML</t>
  </si>
  <si>
    <t>INJ SIC 1X250MG+4ML</t>
  </si>
  <si>
    <t>SOLUVIT N PRO INFUS.</t>
  </si>
  <si>
    <t>INJ SIC 10</t>
  </si>
  <si>
    <t>SOTAHEXAL 80</t>
  </si>
  <si>
    <t>POR TBL NOB 50X80MG</t>
  </si>
  <si>
    <t>POR TBL NOB 100X80MG</t>
  </si>
  <si>
    <t>SPECIES UROLOGICAE PLANTA LEROS</t>
  </si>
  <si>
    <t>SPC 20X1.5GM(SÁČKY)</t>
  </si>
  <si>
    <t>SUFENTA FORTE I.V.</t>
  </si>
  <si>
    <t>INJ 5X1ML/0.05MG</t>
  </si>
  <si>
    <t>SUFENTANIL TORREX 50 MCG/ML</t>
  </si>
  <si>
    <t>INJ SOL 5X5ML/250RG</t>
  </si>
  <si>
    <t>SUPPOSITORIA GLYCERINI LECIVA</t>
  </si>
  <si>
    <t>SUP 10X2.35GM</t>
  </si>
  <si>
    <t>SUXAMETHONIUM CHLORID VUAB 100 MG</t>
  </si>
  <si>
    <t>SYMBICORT TURBUHALER 200 MIKROGRAMŮ/ 6 MIKROGRAMŮ/</t>
  </si>
  <si>
    <t>INH PLV 1X120DÁV</t>
  </si>
  <si>
    <t>SYMBICORT TURBUHALER 400 MIKROGRAMŮ/12 MIKROGRAMŮ/</t>
  </si>
  <si>
    <t>INH PLV 1X60DÁV</t>
  </si>
  <si>
    <t>SYNTOPHYLLIN</t>
  </si>
  <si>
    <t>INJ 5X10ML/240MG</t>
  </si>
  <si>
    <t>SYNTOSTIGMIN</t>
  </si>
  <si>
    <t>TAMIFLU 75 MG</t>
  </si>
  <si>
    <t>POR CPS DUR 10X75MG</t>
  </si>
  <si>
    <t>TEGRETOL CR 400</t>
  </si>
  <si>
    <t>TBL RET 30X400MG</t>
  </si>
  <si>
    <t>TETRASPAN 10%</t>
  </si>
  <si>
    <t>INF SOL 20X500ML</t>
  </si>
  <si>
    <t>TETRASPAN 6%</t>
  </si>
  <si>
    <t>THIOPENTAL VALEANT 10x0,5g</t>
  </si>
  <si>
    <t>INJ PLV SOL 10</t>
  </si>
  <si>
    <t>THIOPENTAL VALEANT 10x1G</t>
  </si>
  <si>
    <t>TIAPRIDAL</t>
  </si>
  <si>
    <t>POR TBLNOB 50X100MG</t>
  </si>
  <si>
    <t>INJ SOL 12X2ML/100MG</t>
  </si>
  <si>
    <t>TOBRADEX</t>
  </si>
  <si>
    <t>GTT OPH 1X5ML</t>
  </si>
  <si>
    <t>TOBRADEX OČNÍ MAST</t>
  </si>
  <si>
    <t>OPH UNG 3.5GM</t>
  </si>
  <si>
    <t>TORECAN</t>
  </si>
  <si>
    <t>INJ 5X1ML/6.5MG</t>
  </si>
  <si>
    <t>TORVACARD NEO 10 MG</t>
  </si>
  <si>
    <t>TRANSMETIL 500 MG TABLETY</t>
  </si>
  <si>
    <t>POR TBL ENT 10X500MG</t>
  </si>
  <si>
    <t>TRAUMAPLANT</t>
  </si>
  <si>
    <t>UNG 1X50GM</t>
  </si>
  <si>
    <t>TRAVATAN</t>
  </si>
  <si>
    <t>OPH GTT SOL 1X2.5ML</t>
  </si>
  <si>
    <t>TRENTAL</t>
  </si>
  <si>
    <t>INF SOL 5X5ML/100MG</t>
  </si>
  <si>
    <t>TRIAMCINOLON TEVA</t>
  </si>
  <si>
    <t>DRM EML 1X30GM</t>
  </si>
  <si>
    <t>TRIPLIXAM 10 MG/2,5 MG/10 MG</t>
  </si>
  <si>
    <t>TRIPLIXAM 5 MG/1,25 MG/10 MG</t>
  </si>
  <si>
    <t>TRITTICO AC 75</t>
  </si>
  <si>
    <t>TBL RET 30X75MG</t>
  </si>
  <si>
    <t>TROMBEX 75 MG POTAHOVANÉ TABLETY</t>
  </si>
  <si>
    <t>POR TBL FLM 30X75MG</t>
  </si>
  <si>
    <t>URALYT U</t>
  </si>
  <si>
    <t>POR GRA 1X280GM</t>
  </si>
  <si>
    <t>VALSACOMBI 160 MG/12,5 MG</t>
  </si>
  <si>
    <t>POR TBL FLM 28</t>
  </si>
  <si>
    <t>VENTOLIN ROZTOK K INHALACI</t>
  </si>
  <si>
    <t>INH SOL1X20ML/120MG</t>
  </si>
  <si>
    <t>VERTIBETIS 16MG</t>
  </si>
  <si>
    <t>TBL NOB 60</t>
  </si>
  <si>
    <t>VINPOCETINE COVEX 5MG</t>
  </si>
  <si>
    <t>POR TBL NOB 50X5MG</t>
  </si>
  <si>
    <t>VITALIPID N ADULT</t>
  </si>
  <si>
    <t>INF CNC SOL 10X10ML</t>
  </si>
  <si>
    <t>VITAMIN B12 LECIVA 1000RG</t>
  </si>
  <si>
    <t>INJ 5X1ML/1000RG</t>
  </si>
  <si>
    <t>VOLUVEN  6%</t>
  </si>
  <si>
    <t>INF SOL 20X500MLVAK+P</t>
  </si>
  <si>
    <t>XADOS 20 MG TABLETY</t>
  </si>
  <si>
    <t>XANAX</t>
  </si>
  <si>
    <t>TBL 30X0.5MG</t>
  </si>
  <si>
    <t>ZODAC</t>
  </si>
  <si>
    <t>TBL OBD 30X10MG</t>
  </si>
  <si>
    <t>ZOLOFT 100MG</t>
  </si>
  <si>
    <t>TBL OBD 28X100MG</t>
  </si>
  <si>
    <t>ZOLPIDEM MYLAN</t>
  </si>
  <si>
    <t>POR TBL FLM 50X10MG</t>
  </si>
  <si>
    <t>léky - parenterální výživa (LEK)</t>
  </si>
  <si>
    <t>AMINOMIX 2 NOVUM</t>
  </si>
  <si>
    <t>INF SOL4X2000ML</t>
  </si>
  <si>
    <t>AMINOPLASMAL B.BRAUN 10%</t>
  </si>
  <si>
    <t>INF SOL 10X500ML</t>
  </si>
  <si>
    <t>AMINOPLASMAL B.BRAUN 5% E</t>
  </si>
  <si>
    <t>AMINOPLASMAL HEPA-10%</t>
  </si>
  <si>
    <t>INF 10X500ML</t>
  </si>
  <si>
    <t>ELOTRACE I.V.</t>
  </si>
  <si>
    <t>INF 10X100ML</t>
  </si>
  <si>
    <t>LIPOPLUS 20%</t>
  </si>
  <si>
    <t>INFEML10X250ML-SKLO</t>
  </si>
  <si>
    <t>INFEML10X500ML-SKLO</t>
  </si>
  <si>
    <t>NEPHROTECT</t>
  </si>
  <si>
    <t>NUTRAMIN VLI</t>
  </si>
  <si>
    <t>INF 1X500ML</t>
  </si>
  <si>
    <t>NUTRIFLEX LIPID PERI</t>
  </si>
  <si>
    <t>INF EML 5X1250ML</t>
  </si>
  <si>
    <t>NUTRIFLEX OMEGA SPECIAL</t>
  </si>
  <si>
    <t>INF EML 5X625ML</t>
  </si>
  <si>
    <t>NUTRIFLEX PERI</t>
  </si>
  <si>
    <t>INF SOL 5X2000ML</t>
  </si>
  <si>
    <t>OLICLINOMEL N8-800</t>
  </si>
  <si>
    <t>INF EML4X2000ML</t>
  </si>
  <si>
    <t>OLIMEL N9</t>
  </si>
  <si>
    <t>INF EML 6X1000ML</t>
  </si>
  <si>
    <t>OLIMEL N9E</t>
  </si>
  <si>
    <t>INF EML6x1000 ML</t>
  </si>
  <si>
    <t>SMOFLIPID</t>
  </si>
  <si>
    <t>INF EML 10X500ML</t>
  </si>
  <si>
    <t>léky - enterální výživa (LEK)</t>
  </si>
  <si>
    <t>Calogen Neutral 4x200ml</t>
  </si>
  <si>
    <t>CUBITAN S PŘÍCHUTÍ JAHODOVOU (SOL)</t>
  </si>
  <si>
    <t>POR SOL 1X200ML</t>
  </si>
  <si>
    <t>CUBITAN S PŘÍCHUTÍ VANILKOVOU</t>
  </si>
  <si>
    <t>POR SOL 4X200ML</t>
  </si>
  <si>
    <t>CUBITAN S PŘÍCHUTÍ VANILKOVOU (SOL)</t>
  </si>
  <si>
    <t>DIASIP S PŘÍCHUTÍ JAHODOVOU</t>
  </si>
  <si>
    <t>DIASIP S PŘÍCHUTÍ VANILKOVOU</t>
  </si>
  <si>
    <t>ENSURE PLUS ADVANCE BANÁN</t>
  </si>
  <si>
    <t>POR SOL 1X220ML</t>
  </si>
  <si>
    <t>ENSURE PLUS ADVANCE BANÁNOVÁ PŘÍCHUŤ</t>
  </si>
  <si>
    <t>POR SOL 4X220ML</t>
  </si>
  <si>
    <t>ENSURE PLUS ADVANCE VANILKA</t>
  </si>
  <si>
    <t>Fresubin hepa 15x500ml</t>
  </si>
  <si>
    <t>NEPRO HP 500ml vanilková</t>
  </si>
  <si>
    <t>NUTRIDRINK CREME S PŘÍCHUTÍ BANÁNOVOU</t>
  </si>
  <si>
    <t>POR SOL 4X125GM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</si>
  <si>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</si>
  <si>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</si>
  <si>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</si>
  <si>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</si>
  <si>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</si>
  <si>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JUICE STYLE S PŘÍCHUTÍ JAHODOVOU</t>
  </si>
  <si>
    <t>NUTRIDRINK S PŘÍCHUTÍ ČOKOLÁDOVOU</t>
  </si>
  <si>
    <t>NUTRIDRINK S PŘÍCHUTÍ JAHODOVOU</t>
  </si>
  <si>
    <t>NUTRIDRINK S PŘÍCHUTÍ VANILKOVOU</t>
  </si>
  <si>
    <t>NUTRISON</t>
  </si>
  <si>
    <t>POR SOL 8X1000ML</t>
  </si>
  <si>
    <t>Nutrison Advanced Diason 1000ml</t>
  </si>
  <si>
    <t>NUTRISON ADVANCED PEPTISORB</t>
  </si>
  <si>
    <t xml:space="preserve">POR SOL 1X1000ML </t>
  </si>
  <si>
    <t>Nutrison Advanced Protison 500ml</t>
  </si>
  <si>
    <t>1X500ML</t>
  </si>
  <si>
    <t>NUTRISON ENERGY MULTI FIBRE</t>
  </si>
  <si>
    <t>NUTRISON MULTI FIBRE</t>
  </si>
  <si>
    <t>POR SOL 1X1000ML-VA</t>
  </si>
  <si>
    <t>NUTRISON PROTEIN PLUS MULTI FIBRE</t>
  </si>
  <si>
    <t>POR SOL 8X500ML</t>
  </si>
  <si>
    <t>OXEPA</t>
  </si>
  <si>
    <t>POR SOL 1X500ML</t>
  </si>
  <si>
    <t>léky - krev.deriváty ZUL (TO)</t>
  </si>
  <si>
    <t>ALBUNORM 20%</t>
  </si>
  <si>
    <t>200G/L INF SOL 1X100ML</t>
  </si>
  <si>
    <t>ATENATIV</t>
  </si>
  <si>
    <t>50IU/ML INF PSO LQF 1+1X10ML</t>
  </si>
  <si>
    <t>50IU/ML INF PSO LQF 1+1X20ML</t>
  </si>
  <si>
    <t>HAEMOCOMPLETTAN P</t>
  </si>
  <si>
    <t>20MG/ML INJ/INF PLV SOL 1X1000MG</t>
  </si>
  <si>
    <t>HUMAN ALBUMIN 200 G/L BAXTER</t>
  </si>
  <si>
    <t>HUMAN ALBUMIN GRIFOLS 20%</t>
  </si>
  <si>
    <t>200MG/ML INF SOL 1X100ML</t>
  </si>
  <si>
    <t>OCPLEX</t>
  </si>
  <si>
    <t>500IU INF PSO LQF 1+1X20ML</t>
  </si>
  <si>
    <t>léky - hemofilici ZUL (TO)</t>
  </si>
  <si>
    <t>IMMUNATE STIM PLUS 1000 IU FVIII/750 IU VWF</t>
  </si>
  <si>
    <t>1000IU/750IU INJ PSO LQF 1+1X10ML</t>
  </si>
  <si>
    <t>IMMUNATE STIM PLUS 500 IU FVIII/375 IU VWF</t>
  </si>
  <si>
    <t>500IU/375IU INJ PSO LQF 1+1X5ML</t>
  </si>
  <si>
    <t>léky - antibiotika (LEK)</t>
  </si>
  <si>
    <t>ABAKTAL</t>
  </si>
  <si>
    <t>INJ 10X5ML/400MG</t>
  </si>
  <si>
    <t>ACEFA 1 G</t>
  </si>
  <si>
    <t>IMS+IVN INJ+INF PLV SOL 1X1GM</t>
  </si>
  <si>
    <t>AMIKACIN MEDOPHARM 500 MG/2 ML</t>
  </si>
  <si>
    <t>INJ+INF SOL 10X2ML/500MG</t>
  </si>
  <si>
    <t>AMOKSIKLAV 1.2GM</t>
  </si>
  <si>
    <t>INJ SIC 5X1.2GM</t>
  </si>
  <si>
    <t>AMPICILIN 1,0 BIOTIKA</t>
  </si>
  <si>
    <t>INJ PLV SOL 10X1000MG</t>
  </si>
  <si>
    <t>Ampicillin 1g inj. 100 amp. - MIMOŘ.DOVOZ!!!</t>
  </si>
  <si>
    <t>ARCHIFAR 1 G</t>
  </si>
  <si>
    <t>AXETINE 1,5GM</t>
  </si>
  <si>
    <t>INJ SIC 10X1.5GM</t>
  </si>
  <si>
    <t>AZEPO 1 G</t>
  </si>
  <si>
    <t>AZITROMYCIN SANDOZ 250 MG</t>
  </si>
  <si>
    <t>POR TBL FLM 6X250MG</t>
  </si>
  <si>
    <t>BELOGENT MAST</t>
  </si>
  <si>
    <t>BENEMICIN 300 MG</t>
  </si>
  <si>
    <t>CPS 100X300MG</t>
  </si>
  <si>
    <t>INJ 10X5ML</t>
  </si>
  <si>
    <t>CEFOTAXIME LEK 1 G PRÁŠEK PRO INJEKČNÍ ROZTOK</t>
  </si>
  <si>
    <t>IMS+IVN INJ PLV SOL 10X1GM</t>
  </si>
  <si>
    <t>CEFTAZIDIM KABI 1 GM</t>
  </si>
  <si>
    <t>INJ PLV SOL 10X1GM</t>
  </si>
  <si>
    <t>CEFTAZIDIM KABI 2 GM</t>
  </si>
  <si>
    <t>INJ+INF PLV SOL 10X2GM</t>
  </si>
  <si>
    <t>CEFTRIAXON MEDOPHARM 2 G</t>
  </si>
  <si>
    <t>IMS+IVN INJ+INF PLV SOL 10X2GM</t>
  </si>
  <si>
    <t>CEFUROXIM KABI 1500 MG</t>
  </si>
  <si>
    <t>INJ+INF PLV SOL 10X1.5GM</t>
  </si>
  <si>
    <t>CIPLOX 500</t>
  </si>
  <si>
    <t>TBL OBD 10X500MG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</si>
  <si>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</si>
  <si>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</si>
  <si>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</si>
  <si>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</si>
  <si>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</si>
  <si>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COLOMYCIN INJEKCE 1000000 IU</t>
  </si>
  <si>
    <t>INJ PLV SOL 10X1MU</t>
  </si>
  <si>
    <t>DALACIN C 300 MG</t>
  </si>
  <si>
    <t>POR CPS DUR 16X300MG</t>
  </si>
  <si>
    <t>DIFICLIR 200 MG</t>
  </si>
  <si>
    <t>POR TBL FLM 2X10X200MG</t>
  </si>
  <si>
    <t>DOXYBENE 100MG</t>
  </si>
  <si>
    <t>CPS 10X100MG</t>
  </si>
  <si>
    <t>FRAMYKOIN</t>
  </si>
  <si>
    <t>UNG 1X10GM</t>
  </si>
  <si>
    <t>FUCIDIN</t>
  </si>
  <si>
    <t>CRM 1X15GM 2%</t>
  </si>
  <si>
    <t xml:space="preserve">GENTAMICIN B.BRAUN 3 MG/ML INFUZNÍ ROZTOK </t>
  </si>
  <si>
    <t>INF SOL 20X80ML</t>
  </si>
  <si>
    <t>GENTAMICIN LEK 80 MG/2 ML</t>
  </si>
  <si>
    <t>INJ SOL 10X2ML/80MG</t>
  </si>
  <si>
    <t>KLACID I.V.</t>
  </si>
  <si>
    <t>INF PLV SOL 1X500MG</t>
  </si>
  <si>
    <t>METRONIDAZOL 500MG BRAUN</t>
  </si>
  <si>
    <t>INJ 10X100ML(LDPE)</t>
  </si>
  <si>
    <t>METRONIDAZOLE 0.5% POLFA</t>
  </si>
  <si>
    <t>INJ 1X100ML 5MG/1ML</t>
  </si>
  <si>
    <t>MOXIFLOXACIN KABI 400 MG/250 ML INFUZNÍ</t>
  </si>
  <si>
    <t>1,6MG/ML INF SOL 1X250ML</t>
  </si>
  <si>
    <t>OPHTHALMO-FRAMYKOIN</t>
  </si>
  <si>
    <t>PIPERACILLIN/TAZOBACTAM KABI 4 G/0,5 G</t>
  </si>
  <si>
    <t>INF PLV SOL 10X4.5GM</t>
  </si>
  <si>
    <t>SEFOTAK 1 G</t>
  </si>
  <si>
    <t>INJ PLV SOL 1X1GM</t>
  </si>
  <si>
    <t>SUMETROLIM</t>
  </si>
  <si>
    <t>TBL 20X480MG</t>
  </si>
  <si>
    <t>TIENAM 500 MG/500 MG I.V.</t>
  </si>
  <si>
    <t>INF PLV SOL 1X10LAH/20ML</t>
  </si>
  <si>
    <t>TYGACIL 50 MG</t>
  </si>
  <si>
    <t>INF PLV SOL 10X50MG/5ML</t>
  </si>
  <si>
    <t>UNASYN</t>
  </si>
  <si>
    <t>INJ PLV SOL 1X1.5GM</t>
  </si>
  <si>
    <t>VANCOMYCIN MYLAN 1000 MG</t>
  </si>
  <si>
    <t>INF PLV SOL 1X1GM</t>
  </si>
  <si>
    <t>VANCOMYCIN MYLAN 500 MG</t>
  </si>
  <si>
    <t>ZINNAT 500 MG</t>
  </si>
  <si>
    <t>ZYVOXID</t>
  </si>
  <si>
    <t>INF SOL 10X300ML</t>
  </si>
  <si>
    <t>léky - antimykotika (LEK)</t>
  </si>
  <si>
    <t>ECALTA 100 MG</t>
  </si>
  <si>
    <t>INF PLV CSL 100MG+30ML</t>
  </si>
  <si>
    <t>FLUCONAZOL KABI 2 MG/ML</t>
  </si>
  <si>
    <t>INF SOL 10X100ML/200MG</t>
  </si>
  <si>
    <t>INF SOL 10X200ML/400MG</t>
  </si>
  <si>
    <t>IMAZOL KRÉMPASTA</t>
  </si>
  <si>
    <t>DRM PST 1X30GM</t>
  </si>
  <si>
    <t>MYCAMINE 100 MG</t>
  </si>
  <si>
    <t>INF PLV SOL 1X100MG</t>
  </si>
  <si>
    <t>VORICONAZOLE TEVA</t>
  </si>
  <si>
    <t>200MG INF PLV SOL 1</t>
  </si>
  <si>
    <t>VORIKONAZOL SANDOZ 200 MG PRÁŠEK PRO INFUZNÍ ROZTO</t>
  </si>
  <si>
    <t>INF PLV SOL 1X200MG</t>
  </si>
  <si>
    <t>5931 - IPCHO: JIP 51</t>
  </si>
  <si>
    <t>N01AH03 - SUFENTANYL</t>
  </si>
  <si>
    <t>N05CD08 - MIDAZOLAM</t>
  </si>
  <si>
    <t>J01DD01 - CEFOTAXIM</t>
  </si>
  <si>
    <t>J01XD01 - METRONIDAZOL</t>
  </si>
  <si>
    <t>N03AX16 - PREGABALIN</t>
  </si>
  <si>
    <t>C09AA05 - RAMIPRIL</t>
  </si>
  <si>
    <t>A06AD11 - LAKTULÓZA</t>
  </si>
  <si>
    <t>B01AC04 - KLOPIDOGREL</t>
  </si>
  <si>
    <t>M01AX17 - NIMESULID</t>
  </si>
  <si>
    <t>J01DC02 - CEFUROXIM</t>
  </si>
  <si>
    <t>J01MA14 - MOXIFLOXACIN</t>
  </si>
  <si>
    <t>N06BX18 - VINPOCETIN</t>
  </si>
  <si>
    <t>C09CA01 - LOSARTAN</t>
  </si>
  <si>
    <t>N05BA12 - ALPRAZOLAM</t>
  </si>
  <si>
    <t>N02BB02 - SODNÁ SŮL METAMIZOLU</t>
  </si>
  <si>
    <t>J02AC01 - FLUKONAZOL</t>
  </si>
  <si>
    <t>C07AG02 - KARVEDILOL</t>
  </si>
  <si>
    <t>C09BA04 - PERINDOPRIL A DIURETIKA</t>
  </si>
  <si>
    <t>B02BD08 - EPTAKOG ALFA (AKTIVOVANÝ)</t>
  </si>
  <si>
    <t>C09BB04 - PERINDOPRIL A AMLODIPIN</t>
  </si>
  <si>
    <t>A10AB05 - INZULIN ASPART</t>
  </si>
  <si>
    <t>C09AA04 - PERINDOPRIL</t>
  </si>
  <si>
    <t>B01AC16 - EPTIFIBATID</t>
  </si>
  <si>
    <t>C10AA05 - ATORVASTATIN</t>
  </si>
  <si>
    <t>J05AB01 - ACIKLOVIR</t>
  </si>
  <si>
    <t>C10AA07 - ROSUVASTATIN</t>
  </si>
  <si>
    <t>C01BD01 - AMIODARON</t>
  </si>
  <si>
    <t>H01CB02 - OKTREOTID</t>
  </si>
  <si>
    <t>N03AG01 - KYSELINA VALPROOVÁ</t>
  </si>
  <si>
    <t>H02AB04 - METHYLPREDNISOLON</t>
  </si>
  <si>
    <t>N06AB04 - CITALOPRAM</t>
  </si>
  <si>
    <t>H03AA01 - LEVOTHYROXIN, SODNÁ SŮL</t>
  </si>
  <si>
    <t>J01XA01 - VANKOMYCIN</t>
  </si>
  <si>
    <t>J01AA12 - TIGECYKLIN</t>
  </si>
  <si>
    <t>J01XX08 - LINEZOLID</t>
  </si>
  <si>
    <t>J01CR05 - PIPERACILIN A ENZYMOVÝ INHIBITOR</t>
  </si>
  <si>
    <t>J02AC03 - VORIKONAZOL</t>
  </si>
  <si>
    <t>A10BA02 - METFORMIN</t>
  </si>
  <si>
    <t>J05AB06 - GANCIKLOVIR</t>
  </si>
  <si>
    <t>B01AB06 - NADROPARIN</t>
  </si>
  <si>
    <t>N01AF03 - THIOPENTAL</t>
  </si>
  <si>
    <t>N06AX11 - MIRTAZAPIN</t>
  </si>
  <si>
    <t>N01AX10 - PROPOFOL</t>
  </si>
  <si>
    <t>R03AC02 - SALBUTAMOL</t>
  </si>
  <si>
    <t>N02BE01 - PARACETAMOL</t>
  </si>
  <si>
    <t>V06XX - POTRAVINY PRO ZVLÁŠTNÍ LÉKAŘSKÉ ÚČELY (PZLÚ)</t>
  </si>
  <si>
    <t>C07AB05 - BETAXOLOL</t>
  </si>
  <si>
    <t>N05AH04 - KVETIAPIN</t>
  </si>
  <si>
    <t>C07AB07 - BISOPROLOL</t>
  </si>
  <si>
    <t>R03AK07 - FORMOTEROL A BUDESONID</t>
  </si>
  <si>
    <t>N05CF02 - ZOLPIDEM</t>
  </si>
  <si>
    <t>J01GB06 - AMIKACIN</t>
  </si>
  <si>
    <t>N06AB06 - SERTRALIN</t>
  </si>
  <si>
    <t>J01MA03 - PEFLOXACIN</t>
  </si>
  <si>
    <t>A04AA01 - ONDANSETRON</t>
  </si>
  <si>
    <t>J01DH02 - MEROPENEM</t>
  </si>
  <si>
    <t>R06AE07 - CETIRIZIN</t>
  </si>
  <si>
    <t>J01EE01 - SULFAMETHOXAZOL A TRIMETHOPRIM</t>
  </si>
  <si>
    <t>R03BB06 - GLYKOPYRRONIUM-BROMID</t>
  </si>
  <si>
    <t>J01FA10 - AZITHROMYCIN</t>
  </si>
  <si>
    <t>A02BC02 - PANTOPRAZOL</t>
  </si>
  <si>
    <t>J01FF01 - KLINDAMYCIN</t>
  </si>
  <si>
    <t>A02BC02</t>
  </si>
  <si>
    <t>214427</t>
  </si>
  <si>
    <t>40MG INJ PLV SOL 1</t>
  </si>
  <si>
    <t>214435</t>
  </si>
  <si>
    <t>CONTROLOC</t>
  </si>
  <si>
    <t>20MG TBL ENT 100</t>
  </si>
  <si>
    <t>A04AA01</t>
  </si>
  <si>
    <t>187607</t>
  </si>
  <si>
    <t>ONDANSETRON B. BRAUN</t>
  </si>
  <si>
    <t>2MG/ML INJ SOL 20X4ML II</t>
  </si>
  <si>
    <t>A06AD11</t>
  </si>
  <si>
    <t>17191</t>
  </si>
  <si>
    <t>667MG/ML SIR 500ML</t>
  </si>
  <si>
    <t>215715</t>
  </si>
  <si>
    <t>667G/L POR SOL 1X500ML HDP</t>
  </si>
  <si>
    <t>A10AB05</t>
  </si>
  <si>
    <t>26786</t>
  </si>
  <si>
    <t>NOVORAPID</t>
  </si>
  <si>
    <t>100U/ML INJ SOL 1X10ML</t>
  </si>
  <si>
    <t>A10BA02</t>
  </si>
  <si>
    <t>12354</t>
  </si>
  <si>
    <t>500MG TBL FLM 120 I</t>
  </si>
  <si>
    <t>B01AB06</t>
  </si>
  <si>
    <t>213477</t>
  </si>
  <si>
    <t>9500IU/ML INJ SOL 10X5ML</t>
  </si>
  <si>
    <t>213494</t>
  </si>
  <si>
    <t>9500IU/ML INJ SOL ISP 10X0,4ML</t>
  </si>
  <si>
    <t>B01AC04</t>
  </si>
  <si>
    <t>169251</t>
  </si>
  <si>
    <t>TROMBEX</t>
  </si>
  <si>
    <t>75MG TBL FLM 30</t>
  </si>
  <si>
    <t>B01AC16</t>
  </si>
  <si>
    <t>25744</t>
  </si>
  <si>
    <t>INTEGRILIN</t>
  </si>
  <si>
    <t>0,75MG/ML INF SOL 1X100ML</t>
  </si>
  <si>
    <t>B02BD08</t>
  </si>
  <si>
    <t>29449</t>
  </si>
  <si>
    <t>NOVOSEVEN</t>
  </si>
  <si>
    <t>2MG(100KIU) INJ PSO LQF 1+1X2,1ML II</t>
  </si>
  <si>
    <t>C01BD01</t>
  </si>
  <si>
    <t>107938</t>
  </si>
  <si>
    <t>150MG/3ML INJ SOL 6X3ML</t>
  </si>
  <si>
    <t>13767</t>
  </si>
  <si>
    <t>200MG TBL NOB 30</t>
  </si>
  <si>
    <t>13768</t>
  </si>
  <si>
    <t>200MG TBL NOB 60</t>
  </si>
  <si>
    <t>C07AB05</t>
  </si>
  <si>
    <t>49909</t>
  </si>
  <si>
    <t>LOKREN</t>
  </si>
  <si>
    <t>20MG TBL FLM 28</t>
  </si>
  <si>
    <t>C07AB07</t>
  </si>
  <si>
    <t>47740</t>
  </si>
  <si>
    <t>5MG TBL FLM 30</t>
  </si>
  <si>
    <t>C07AG02</t>
  </si>
  <si>
    <t>102596</t>
  </si>
  <si>
    <t>6,25MG TBL NOB 30</t>
  </si>
  <si>
    <t>C09AA04</t>
  </si>
  <si>
    <t>101205</t>
  </si>
  <si>
    <t>101211</t>
  </si>
  <si>
    <t>5MG TBL FLM 90</t>
  </si>
  <si>
    <t>101227</t>
  </si>
  <si>
    <t>10MG TBL FLM 30</t>
  </si>
  <si>
    <t>101233</t>
  </si>
  <si>
    <t>10MG TBL FLM 90</t>
  </si>
  <si>
    <t>C09AA05</t>
  </si>
  <si>
    <t>13476</t>
  </si>
  <si>
    <t>5MG TBL NOB 90</t>
  </si>
  <si>
    <t>C09BA04</t>
  </si>
  <si>
    <t>122685</t>
  </si>
  <si>
    <t>PRESTARIUM NEO COMBI</t>
  </si>
  <si>
    <t>5MG/1,25MG TBL FLM 30</t>
  </si>
  <si>
    <t>161623</t>
  </si>
  <si>
    <t>PRENEWEL</t>
  </si>
  <si>
    <t>8MG/2,5MG TBL NOB 30</t>
  </si>
  <si>
    <t>C09BB04</t>
  </si>
  <si>
    <t>124101</t>
  </si>
  <si>
    <t>PRESTANCE</t>
  </si>
  <si>
    <t>5MG/10MG TBL NOB 30</t>
  </si>
  <si>
    <t>C09CA01</t>
  </si>
  <si>
    <t>107166</t>
  </si>
  <si>
    <t>LORISTA 100</t>
  </si>
  <si>
    <t>100MG TBL FLM 28</t>
  </si>
  <si>
    <t>C10AA05</t>
  </si>
  <si>
    <t>204670</t>
  </si>
  <si>
    <t>TORVACARD NEO</t>
  </si>
  <si>
    <t>C10AA07</t>
  </si>
  <si>
    <t>148072</t>
  </si>
  <si>
    <t>ROSUCARD</t>
  </si>
  <si>
    <t>20MG TBL FLM 30</t>
  </si>
  <si>
    <t>H01CB02</t>
  </si>
  <si>
    <t>15245</t>
  </si>
  <si>
    <t>SANDOSTATIN</t>
  </si>
  <si>
    <t>0,1MG/ML INJ/INF SOL 5X1ML</t>
  </si>
  <si>
    <t>H02AB04</t>
  </si>
  <si>
    <t>94882</t>
  </si>
  <si>
    <t>62,5MG/ML INJ PSO LQF 250MG+4ML</t>
  </si>
  <si>
    <t>9709</t>
  </si>
  <si>
    <t>40MG/ML INJ PSO LQF 40MG+1ML</t>
  </si>
  <si>
    <t>H03AA01</t>
  </si>
  <si>
    <t>147466</t>
  </si>
  <si>
    <t>EUTHYROX</t>
  </si>
  <si>
    <t>137MCG TBL NOB 100 II</t>
  </si>
  <si>
    <t>172044</t>
  </si>
  <si>
    <t>150MCG TBL NOB 100 II</t>
  </si>
  <si>
    <t>187425</t>
  </si>
  <si>
    <t>50MCG TBL NOB 100 II</t>
  </si>
  <si>
    <t>187427</t>
  </si>
  <si>
    <t>100MCG TBL NOB 100 II</t>
  </si>
  <si>
    <t>J01AA12</t>
  </si>
  <si>
    <t>26127</t>
  </si>
  <si>
    <t>TYGACIL</t>
  </si>
  <si>
    <t>50MG INF PLV SOL 10</t>
  </si>
  <si>
    <t>J01CR05</t>
  </si>
  <si>
    <t>113453</t>
  </si>
  <si>
    <t>PIPERACILLIN/TAZOBACTAM KABI</t>
  </si>
  <si>
    <t>4G/0,5G INF PLV SOL 10</t>
  </si>
  <si>
    <t>J01DC02</t>
  </si>
  <si>
    <t>47727</t>
  </si>
  <si>
    <t>ZINNAT</t>
  </si>
  <si>
    <t>500MG TBL FLM 10</t>
  </si>
  <si>
    <t>J01DD01</t>
  </si>
  <si>
    <t>201030</t>
  </si>
  <si>
    <t>SEFOTAK</t>
  </si>
  <si>
    <t>1G INJ PLV SOL 1</t>
  </si>
  <si>
    <t>203855</t>
  </si>
  <si>
    <t>CEFOTAXIME LEK</t>
  </si>
  <si>
    <t>1G INJ PLV SOL 10</t>
  </si>
  <si>
    <t>J01DH02</t>
  </si>
  <si>
    <t>183817</t>
  </si>
  <si>
    <t>ARCHIFAR</t>
  </si>
  <si>
    <t>1G INJ/INF PLV SOL 10</t>
  </si>
  <si>
    <t>J01EE01</t>
  </si>
  <si>
    <t>11706</t>
  </si>
  <si>
    <t>80MG/16MG/ML INF CNC SOL 10X5ML</t>
  </si>
  <si>
    <t>J01FA10</t>
  </si>
  <si>
    <t>53913</t>
  </si>
  <si>
    <t>AZITROMYCIN SANDOZ</t>
  </si>
  <si>
    <t>250MG TBL FLM 6</t>
  </si>
  <si>
    <t>J01FF01</t>
  </si>
  <si>
    <t>129834</t>
  </si>
  <si>
    <t>CLINDAMYCIN KABI</t>
  </si>
  <si>
    <t>150MG/ML INJ SOL 10X2ML</t>
  </si>
  <si>
    <t>129836</t>
  </si>
  <si>
    <t>150MG/ML INJ SOL 10X4ML</t>
  </si>
  <si>
    <t>J01GB06</t>
  </si>
  <si>
    <t>195147</t>
  </si>
  <si>
    <t>AMIKACIN MEDOPHARM</t>
  </si>
  <si>
    <t>500MG/2ML INJ/INF SOL 10X2ML</t>
  </si>
  <si>
    <t>J01MA03</t>
  </si>
  <si>
    <t>94155</t>
  </si>
  <si>
    <t>400MG/5ML INF SOL 10X5ML</t>
  </si>
  <si>
    <t>J01MA14</t>
  </si>
  <si>
    <t>196370</t>
  </si>
  <si>
    <t>400MG/250ML INF SOL 1X250ML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</si>
  <si>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</si>
  <si>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</si>
  <si>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</si>
  <si>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</si>
  <si>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</si>
  <si>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</si>
  <si>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</si>
  <si>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11592</t>
  </si>
  <si>
    <t>METRONIDAZOL B. BRAUN</t>
  </si>
  <si>
    <t>5MG/ML INF SOL 10X100ML</t>
  </si>
  <si>
    <t>97000</t>
  </si>
  <si>
    <t>METRONIDAZOLE 0,5%-POLPHARMA</t>
  </si>
  <si>
    <t>5MG/ML INF SOL 1X100ML</t>
  </si>
  <si>
    <t>J01XX08</t>
  </si>
  <si>
    <t>3708</t>
  </si>
  <si>
    <t>2MG/ML INF SOL 10X300ML I</t>
  </si>
  <si>
    <t>J02AC01</t>
  </si>
  <si>
    <t>164401</t>
  </si>
  <si>
    <t>FLUCONAZOL KABI</t>
  </si>
  <si>
    <t>2MG/ML INF SOL 10X100ML</t>
  </si>
  <si>
    <t>164407</t>
  </si>
  <si>
    <t>2MG/ML INF SOL 10X200ML</t>
  </si>
  <si>
    <t>J02AC03</t>
  </si>
  <si>
    <t>196852</t>
  </si>
  <si>
    <t>VORIKONAZOL SANDOZ</t>
  </si>
  <si>
    <t>205772</t>
  </si>
  <si>
    <t>J05AB01</t>
  </si>
  <si>
    <t>155939</t>
  </si>
  <si>
    <t>250MG INF PLV SOL 10</t>
  </si>
  <si>
    <t>J05AB06</t>
  </si>
  <si>
    <t>16547</t>
  </si>
  <si>
    <t>500MG INF PLV CSL 1</t>
  </si>
  <si>
    <t>M01AX17</t>
  </si>
  <si>
    <t>12892</t>
  </si>
  <si>
    <t>100MG TBL NOB 30</t>
  </si>
  <si>
    <t>132853</t>
  </si>
  <si>
    <t>17187</t>
  </si>
  <si>
    <t>100MG POR GRA SUS 30</t>
  </si>
  <si>
    <t>N01AF03</t>
  </si>
  <si>
    <t>216673</t>
  </si>
  <si>
    <t>THIOPENTAL VALEANT</t>
  </si>
  <si>
    <t>0,5G INJ PLV SOL 10</t>
  </si>
  <si>
    <t>216674</t>
  </si>
  <si>
    <t>N01AH03</t>
  </si>
  <si>
    <t>21088</t>
  </si>
  <si>
    <t>SUFENTANIL TORREX</t>
  </si>
  <si>
    <t>50MCG/ML INJ SOL 5X5ML</t>
  </si>
  <si>
    <t>85526</t>
  </si>
  <si>
    <t>SUFENTA FORTE</t>
  </si>
  <si>
    <t>50MCG/ML INJ SOL 5X1ML</t>
  </si>
  <si>
    <t>N01AX10</t>
  </si>
  <si>
    <t>187156</t>
  </si>
  <si>
    <t>ANESIA</t>
  </si>
  <si>
    <t>10MG/ML INJ/INF EML 10X50ML</t>
  </si>
  <si>
    <t>187158</t>
  </si>
  <si>
    <t>10MG/ML INJ/INF EML 5X20ML</t>
  </si>
  <si>
    <t>187159</t>
  </si>
  <si>
    <t>20MG/ML INJ/INF EML 10X50ML</t>
  </si>
  <si>
    <t>N02BB02</t>
  </si>
  <si>
    <t>55823</t>
  </si>
  <si>
    <t>NOVALGIN TABLETY</t>
  </si>
  <si>
    <t>500MG TBL FLM 20</t>
  </si>
  <si>
    <t>7981</t>
  </si>
  <si>
    <t>NOVALGIN INJEKCE</t>
  </si>
  <si>
    <t>500MG/ML INJ SOL 10X2ML</t>
  </si>
  <si>
    <t>N02BE01</t>
  </si>
  <si>
    <t>157875</t>
  </si>
  <si>
    <t>PARACETAMOL KABI</t>
  </si>
  <si>
    <t>10MG/ML INF SOL 10X100ML</t>
  </si>
  <si>
    <t>N03AG01</t>
  </si>
  <si>
    <t>151050</t>
  </si>
  <si>
    <t>400MG/4ML INJ PSO LQF 4+4X4ML</t>
  </si>
  <si>
    <t>N03AX16</t>
  </si>
  <si>
    <t>28216</t>
  </si>
  <si>
    <t>LYRICA</t>
  </si>
  <si>
    <t>75MG CPS DUR 14</t>
  </si>
  <si>
    <t>28217</t>
  </si>
  <si>
    <t>75MG CPS DUR 56</t>
  </si>
  <si>
    <t>28222</t>
  </si>
  <si>
    <t>150MG CPS DUR 14</t>
  </si>
  <si>
    <t>N05AH04</t>
  </si>
  <si>
    <t>142866</t>
  </si>
  <si>
    <t>QUETIAPINE POLPHARMA</t>
  </si>
  <si>
    <t>100MG TBL FLM 6X10</t>
  </si>
  <si>
    <t>N05BA12</t>
  </si>
  <si>
    <t>90959</t>
  </si>
  <si>
    <t>0,5MG TBL NOB 30</t>
  </si>
  <si>
    <t>N05CD08</t>
  </si>
  <si>
    <t>127736</t>
  </si>
  <si>
    <t>MIDAZOLAM ACCORD</t>
  </si>
  <si>
    <t>1MG/ML INJ/INF SOL 10X5ML</t>
  </si>
  <si>
    <t>127737</t>
  </si>
  <si>
    <t>5MG/ML INJ/INF SOL 10X1ML</t>
  </si>
  <si>
    <t>127738</t>
  </si>
  <si>
    <t>5MG/ML INJ/INF SOL 10X3ML</t>
  </si>
  <si>
    <t>184095</t>
  </si>
  <si>
    <t>5MG/ML INJ/INF SOL 10X10ML</t>
  </si>
  <si>
    <t>198757</t>
  </si>
  <si>
    <t>MIDAZOLAM B. BRAUN</t>
  </si>
  <si>
    <t>1MG/ML INJ/INF/RCT SOL 10X50ML</t>
  </si>
  <si>
    <t>N05CF02</t>
  </si>
  <si>
    <t>146894</t>
  </si>
  <si>
    <t>10MG TBL FLM 20</t>
  </si>
  <si>
    <t>146899</t>
  </si>
  <si>
    <t>10MG TBL FLM 50</t>
  </si>
  <si>
    <t>N06AB04</t>
  </si>
  <si>
    <t>17425</t>
  </si>
  <si>
    <t>17431</t>
  </si>
  <si>
    <t>N06AB06</t>
  </si>
  <si>
    <t>53951</t>
  </si>
  <si>
    <t>ZOLOFT</t>
  </si>
  <si>
    <t>N06AX11</t>
  </si>
  <si>
    <t>146071</t>
  </si>
  <si>
    <t>MIRTAZAPIN MYLAN</t>
  </si>
  <si>
    <t>30MG POR TBL DIS 30</t>
  </si>
  <si>
    <t>N06BX18</t>
  </si>
  <si>
    <t>68651</t>
  </si>
  <si>
    <t>VINPOCETINE COVEX</t>
  </si>
  <si>
    <t>5MG TBL NOB 50</t>
  </si>
  <si>
    <t>R03AC02</t>
  </si>
  <si>
    <t>58380</t>
  </si>
  <si>
    <t>VENTOLIN</t>
  </si>
  <si>
    <t>5MG/ML INH SOL 1X20ML</t>
  </si>
  <si>
    <t>R03AK07</t>
  </si>
  <si>
    <t>180081</t>
  </si>
  <si>
    <t>SYMBICORT TURBUHALER 400 MIKROGRAMŮ/12 MIKROGRAMŮ/INHALACE</t>
  </si>
  <si>
    <t>320MCG/9MCG INH PLV 1X60DÁV</t>
  </si>
  <si>
    <t>180087</t>
  </si>
  <si>
    <t>SYMBICORT TURBUHALER 200 MIKROGRAMŮ/ 6 MIKROGRAMŮ/ INHALACE</t>
  </si>
  <si>
    <t>160MCG/4,5MCG INH PLV 1X120DÁV</t>
  </si>
  <si>
    <t>R03BB06</t>
  </si>
  <si>
    <t>193552</t>
  </si>
  <si>
    <t>SEEBRI BREEZHALER</t>
  </si>
  <si>
    <t>44MCG INH PLV CPS DUR 30X1+1INH</t>
  </si>
  <si>
    <t>R06AE07</t>
  </si>
  <si>
    <t>66030</t>
  </si>
  <si>
    <t>V06XX</t>
  </si>
  <si>
    <t>217110</t>
  </si>
  <si>
    <t>33339</t>
  </si>
  <si>
    <t>33340</t>
  </si>
  <si>
    <t>33341</t>
  </si>
  <si>
    <t>33343</t>
  </si>
  <si>
    <t>CUBITAN S PŘÍCHUTÍ JAHODOVOU</t>
  </si>
  <si>
    <t>33423</t>
  </si>
  <si>
    <t>POR SOL 1X1000ML</t>
  </si>
  <si>
    <t>33530</t>
  </si>
  <si>
    <t>33749</t>
  </si>
  <si>
    <t>POR SOL 4X125G</t>
  </si>
  <si>
    <t>33750</t>
  </si>
  <si>
    <t>33751</t>
  </si>
  <si>
    <t>33752</t>
  </si>
  <si>
    <t>NUTRIDRINK CREME S PŘÍCHUTÍ LESNÍHO OVOCE</t>
  </si>
  <si>
    <t>33847</t>
  </si>
  <si>
    <t>33848</t>
  </si>
  <si>
    <t>33858</t>
  </si>
  <si>
    <t>33859</t>
  </si>
  <si>
    <t>33935</t>
  </si>
  <si>
    <t>Přehled plnění pozitivního listu - spotřeba léčivých přípravků - orientační přehled</t>
  </si>
  <si>
    <t>59 - Oddělení intenzivní péče chirurgických oborů</t>
  </si>
  <si>
    <t>5931 - JIP 51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</si>
  <si>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</si>
  <si>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</si>
  <si>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</si>
  <si>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</si>
  <si>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</si>
  <si>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</si>
  <si>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</si>
  <si>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</si>
  <si>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</si>
  <si>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</si>
  <si>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50115090 - ZPr - zubolékařský materiál (Z509)</t>
  </si>
  <si>
    <t>50115020</t>
  </si>
  <si>
    <t>laboratorní diagnostika-LEK (Z501)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</si>
  <si>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</si>
  <si>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</si>
  <si>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</si>
  <si>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</si>
  <si>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</si>
  <si>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</si>
  <si>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</si>
  <si>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</si>
  <si>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DH759</t>
  </si>
  <si>
    <t>Bactec Lytic/ 10 Anaerobic- plastic</t>
  </si>
  <si>
    <t>DG382</t>
  </si>
  <si>
    <t>Bactec Plus Aerobic</t>
  </si>
  <si>
    <t>DH758</t>
  </si>
  <si>
    <t>Bactec Plus Aerobic-plastic</t>
  </si>
  <si>
    <t>DG385</t>
  </si>
  <si>
    <t>Bactec Plus Anaerobic</t>
  </si>
  <si>
    <t>DH594</t>
  </si>
  <si>
    <t>Cartridge complete</t>
  </si>
  <si>
    <t>DG395</t>
  </si>
  <si>
    <t>Diagnostická souprava AB0 set monoklonální na 30</t>
  </si>
  <si>
    <t>DB437</t>
  </si>
  <si>
    <t>KALIBRACNI PLYN 1(10 bar)</t>
  </si>
  <si>
    <t>DC853</t>
  </si>
  <si>
    <t>KALIBRACNI PLYN 2</t>
  </si>
  <si>
    <t>DF171</t>
  </si>
  <si>
    <t>KALIBRAČNÍ ROZTOK 1  S1820 (ABL 825)</t>
  </si>
  <si>
    <t>DF166</t>
  </si>
  <si>
    <t>KALIBRAČNÍ ROZTOK 2  S1830 (ABL 825)</t>
  </si>
  <si>
    <t>DD309</t>
  </si>
  <si>
    <t>Laktátová membránová souprava</t>
  </si>
  <si>
    <t>DD076</t>
  </si>
  <si>
    <t>MEMBRÁNOVÁ SOUPRAVA pO2</t>
  </si>
  <si>
    <t>DF170</t>
  </si>
  <si>
    <t>NOVÝ ČISTÍCÍ ROZTOK s aditivem, S8375 (ABL 825)</t>
  </si>
  <si>
    <t>DF445</t>
  </si>
  <si>
    <t>Odpadni nadoba D512 600 ml</t>
  </si>
  <si>
    <t>DF169</t>
  </si>
  <si>
    <t>PROPLACHOVACÍ ROZTOK 600 ml S4980 (ABL 825)</t>
  </si>
  <si>
    <t>DA002</t>
  </si>
  <si>
    <t>PROUZKY TETRAPHAN DIA  KATALOGO</t>
  </si>
  <si>
    <t>50115040</t>
  </si>
  <si>
    <t>laboratorní materiál (Z505)</t>
  </si>
  <si>
    <t>ZC048</t>
  </si>
  <si>
    <t>Miska třecí drsná 211a/0 6,0 cm JIZE211A/0</t>
  </si>
  <si>
    <t>ZC052</t>
  </si>
  <si>
    <t>Tlouček drsný 24 x 115 mm JIZE213A/1</t>
  </si>
  <si>
    <t>50115050</t>
  </si>
  <si>
    <t>obvazový materiál (Z502)</t>
  </si>
  <si>
    <t>ZF749</t>
  </si>
  <si>
    <t>Fixace nosních katetrů nasofix niko střední S+M, bal. á 100 ks 49-625-S-M</t>
  </si>
  <si>
    <t>ZA454</t>
  </si>
  <si>
    <t>Kompresa AB 10 x 10 cm/1 ks sterilní NT savá (1230114011) 1327114011</t>
  </si>
  <si>
    <t>Kompresa AB 10 x 10 cm/1 ks sterilní NT savá 1230114011</t>
  </si>
  <si>
    <t>ZA459</t>
  </si>
  <si>
    <t>Kompresa AB 10 x 20 cm/1 ks sterilní NT savá 1230114021</t>
  </si>
  <si>
    <t>ZC846</t>
  </si>
  <si>
    <t>Kompresa AB 15 x 25 cm/1 ks sterilní NT savá (1230114031) 1327114031</t>
  </si>
  <si>
    <t>Kompresa AB 15 x 25 cm/1 ks sterilní NT savá 1230114031</t>
  </si>
  <si>
    <t>ZA563</t>
  </si>
  <si>
    <t>Kompresa AB 20 x 20 cm/1 ks sterilní NT savá (1230114041) 1327114041</t>
  </si>
  <si>
    <t>ZA561</t>
  </si>
  <si>
    <t>Kompresa AB 20 x 40 cm/1 ks sterilní NT savá (1230114051) 1327114051</t>
  </si>
  <si>
    <t>Kompresa AB 20 x 40 cm/1 ks sterilní NT savá 1230114051</t>
  </si>
  <si>
    <t>ZD668</t>
  </si>
  <si>
    <t>Kompresa gáza 10 x 10 cm/5 ks sterilní 1325019275</t>
  </si>
  <si>
    <t>ZA539</t>
  </si>
  <si>
    <t>Kompresa NT 10 x 10 cm nesterilní 06103</t>
  </si>
  <si>
    <t>ZA464</t>
  </si>
  <si>
    <t>Kompresa NT 10 x 10 cm/2 ks sterilní 26520</t>
  </si>
  <si>
    <t>ZC506</t>
  </si>
  <si>
    <t>Kompresa NT 10 x 10 cm/5 ks sterilní 1325020275</t>
  </si>
  <si>
    <t>ZA463</t>
  </si>
  <si>
    <t>Kompresa NT 10 x 20 cm/2 ks sterilní 26620</t>
  </si>
  <si>
    <t>ZC845</t>
  </si>
  <si>
    <t>Kompresa NT 10 x 20 cm/5 ks sterilní 26621</t>
  </si>
  <si>
    <t>ZA643</t>
  </si>
  <si>
    <t>Kompresa vliwasoft 10 x 20 nesterilní á 100 ks 12070</t>
  </si>
  <si>
    <t>ZK087</t>
  </si>
  <si>
    <t>Krém cavilon ochranný bariérový á 28 g bal. á 12 ks 3391E</t>
  </si>
  <si>
    <t>ZA478</t>
  </si>
  <si>
    <t>Krytí actisorb plus 10,5 x 10,5 cm bal. á 10 ks s aktivním uhlím SYSMAP105EE</t>
  </si>
  <si>
    <t>ZD819</t>
  </si>
  <si>
    <t>Krytí debrisoft 10 x 10 cm bal. á 5 ks 31222</t>
  </si>
  <si>
    <t>ZD482</t>
  </si>
  <si>
    <t>Krytí filmové transparentní Opsite spray 240 ml bal. á 12 ks 66004980</t>
  </si>
  <si>
    <t>ZA664</t>
  </si>
  <si>
    <t>Krytí gelové hydrokoloidní Flamigel 250 ml 1002-C</t>
  </si>
  <si>
    <t>Krytí gelové hydrokoloidní Flamigel 250 ml 1002-C AKCE 5 + 1 zdarma</t>
  </si>
  <si>
    <t>ZK405</t>
  </si>
  <si>
    <t>Krytí hemostatické gelitaspon standard 80 x 50 mm x 10 mm bal. á 10 ks A2107861</t>
  </si>
  <si>
    <t>ZA550</t>
  </si>
  <si>
    <t>Krytí hydrogelové nu-gel 25 g bal. á 6 ks MNG425</t>
  </si>
  <si>
    <t>ZA325</t>
  </si>
  <si>
    <t>Krytí hypro-sorb R 65 x 55 mm 002 - již se nevyrábí</t>
  </si>
  <si>
    <t>ZA544</t>
  </si>
  <si>
    <t>Krytí inadine nepřilnavé 5,0 x 5,0 cm 1/10 SYS01481EE</t>
  </si>
  <si>
    <t>ZA547</t>
  </si>
  <si>
    <t>Krytí inadine nepřilnavé 9,5 x 9,5 cm 1/10 SYS01512EE</t>
  </si>
  <si>
    <t>ZO429</t>
  </si>
  <si>
    <t>Krytí Lavanid 1 roztok 0,02% Polyhexanid 1000 ml bal. á 6 ks 014127</t>
  </si>
  <si>
    <t>ZO430</t>
  </si>
  <si>
    <t>Krytí Lavanid 2 roztok 0,04% Polyhexanid 1000 ml bal. á 6 ks 014227</t>
  </si>
  <si>
    <t>ZO431</t>
  </si>
  <si>
    <t>Krytí Lavanid gel na rány stříkačka á 10 g bal. á 12 ks 015271</t>
  </si>
  <si>
    <t>ZF042</t>
  </si>
  <si>
    <t>Krytí mastný tyl jelonet 10 x 10 cm á 10 ks 7404</t>
  </si>
  <si>
    <t>ZL664</t>
  </si>
  <si>
    <t>Krytí mastný tyl pharmatull 10 x 20 cm bal. á 10 ks P-Tull1020</t>
  </si>
  <si>
    <t>ZD633</t>
  </si>
  <si>
    <t>Krytí mepilex border sacrum 18 x 18 cm bal. á 5 ks 282000-01</t>
  </si>
  <si>
    <t>ZA537</t>
  </si>
  <si>
    <t>Krytí mepilex heel 13 x 20 cm bal. á 5 ks 288100-01</t>
  </si>
  <si>
    <t>ZD631</t>
  </si>
  <si>
    <t>Krytí pharmafoam-trach. s výřezem 8 x 8 cm bal. á 10 ks P-Tracheo 808</t>
  </si>
  <si>
    <t>ZD632</t>
  </si>
  <si>
    <t>Krytí pharmapore silver-polšt. se stříbrem 8 x 10 cm bal. á 100 ks P8010S</t>
  </si>
  <si>
    <t>ZK404</t>
  </si>
  <si>
    <t>Krytí prontosan roztok 350 ml 400416</t>
  </si>
  <si>
    <t>ZA324</t>
  </si>
  <si>
    <t>Krytí tegaderm 10,0 cm x 12,0 cm bal. á 50 ks 1626W</t>
  </si>
  <si>
    <t>ZC702</t>
  </si>
  <si>
    <t>Krytí tegaderm 6,0 cm x 7,0 cm bal. á 100 ks 1624W</t>
  </si>
  <si>
    <t>ZA479</t>
  </si>
  <si>
    <t>Krytí tielle pěnové 11 x 11 cm bal. á 10 ks SYS MTL101 EE</t>
  </si>
  <si>
    <t>ZA562</t>
  </si>
  <si>
    <t>Náplast cosmopor i. v. 6 x 8 cm bal. á 50 ks 9008054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</si>
  <si>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</si>
  <si>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</si>
  <si>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</si>
  <si>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</si>
  <si>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</si>
  <si>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</si>
  <si>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</si>
  <si>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</si>
  <si>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</si>
  <si>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22126 ( náhrada za cosmopor )</t>
  </si>
  <si>
    <t>ZA418</t>
  </si>
  <si>
    <t>Náplast metaline pod TS 8 x 9 cm 23094</t>
  </si>
  <si>
    <t>ZH012</t>
  </si>
  <si>
    <t>Náplast micropore 2,50 cm x 9,10 m 840W-1</t>
  </si>
  <si>
    <t>ZA419</t>
  </si>
  <si>
    <t>Náplast octacare cotton tape- betaplast 10 cm x 5 m (510W) 10510</t>
  </si>
  <si>
    <t>ZC885</t>
  </si>
  <si>
    <t>Náplast omnifix E 10 cm x 10 m 900650</t>
  </si>
  <si>
    <t>ZA451</t>
  </si>
  <si>
    <t>Náplast omniplast 5,0 cm x 9,2 m 9004540 (900429)</t>
  </si>
  <si>
    <t>ZA318</t>
  </si>
  <si>
    <t>Náplast transpore 1,25 cm x 9,14 m 1527-0</t>
  </si>
  <si>
    <t>ZB084</t>
  </si>
  <si>
    <t>Náplast transpore 2,50 cm x 9,14 m 1527-1</t>
  </si>
  <si>
    <t>ZN477</t>
  </si>
  <si>
    <t>Obinadlo elastické universal 12 cm x 5 m 1323100314</t>
  </si>
  <si>
    <t>ZN476</t>
  </si>
  <si>
    <t>Obinadlo elastické universal 15 cm x 5 m 1323100315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</si>
  <si>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</si>
  <si>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</si>
  <si>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</si>
  <si>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</si>
  <si>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</si>
  <si>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</si>
  <si>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ZA008</t>
  </si>
  <si>
    <t>Obvaz elastický síťový pruban č. 10 427310</t>
  </si>
  <si>
    <t>ZA437</t>
  </si>
  <si>
    <t>Obvaz elastický síťový pruban č. 14 427314</t>
  </si>
  <si>
    <t>ZN468</t>
  </si>
  <si>
    <t>Obvaz elastický síťový pruban č. 3 chodidlo, holeň, loket 1323300230</t>
  </si>
  <si>
    <t>ZL975</t>
  </si>
  <si>
    <t>Pěna renasys-F malý set (S) 66800794</t>
  </si>
  <si>
    <t>ZL973</t>
  </si>
  <si>
    <t>Pěna renasys-F střední set (M) 66800795</t>
  </si>
  <si>
    <t>ZL974</t>
  </si>
  <si>
    <t>Pěna renasys-F velký set (L) 66800796</t>
  </si>
  <si>
    <t>ZP326</t>
  </si>
  <si>
    <t>Sprej chladivý KELEN - chloraethyl  100 ml 735477</t>
  </si>
  <si>
    <t>ZA442</t>
  </si>
  <si>
    <t>Steh náplasťový Steri-strip 6 x 75 mm bal. á 50 ks R1541</t>
  </si>
  <si>
    <t>ZA444</t>
  </si>
  <si>
    <t>Tampon nesterilní stáčený 20 x 19 cm bez RTG nití bal. á 100 ks 1320300404</t>
  </si>
  <si>
    <t>ZA593</t>
  </si>
  <si>
    <t>Tampon sterilní stáčený 20 x 20 cm / 5 ks 28003+</t>
  </si>
  <si>
    <t>ZE898</t>
  </si>
  <si>
    <t>Tampon sterilní stáčený 50 x 50 cm / á 5 ks 28017</t>
  </si>
  <si>
    <t>ZA617</t>
  </si>
  <si>
    <t>Tampon TC-OC k ošetření dutiny ústní á 250 ks 12240</t>
  </si>
  <si>
    <t>ZA558</t>
  </si>
  <si>
    <t>Tampon-gazin sterilní bal. á 125 ks 14962</t>
  </si>
  <si>
    <t>ZP327</t>
  </si>
  <si>
    <t>Tyčinka na bradavice Lapis – Čertův Kamínek,Stilus Argenti Nitrici (tyčinka dusičnanu stříbrného) balení 1 tyčinka 709959</t>
  </si>
  <si>
    <t>ZA466</t>
  </si>
  <si>
    <t>Tyčinka vatová sterilní 14 cm bal. á 200 ks 9679501</t>
  </si>
  <si>
    <t>ZM769</t>
  </si>
  <si>
    <t>Ubrousky cavilon pro péči při inkontinenci 8 ubrousků 20 x 30 cm bal. á 96 ks 9274 DH888843488</t>
  </si>
  <si>
    <t>ZC100</t>
  </si>
  <si>
    <t>Vata buničitá dělená 2 role / 500 ks 40 x 50 mm 1230200310</t>
  </si>
  <si>
    <t>ZA446</t>
  </si>
  <si>
    <t>Vata buničitá přířezy 20 x 30 cm 1230200129</t>
  </si>
  <si>
    <t>ZA067</t>
  </si>
  <si>
    <t>Verba č. 3 - břišní pás 85 - 95 cm 932533</t>
  </si>
  <si>
    <t>ZA066</t>
  </si>
  <si>
    <t>Verba č. 4 - břišní pás 95 - 105 cm 932534</t>
  </si>
  <si>
    <t>ZA530</t>
  </si>
  <si>
    <t>Vložky hygienické samu 7162212</t>
  </si>
  <si>
    <t>50115060</t>
  </si>
  <si>
    <t>ZPr - ostatní (Z503)</t>
  </si>
  <si>
    <t>ZB621</t>
  </si>
  <si>
    <t>Adaptér respiflo MN 1072</t>
  </si>
  <si>
    <t>ZD650</t>
  </si>
  <si>
    <t>Aquapak - sterilní voda 340 ml s adaptérem bal. á 20 ks 400340</t>
  </si>
  <si>
    <t>ZN618</t>
  </si>
  <si>
    <t>Brýle kyslíkové pro dospělé bal. á 100 ks A0100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</si>
  <si>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</si>
  <si>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</si>
  <si>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</si>
  <si>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</si>
  <si>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</si>
  <si>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</si>
  <si>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</si>
  <si>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</si>
  <si>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ZC751</t>
  </si>
  <si>
    <t>Čepelka skalpelová 11 BB511</t>
  </si>
  <si>
    <t>ZC755</t>
  </si>
  <si>
    <t>Čepelka skalpelová 22 BB522</t>
  </si>
  <si>
    <t>ZC756</t>
  </si>
  <si>
    <t>Čepelka skalpelová 23 BB523</t>
  </si>
  <si>
    <t>ZA204</t>
  </si>
  <si>
    <t>Drát zaváděcí á 25 ks AW-04432</t>
  </si>
  <si>
    <t>ZB770</t>
  </si>
  <si>
    <t>Držák jehly excentrický Holdex 450263</t>
  </si>
  <si>
    <t>ZB771</t>
  </si>
  <si>
    <t>Držák jehly základní 450201</t>
  </si>
  <si>
    <t>ZA696</t>
  </si>
  <si>
    <t>Elektroda EKG ARBO H92 31.1925.21</t>
  </si>
  <si>
    <t>ZC648</t>
  </si>
  <si>
    <t>Elektroda EKG pěnová pr. 55 mm pro dospělé H-108002</t>
  </si>
  <si>
    <t>ZA738</t>
  </si>
  <si>
    <t>Filtr mini spike zelený 4550242</t>
  </si>
  <si>
    <t>ZL951</t>
  </si>
  <si>
    <t>Hadička prodlužovací PVC 150 cm pro světlocitlivé léky NO DOP bal. á 20  ks V686423-ND</t>
  </si>
  <si>
    <t>ZN298</t>
  </si>
  <si>
    <t>Hadička spojovací Gamaplus 1,8 x 1800 LL NO DOP 606304-ND</t>
  </si>
  <si>
    <t>ZN299</t>
  </si>
  <si>
    <t>Hadička spojovací Gamaplus 1,8 x 1800 UNIV NO DOP 606307-ND</t>
  </si>
  <si>
    <t>ZN297</t>
  </si>
  <si>
    <t>Hadička spojovací Gamaplus 1,8 x 450 LL NO DOP 606301-ND</t>
  </si>
  <si>
    <t>ZN296</t>
  </si>
  <si>
    <t>Hadička spojovací Gamaplus 1,8 x 450 UNIV NO DOP 606306-ND</t>
  </si>
  <si>
    <t>ZN044</t>
  </si>
  <si>
    <t>Hadička spojovací PE červená 2,0 x 2000 mm LL bal. á 200 ks 12003200E</t>
  </si>
  <si>
    <t>ZA978</t>
  </si>
  <si>
    <t>Houbička odsávací s reg. vakua 2201</t>
  </si>
  <si>
    <t>ZC738</t>
  </si>
  <si>
    <t>Husí krk Expandi-flex bal. á 25 ks 22362</t>
  </si>
  <si>
    <t>ZC943</t>
  </si>
  <si>
    <t>Kanyla ET 7,0 s manžetou bal. á 10 ks 112482-000070</t>
  </si>
  <si>
    <t>ZD730</t>
  </si>
  <si>
    <t>Kanyla ET 7,5 s manžetou bal. á 10 ks 112482-000075</t>
  </si>
  <si>
    <t>ZB330</t>
  </si>
  <si>
    <t>Kanyla ET 8,0 s manžetou bal. á 10 ks 112482-000080</t>
  </si>
  <si>
    <t>ZH335</t>
  </si>
  <si>
    <t>Kanyla TS 7,0 s manžetou bal. á 2 ks 100/523/070</t>
  </si>
  <si>
    <t>ZA725</t>
  </si>
  <si>
    <t>Kanyla TS 8,0 s manžetou bal. á 10 ks 100/860/080</t>
  </si>
  <si>
    <t>ZB314</t>
  </si>
  <si>
    <t>Kanyla TS 8,0 s manžetou bal. á 2 ks 100/523/080</t>
  </si>
  <si>
    <t>ZB056</t>
  </si>
  <si>
    <t>Kanyla TS 8,5 s manžetou bal. á 10 ks 100/800/085</t>
  </si>
  <si>
    <t>ZB548</t>
  </si>
  <si>
    <t>Kanyla TS 9,0 s manžetou bal. á 10 ks 100/800/090</t>
  </si>
  <si>
    <t>ZB263</t>
  </si>
  <si>
    <t>Kanyla TS 9,0 s manžetou bal. á 2 ks 100/523/090</t>
  </si>
  <si>
    <t>ZF018</t>
  </si>
  <si>
    <t>Kanyla vasofix 16G šedá safety 4269179S-01</t>
  </si>
  <si>
    <t>ZD809</t>
  </si>
  <si>
    <t>Kanyla vasofix 20G růžová safety 4269110S-01</t>
  </si>
  <si>
    <t>ZB724</t>
  </si>
  <si>
    <t>Kapilára sedimentační kalibrovaná 727111</t>
  </si>
  <si>
    <t>ZC490</t>
  </si>
  <si>
    <t>Kartáček zubní s odsáváním P2220</t>
  </si>
  <si>
    <t>ZF985</t>
  </si>
  <si>
    <t>Katetr močový foley 24CH bal. á 12 ks 1620-02</t>
  </si>
  <si>
    <t>ZJ310</t>
  </si>
  <si>
    <t>Katetr močový foley CH12 180605-000120</t>
  </si>
  <si>
    <t>ZN410</t>
  </si>
  <si>
    <t>Katetr močový nelaton 16CH Silasil balónkový 28 dní bal. á 10 ks 186005-000160</t>
  </si>
  <si>
    <t>ZN411</t>
  </si>
  <si>
    <t>Katetr močový nelaton 18CH Silasil balónkový 28 dní bal. á 10 ks 186005-000180</t>
  </si>
  <si>
    <t>ZK884</t>
  </si>
  <si>
    <t>Kohout trojcestný discofix modrý 4095111</t>
  </si>
  <si>
    <t>ZB477</t>
  </si>
  <si>
    <t>Kohout trojcestný lopez valve AA-011-M9000 S</t>
  </si>
  <si>
    <t>ZJ659</t>
  </si>
  <si>
    <t>Kohout trojcestný s bezjehlovým konektorem Discofix C bal. á 100 ks 16494CSF</t>
  </si>
  <si>
    <t>ZO372</t>
  </si>
  <si>
    <t>Konektor bezjehlový OptiSyte JIM:JSM4001</t>
  </si>
  <si>
    <t>ZM513</t>
  </si>
  <si>
    <t>Konektor ventil jednocestný back check valve 8502802</t>
  </si>
  <si>
    <t>ZO930</t>
  </si>
  <si>
    <t>Kontejner 100 ml PP 72/62 mm s přiloženým uzávěrem bílé víčko sterilní na tekutý materiál 75.562.105</t>
  </si>
  <si>
    <t>ZB780</t>
  </si>
  <si>
    <t>Kontejner 120 ml sterilní á 50 ks FLME25035</t>
  </si>
  <si>
    <t>ZP078</t>
  </si>
  <si>
    <t>Kontejner 25 ml PP šroubový sterilní uzávěr 2680/EST/SG</t>
  </si>
  <si>
    <t>ZD190</t>
  </si>
  <si>
    <t>Kyveta CO2 pro dospělé á 10 ks MP01062</t>
  </si>
  <si>
    <t>ZB054</t>
  </si>
  <si>
    <t>Láhev 2,00 l šroubový uzávěr 000-030-000 (111-888-200)</t>
  </si>
  <si>
    <t>ZB103</t>
  </si>
  <si>
    <t>Láhev k odsávačce flovac 2l hadice 1,8 m 000-036-021</t>
  </si>
  <si>
    <t>ZC059</t>
  </si>
  <si>
    <t>Láhev redon drenofast 400 ml-kompletní bal. á 40 ks 28 400</t>
  </si>
  <si>
    <t>ZB361</t>
  </si>
  <si>
    <t>Láhev respiflo 1000 ml 21000</t>
  </si>
  <si>
    <t>ZA728</t>
  </si>
  <si>
    <t>Lopatka ústní dřevěná lékařská nesterilní bal. á 100 ks 1320100655</t>
  </si>
  <si>
    <t>ZH299</t>
  </si>
  <si>
    <t>Lžíce laryngoskopická 3 bal. á 10 ks 670150-100030</t>
  </si>
  <si>
    <t>ZH300</t>
  </si>
  <si>
    <t>Lžíce laryngoskopická 4 bal. á 10 ks 670150-100040</t>
  </si>
  <si>
    <t>ZP187</t>
  </si>
  <si>
    <t>Lžíce laryngoskopická č. 4 jednorázová kovová McIntosh vláknová optika bal. á 10 ks 810-401-04</t>
  </si>
  <si>
    <t>ZB812</t>
  </si>
  <si>
    <t>Manžeta fixační Ute-Fix bal. á 20 ks NKS:40-05</t>
  </si>
  <si>
    <t>ZE203</t>
  </si>
  <si>
    <t>Manžeta TK k monitoru Mindray a další jednohadičková s vložkou 18 - 26 cm dětská MEC 1200 NIBPHPD</t>
  </si>
  <si>
    <t>ZE195</t>
  </si>
  <si>
    <t>Manžeta TK k monitoru Mindray a další jednohadičková s vložkou 25 - 35 cm dospělá MEC 1200 NIBPHPA</t>
  </si>
  <si>
    <t>ZB038</t>
  </si>
  <si>
    <t>Medisize hydrovent S filt./HM</t>
  </si>
  <si>
    <t>ZA713</t>
  </si>
  <si>
    <t>Měřič žilního tlaku 01 646992</t>
  </si>
  <si>
    <t>ZB948</t>
  </si>
  <si>
    <t>Mikronebulizér MicroMist bal. á 50 ks 41891</t>
  </si>
  <si>
    <t>ZE159</t>
  </si>
  <si>
    <t>Nádoba na kontaminovaný odpad 2 l 15-0003</t>
  </si>
  <si>
    <t>ZF911</t>
  </si>
  <si>
    <t>Nůžky oční rovné 105 mm B397113920043</t>
  </si>
  <si>
    <t>ZB439</t>
  </si>
  <si>
    <t>Odstraňovač náplastí Convacare á 100 ks 0011279 37443</t>
  </si>
  <si>
    <t>ZC948</t>
  </si>
  <si>
    <t>Páska bepa clip pro TS kanylu s háčky 31-43 cm á 12 ks NKS:200443</t>
  </si>
  <si>
    <t>ZF512</t>
  </si>
  <si>
    <t>Páska bepa clip vario pro TS kanylu 30/V á 6 ks NKS:200602</t>
  </si>
  <si>
    <t>ZB648</t>
  </si>
  <si>
    <t>Páska fixační Hand-Fix 30 bal. á 2 ks NKS:60-65</t>
  </si>
  <si>
    <t>ZB507</t>
  </si>
  <si>
    <t>Páska fixační SOFT FIX, set-4druhy, 9 rolí NKS:30-05</t>
  </si>
  <si>
    <t>ZD880</t>
  </si>
  <si>
    <t>Pasta vyplňovací stomahesive 30 g 0002708 149730</t>
  </si>
  <si>
    <t>ZN605</t>
  </si>
  <si>
    <t>Peán rovný svorka na cévy 160 mm B397115920006</t>
  </si>
  <si>
    <t>ZB949</t>
  </si>
  <si>
    <t>Pinzeta UH sterilní HAR478 165 (HAR999565)</t>
  </si>
  <si>
    <t>ZN408</t>
  </si>
  <si>
    <t>Podložka natura flexibilní 100 mm bal. á 5 ks 401906</t>
  </si>
  <si>
    <t>ZN426</t>
  </si>
  <si>
    <t>Podložka natura flexibilní 45 mm bal. á 5 ks 125902</t>
  </si>
  <si>
    <t>ZI347</t>
  </si>
  <si>
    <t>Podložka natura flexibilní 57 mm bal. á 5 ks 0086766 125903</t>
  </si>
  <si>
    <t>ZI346</t>
  </si>
  <si>
    <t>Podložka natura flexibilní 70 mm bal. á 5 ks 0086767 125904</t>
  </si>
  <si>
    <t>ZL688</t>
  </si>
  <si>
    <t>Proužky Accu-Check Inform IIStrip 50 EU1 á 50 ks 05942861041</t>
  </si>
  <si>
    <t>ZB557</t>
  </si>
  <si>
    <t>Přechodka adapter combifix rekord - luer 4090306</t>
  </si>
  <si>
    <t>ZL953</t>
  </si>
  <si>
    <t>Rampa 3 cestná - 3 x konektor s BV NO PVC V696423</t>
  </si>
  <si>
    <t>ZL954</t>
  </si>
  <si>
    <t>Rampa 5 cestná - 5 x konektor s BV NO PVC V696425</t>
  </si>
  <si>
    <t>ZK435</t>
  </si>
  <si>
    <t>Rampa 5 kohoutů discofix bal. á 40 ks 16608C (4085450)</t>
  </si>
  <si>
    <t>ZB804</t>
  </si>
  <si>
    <t>Regulátor průtoku infúze dosicair DF 100</t>
  </si>
  <si>
    <t>ZA883</t>
  </si>
  <si>
    <t>Rourka rektální CH18 délka 40 cm 19-18.100</t>
  </si>
  <si>
    <t>ZG893</t>
  </si>
  <si>
    <t>Rouška prošívaná na popáleniny 40 x 60 cm karton á 30 ks 28510</t>
  </si>
  <si>
    <t>ZL689</t>
  </si>
  <si>
    <t>Roztok Accu-Check Performa Int´l Controls 1+2 level 04861736</t>
  </si>
  <si>
    <t>ZA364</t>
  </si>
  <si>
    <t>Sáček kolostomický draina S mini 75 mm á 30 ks H08560U</t>
  </si>
  <si>
    <t>ZA688</t>
  </si>
  <si>
    <t>Sáček močový curity s hod. diurézou 400 ml hadička 150 cm 8150</t>
  </si>
  <si>
    <t>ZB249</t>
  </si>
  <si>
    <t>Sáček močový s křížovou výpustí 2000 ml ZAR-TNU201601</t>
  </si>
  <si>
    <t>ZI344</t>
  </si>
  <si>
    <t>Sáček výpustný + invisiclose natura 70 mm béžový standard bal. á 10 ks 0082655 416423</t>
  </si>
  <si>
    <t>ZJ194</t>
  </si>
  <si>
    <t>Sáček výpustný natura 57 mm průhledný urostomický bal. á 10 ks 401536</t>
  </si>
  <si>
    <t>ZI345</t>
  </si>
  <si>
    <t>Sáček výpustný natura 70 mm průhledný urostomický bal. á 10 ks 401537</t>
  </si>
  <si>
    <t>ZI789</t>
  </si>
  <si>
    <t>Sáček výpustný natura urostomický průhledný standard 45 mm á 10 ks 401535</t>
  </si>
  <si>
    <t>ZC842</t>
  </si>
  <si>
    <t>Sáček výpustný+ invisiclose natura 100 mm béžový standard bal. á 10 ks 0082656 416472</t>
  </si>
  <si>
    <t>ZB656</t>
  </si>
  <si>
    <t>Senzor flotrac set 152 cm MHD6R</t>
  </si>
  <si>
    <t>ZA967</t>
  </si>
  <si>
    <t>Set flocare 800 Pack Transition nový pro enter. vaky ( APA 3227171) 586511</t>
  </si>
  <si>
    <t>ZN598</t>
  </si>
  <si>
    <t>Set odsávací jednorázový starset vak 2000 ml odsávací hadice 180 cm přerušovač sání bal. á 25 ks ZMF 160 203 PS</t>
  </si>
  <si>
    <t>ZD273</t>
  </si>
  <si>
    <t>Sonda Freka PEG žaludeční CH15 TR/F 7980111</t>
  </si>
  <si>
    <t>ZJ695</t>
  </si>
  <si>
    <t>Sonda žaludeční CH14 1200 mm s RTG linkou bal. á 50 ks 412014</t>
  </si>
  <si>
    <t>ZD254</t>
  </si>
  <si>
    <t>Souprava flexi seal FMS pro fekální inkont. Signál akce 2+1 418000</t>
  </si>
  <si>
    <t>ZE146</t>
  </si>
  <si>
    <t>Souprava nebulizační uzavřená In-Line-Neb Tee Kit  bal. á 50 ks 41745</t>
  </si>
  <si>
    <t>ZB543</t>
  </si>
  <si>
    <t>Souprava odběrová tracheální na odběr sekretu G05206</t>
  </si>
  <si>
    <t>ZA860</t>
  </si>
  <si>
    <t>Spojka dvojitá otočná čistá á 20 ks 23412</t>
  </si>
  <si>
    <t>ZD995</t>
  </si>
  <si>
    <t>Spojka symetrická 4-4 nest. bal. á 50 ks 881,44D (86051572)</t>
  </si>
  <si>
    <t>ZB598</t>
  </si>
  <si>
    <t>Spojka symetrická přímá 7 x 7 mm 60.23.00 (120 430)</t>
  </si>
  <si>
    <t>ZD998</t>
  </si>
  <si>
    <t>Spojka Y 8-10 ster. 884.08</t>
  </si>
  <si>
    <t>ZB666</t>
  </si>
  <si>
    <t>Spojka Y 9 x 9 x 9 mm symetrická bal. á 100 ks 12049</t>
  </si>
  <si>
    <t>ZB488</t>
  </si>
  <si>
    <t>Sprej cavilon 28 ml bal. á 12 ks 3346E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</si>
  <si>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</si>
  <si>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</si>
  <si>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</si>
  <si>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</si>
  <si>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</si>
  <si>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</si>
  <si>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</si>
  <si>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</si>
  <si>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</si>
  <si>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</si>
  <si>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</si>
  <si>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</si>
  <si>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ZL952</t>
  </si>
  <si>
    <t>Stříkačka injekční 50 ml LL light protected bal.á 60 ks 2022920A</t>
  </si>
  <si>
    <t>ZN854</t>
  </si>
  <si>
    <t>Stříkačka injekční arteriální 3 ml bez jehly s heparinem bal. á 100 ks safePICO Aspirator 956-622</t>
  </si>
  <si>
    <t>ZB893</t>
  </si>
  <si>
    <t>Stříkačka inzulinová omnican 0,5 ml 100j s jehlou 30 G 9151125S</t>
  </si>
  <si>
    <t>ZA964</t>
  </si>
  <si>
    <t>Stříkačka janett 3-dílná 60 ml sterilní vyplachovací 050ML3CZ-CEW (MRG564)</t>
  </si>
  <si>
    <t>ZK121</t>
  </si>
  <si>
    <t>Svorka na roušky backhaus - kocher 135 mm BF444R</t>
  </si>
  <si>
    <t>ZD963</t>
  </si>
  <si>
    <t>Systém hrudní drenážní altitude 8888571371</t>
  </si>
  <si>
    <t>ZD962</t>
  </si>
  <si>
    <t>Systém hrudní drenážní altitude bal. á 5 ks 8888571370</t>
  </si>
  <si>
    <t>ZA428</t>
  </si>
  <si>
    <t>Systém odsávací uzavřený 14F jednocestný 57 cm 72 hod. bal. á 20 ks Z110-14</t>
  </si>
  <si>
    <t>ZL174</t>
  </si>
  <si>
    <t>Systém odsávací uzavřený TS Comfortsoft CH 14 30 cm 72 hod. 02-011-05</t>
  </si>
  <si>
    <t>ZC906</t>
  </si>
  <si>
    <t>Škrtidlo se sponou pro dospělé 25 x 500 mm KVS25500</t>
  </si>
  <si>
    <t>ZA799</t>
  </si>
  <si>
    <t>Trokar hrudní redax F20 s ostrým koncem bal. á 10 ks 11220</t>
  </si>
  <si>
    <t>ZB505</t>
  </si>
  <si>
    <t>Tubo-fix pro ET rourky á 8 ks komplet NKS:20-10</t>
  </si>
  <si>
    <t>ZH845</t>
  </si>
  <si>
    <t>Tyčinka vatová medcomfort + glyc. citónová příchuť bal. á 75 ks 09157-100</t>
  </si>
  <si>
    <t>ZP357</t>
  </si>
  <si>
    <t>Tyčinka vatová zvlhčující glycerín + citron bal. á 75 ks FTL-LS-15</t>
  </si>
  <si>
    <t>ZA812</t>
  </si>
  <si>
    <t>Uzávěr do katetrů 4435001</t>
  </si>
  <si>
    <t>ZB632</t>
  </si>
  <si>
    <t>Ventil expirační jednorázový á 10 ks 8414776</t>
  </si>
  <si>
    <t>ZJ277</t>
  </si>
  <si>
    <t>Ventil jednorázový expirační V500 á 10 ks MP01060</t>
  </si>
  <si>
    <t>ZK799</t>
  </si>
  <si>
    <t>Zátka combi červená 4495101</t>
  </si>
  <si>
    <t>ZK798</t>
  </si>
  <si>
    <t>Zátka combi modrá 4495152</t>
  </si>
  <si>
    <t>ZI182</t>
  </si>
  <si>
    <t>Zkumavka + aplikátor s chem.stabilizátorem UriSwab žlutá 802CE.A</t>
  </si>
  <si>
    <t>ZO932</t>
  </si>
  <si>
    <t>Zkumavka 13 ml PP 101/16,5 mm bílý uzávěr sterilní 60.540.012</t>
  </si>
  <si>
    <t>ZP077</t>
  </si>
  <si>
    <t>Zkumavka 15 ml PP 101/16,5 mm bílý šroubový uzávěr sterilní jednotlivě balená 10362/MO/SG/CS</t>
  </si>
  <si>
    <t>ZB756</t>
  </si>
  <si>
    <t>Zkumavka 3 ml K3 edta fialová 454086</t>
  </si>
  <si>
    <t>ZB757</t>
  </si>
  <si>
    <t>Zkumavka 6 ml K3 edta fialová 456036</t>
  </si>
  <si>
    <t>ZB754</t>
  </si>
  <si>
    <t>Zkumavka černá 2 ml 454073</t>
  </si>
  <si>
    <t>ZB777</t>
  </si>
  <si>
    <t>Zkumavka červená 4 ml gel 454071</t>
  </si>
  <si>
    <t>ZB774</t>
  </si>
  <si>
    <t>Zkumavka červená 5 ml gel 456071</t>
  </si>
  <si>
    <t>ZB762</t>
  </si>
  <si>
    <t>Zkumavka červená 6 ml 456092</t>
  </si>
  <si>
    <t>ZB759</t>
  </si>
  <si>
    <t>Zkumavka červená 8 ml gel 455071</t>
  </si>
  <si>
    <t>ZB775</t>
  </si>
  <si>
    <t>Zkumavka koagulace 4 ml modrá 454329</t>
  </si>
  <si>
    <t>Zkumavka močová + aplikátor s chem.stabilizátorem UriSwab žlutá 802CE.A</t>
  </si>
  <si>
    <t>ZB985</t>
  </si>
  <si>
    <t>Zkumavka močová urin-monovette s pístem 10 ml sterilní bal. á 100 ks 10.252.020</t>
  </si>
  <si>
    <t>ZG515</t>
  </si>
  <si>
    <t>Zkumavka močová vacuette 10,5 ml bal. á 50 ks 455007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</si>
  <si>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</si>
  <si>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</si>
  <si>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</si>
  <si>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ZB765</t>
  </si>
  <si>
    <t>Zkumavka zelená 9 ml 455051</t>
  </si>
  <si>
    <t>50115063</t>
  </si>
  <si>
    <t>ZPr - vaky, sety (Z528)</t>
  </si>
  <si>
    <t>ZA715</t>
  </si>
  <si>
    <t>Set infuzní intrafix primeline classic 150 cm 4062957</t>
  </si>
  <si>
    <t>ZB715</t>
  </si>
  <si>
    <t>Set kangaro univ. pro enterální výživu bal. á 30 ks  S777403</t>
  </si>
  <si>
    <t>ZB161</t>
  </si>
  <si>
    <t>Set ohřívací s Y portem DI-50</t>
  </si>
  <si>
    <t>ZE079</t>
  </si>
  <si>
    <t>Set transfúzní non PVC s odvzdušněním a bakteriálním filtrem ZAR-I-TS</t>
  </si>
  <si>
    <t>50115064</t>
  </si>
  <si>
    <t>ZPr - šicí materiál (Z529)</t>
  </si>
  <si>
    <t>ZA911</t>
  </si>
  <si>
    <t>Šití dafilon modrý 2/0 (3) bal. á 36 ks C0932477</t>
  </si>
  <si>
    <t>ZB834</t>
  </si>
  <si>
    <t>Šití nurolon bk 2-0 bal. á 36 ks EH6604H</t>
  </si>
  <si>
    <t>ZF937</t>
  </si>
  <si>
    <t>Šití premicron zelený 3/0 (2) bal. á 36 ks C0026553</t>
  </si>
  <si>
    <t>ZC135</t>
  </si>
  <si>
    <t>Šití safil fialový 2/0 (3) bal. á 36 ks C1048031</t>
  </si>
  <si>
    <t>ZB220</t>
  </si>
  <si>
    <t>Šití safil fialový 3/0 (2) bal. á 36 ks C1048046</t>
  </si>
  <si>
    <t>50115065</t>
  </si>
  <si>
    <t>ZPr - vpichovací materiál (Z530)</t>
  </si>
  <si>
    <t>ZB168</t>
  </si>
  <si>
    <t>Jehla chirurgická 0,9 x 36 B10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</si>
  <si>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</si>
  <si>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</si>
  <si>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</si>
  <si>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</si>
  <si>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</si>
  <si>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</si>
  <si>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</si>
  <si>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</si>
  <si>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</si>
  <si>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</si>
  <si>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</si>
  <si>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</si>
  <si>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</si>
  <si>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</si>
  <si>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</si>
  <si>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</si>
  <si>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</si>
  <si>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</si>
  <si>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ZM294</t>
  </si>
  <si>
    <t>Rukavice nitril sempercare bez p. XL bal. á 180 ks 30818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</si>
  <si>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</si>
  <si>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</si>
  <si>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</si>
  <si>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</si>
  <si>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</si>
  <si>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</si>
  <si>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</si>
  <si>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</si>
  <si>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</si>
  <si>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</si>
  <si>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ZK792</t>
  </si>
  <si>
    <t>Rukavice operační gammex PFXP cytostatické vel. 7,5 latex chemo bal. á 50 párů 330054075</t>
  </si>
  <si>
    <t>50115070</t>
  </si>
  <si>
    <t>ZPr - katetry ostatní (Z513)</t>
  </si>
  <si>
    <t>ZC637</t>
  </si>
  <si>
    <t>Arteriofix bal. á 20 ks 20G 5206324</t>
  </si>
  <si>
    <t>ZD909</t>
  </si>
  <si>
    <t>Katetr CVC 2 lumen 7 Fr x 20 cm certofix duo ECO 720 á 10 ks 4162200E</t>
  </si>
  <si>
    <t>ZD827</t>
  </si>
  <si>
    <t>Katetr CVC 3 lumen 7 Fr x 20 cm certofix trio SB720 bal. á 10 ks 4163206E</t>
  </si>
  <si>
    <t>ZC615</t>
  </si>
  <si>
    <t>Katetr CVC 3 lumen 7 Fr x 20 cm certofix trio V720 bal. á 10 ks 4163214P</t>
  </si>
  <si>
    <t>50115079</t>
  </si>
  <si>
    <t>ZPr - internzivní péče (Z542)</t>
  </si>
  <si>
    <t>ZB751</t>
  </si>
  <si>
    <t>Hadice PVC 8/12 á 30 m P00468</t>
  </si>
  <si>
    <t>ZB750</t>
  </si>
  <si>
    <t>Hadice vrapovaná metráž dělitelná po 400 mm á 50 m 1574000/W</t>
  </si>
  <si>
    <t>ZO539</t>
  </si>
  <si>
    <t>Kohout trojcestný červený bal. á 50 ks E0501</t>
  </si>
  <si>
    <t>ZN620</t>
  </si>
  <si>
    <t>Maska kyslíková dospělá s nebulizací a hadičkou 2 m bal. á 100 ks A0400</t>
  </si>
  <si>
    <t>ZD184</t>
  </si>
  <si>
    <t>Maska pro neinvazivní ventilaci Nova Star vel. L MP01581</t>
  </si>
  <si>
    <t>ZA905</t>
  </si>
  <si>
    <t>Maska tracheostomická 001305</t>
  </si>
  <si>
    <t>ZN621</t>
  </si>
  <si>
    <t>Nos umělý s portem pro odsávání bal. á 30 ks B0300(6000)</t>
  </si>
  <si>
    <t>ZD534</t>
  </si>
  <si>
    <t>Okruh dýchací compact II 2,0 m 2151000</t>
  </si>
  <si>
    <t>ZJ051</t>
  </si>
  <si>
    <t>Okruh dýchací jednorázový - set VentStar Oxylog 3000 bal. á 5 ks 5703041(5702871)</t>
  </si>
  <si>
    <t>ZC367</t>
  </si>
  <si>
    <t>Převodník tlakový dvoukomorový 150 cm set 2 linky bal. á 10 ks T001650A</t>
  </si>
  <si>
    <t>ZC366</t>
  </si>
  <si>
    <t>Převodník tlakový PX260 150 cm 1 linka bal. á 10 ks (T100209A) T100209B</t>
  </si>
  <si>
    <t>50115090</t>
  </si>
  <si>
    <t>ZPr - zubolékařský materiál (Z509)</t>
  </si>
  <si>
    <t>ZD933</t>
  </si>
  <si>
    <t>Listerine 1,0 l 450669</t>
  </si>
  <si>
    <t>Spotřeba zdravotnického materiálu - orientační přehled</t>
  </si>
  <si>
    <t>ON Data</t>
  </si>
  <si>
    <t>07 - Klinika anesteziologie, resuscitace a intenzivní medicíny</t>
  </si>
  <si>
    <t>07</t>
  </si>
  <si>
    <t>5T1</t>
  </si>
  <si>
    <t>V</t>
  </si>
  <si>
    <t>51021</t>
  </si>
  <si>
    <t>KOMPLEXNÍ VYŠETŘENÍ CHIRURGEM</t>
  </si>
  <si>
    <t>5F1</t>
  </si>
  <si>
    <t>15401</t>
  </si>
  <si>
    <t>ESOFAGOGASTRODUODENOSKOPIE</t>
  </si>
  <si>
    <t>15910</t>
  </si>
  <si>
    <t>ENDOSKOPICKÁ EXTRAKCE CIZÍHO TĚLESA Z JÍCNU A ŽALU</t>
  </si>
  <si>
    <t>51343</t>
  </si>
  <si>
    <t>LOKÁLNÍ EXCIZE JATER NEBO OŠETŘENÍ MALÉ TRHLINY JA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</si>
  <si>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</si>
  <si>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</si>
  <si>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</si>
  <si>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</si>
  <si>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</si>
  <si>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</si>
  <si>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51379</t>
  </si>
  <si>
    <t>CHOLEDOCHOTOMIE</t>
  </si>
  <si>
    <t>51383</t>
  </si>
  <si>
    <t>GASTROTOMIE, DUODENOTOMIE NEBO JEDNODUCHÁ PYLOROPL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</si>
  <si>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</si>
  <si>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</si>
  <si>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</si>
  <si>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</si>
  <si>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</si>
  <si>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</si>
  <si>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</si>
  <si>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</si>
  <si>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</si>
  <si>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</si>
  <si>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</si>
  <si>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</si>
  <si>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</si>
  <si>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</si>
  <si>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63589</t>
  </si>
  <si>
    <t>SALPINGEKTOMIE NEBO ADNEXEKTOMIE A NEBO RESEKCE OV</t>
  </si>
  <si>
    <t>71717</t>
  </si>
  <si>
    <t>TRACHEOTOMIE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</si>
  <si>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</si>
  <si>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</si>
  <si>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</si>
  <si>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</si>
  <si>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</si>
  <si>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</si>
  <si>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07545</t>
  </si>
  <si>
    <t>(DRG) DRUHÁ A DALŠÍ REOPERACE</t>
  </si>
  <si>
    <t>07350</t>
  </si>
  <si>
    <t>(VZP) ENDARTERECTOMIE BŘIŠNÍ AORTY</t>
  </si>
  <si>
    <t>07550</t>
  </si>
  <si>
    <t>(DRG) ENDOVASKULÁRNÍ PŘÍSTUP PERKUTÁNNÍ NEBO S?PRE</t>
  </si>
  <si>
    <t>07551</t>
  </si>
  <si>
    <t>(DRG) HYBRIDNÍ PŘÍSTUP</t>
  </si>
  <si>
    <t>07416</t>
  </si>
  <si>
    <t>(VZP) JINÉ REKONSTRUKCE V OBLASTI STEHNA</t>
  </si>
  <si>
    <t>07565</t>
  </si>
  <si>
    <t>(DRG) KATASTROFICKÁ OPERACE KVCH</t>
  </si>
  <si>
    <t>07407</t>
  </si>
  <si>
    <t>(VZP) BYPASS FEMORO - POPLITEÁLNÍ DISTÁLNÍ PROTETI</t>
  </si>
  <si>
    <t>07335</t>
  </si>
  <si>
    <t>(VZP) BYPASS AORTO - ILICKÝ NEBO NÁHRADA OBOUSTRAN</t>
  </si>
  <si>
    <t>07197</t>
  </si>
  <si>
    <t>(DRG) ZAVEDENÍ STENTU ČI STENTGRAFTU DO DESCENDENT</t>
  </si>
  <si>
    <t>07457</t>
  </si>
  <si>
    <t>(VZP) BYPASS POPLITEO - CRURÁLNÍ VĚTVENÝ AUTOLOGNÍ</t>
  </si>
  <si>
    <t>07543</t>
  </si>
  <si>
    <t>(DRG) PRIMOOPERACE</t>
  </si>
  <si>
    <t>51396</t>
  </si>
  <si>
    <t>PUNKCE DUTINY BŘIŠNÍ S DRENÁŽÍ EV. LAVAŽÍ</t>
  </si>
  <si>
    <t>54990</t>
  </si>
  <si>
    <t>ODBĚR ŽILNÍHO ŠTĚPU</t>
  </si>
  <si>
    <t>51371</t>
  </si>
  <si>
    <t>CHOLECYSTEKTOMIE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</si>
  <si>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</si>
  <si>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</si>
  <si>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</si>
  <si>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</si>
  <si>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</si>
  <si>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</si>
  <si>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</si>
  <si>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</si>
  <si>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51850</t>
  </si>
  <si>
    <t>PŘEVAZ RÁNY METODOU V. A. C. (VACUUM ASISTED CLOSU</t>
  </si>
  <si>
    <t>51386</t>
  </si>
  <si>
    <t>SUTURA EV. EXCIZE A SUTURA LÉZE STĚNY ŽALUDKU NEBO</t>
  </si>
  <si>
    <t>51311</t>
  </si>
  <si>
    <t>SPLENEKTOMIE</t>
  </si>
  <si>
    <t>51811</t>
  </si>
  <si>
    <t>ABSCES NEBO HEMATOM SUBKUTANNÍ, PILONIDÁLNÍ, INTRA</t>
  </si>
  <si>
    <t>51367</t>
  </si>
  <si>
    <t>APENDEKTOMIE NEBO OPERAČNÍ DRENÁŽ PERIAPENDIKULÁRN</t>
  </si>
  <si>
    <t>51821</t>
  </si>
  <si>
    <t>CHIRURGICKÉ ODSTRANĚNÍ CIZÍHO TĚLESA</t>
  </si>
  <si>
    <t>51827</t>
  </si>
  <si>
    <t>MULTIORGÁNOVÝ ODBĚR</t>
  </si>
  <si>
    <t>54120</t>
  </si>
  <si>
    <t>ANEURYSMA BŘIŠNÍ AORTY (NÁHRADA BIFURKAČNÍ PROTÉZO</t>
  </si>
  <si>
    <t>07564</t>
  </si>
  <si>
    <t>(DRG) EMERGENTNÍ OPERACE KVCH</t>
  </si>
  <si>
    <t>07562</t>
  </si>
  <si>
    <t>(DRG) PLÁNOVANÁ OPERACE KVCH</t>
  </si>
  <si>
    <t>51217</t>
  </si>
  <si>
    <t>EZOFAGEKTOMIE BEZ TORAKOTOMIE S NÁHRADOU JÍCNU ŽAL</t>
  </si>
  <si>
    <t>07552</t>
  </si>
  <si>
    <t>(DRG) OPERAČNÍ VÝKON BEZ MIMOTĚLNÍHO OBĚHU</t>
  </si>
  <si>
    <t>66851</t>
  </si>
  <si>
    <t>AMPUTACE DLOUHÉ KOSTI / EXARTIKULACE VELKÉHO KLOUB</t>
  </si>
  <si>
    <t>07468</t>
  </si>
  <si>
    <t>(VZP) TROMBECTOMIE  A. POPLITEA A BÉRCOVÝCH TEPEN</t>
  </si>
  <si>
    <t>51357</t>
  </si>
  <si>
    <t>JEJUNOSTOMIE, ILEOSTOMIE NEBO KOLOSTOMIE, ANTEPOZI</t>
  </si>
  <si>
    <t>51321</t>
  </si>
  <si>
    <t>LEVOSTRANNÁ PANKREATEKTOMIE SE SPLENEKTOMIÍ</t>
  </si>
  <si>
    <t>07423</t>
  </si>
  <si>
    <t>(VZP) EMBOLECTOMIE A. FEMORALIS PROFUNDA</t>
  </si>
  <si>
    <t>07563</t>
  </si>
  <si>
    <t>(DRG) URGENTNÍ OPERACE KVCH</t>
  </si>
  <si>
    <t>07544</t>
  </si>
  <si>
    <t>(DRG) PRVNÍ REOPERACE</t>
  </si>
  <si>
    <t>51385</t>
  </si>
  <si>
    <t>RESEKCE ŽALUDKU S ANASTOMÓZOU</t>
  </si>
  <si>
    <t>51517</t>
  </si>
  <si>
    <t>OPERACE KÝLY S POUŽITÍM ŠTĚPU ČI IMPLANTÁTU, OPERA</t>
  </si>
  <si>
    <t>57241</t>
  </si>
  <si>
    <t>DEKORTIKACE PLÍCE</t>
  </si>
  <si>
    <t>07469</t>
  </si>
  <si>
    <t>(VZP) EMBOLECTOMIE A. POPLITEA A BÉRCOVÝCH TEPEN</t>
  </si>
  <si>
    <t>51391</t>
  </si>
  <si>
    <t>LAPAROTOMIE A OŠETŘENÍ VÍCEČETNÉHO VISCERÁLNÍHO PO</t>
  </si>
  <si>
    <t>54340</t>
  </si>
  <si>
    <t>TEPENNÁ EMBOLEKTOMIE, TROMBEKTOMIE</t>
  </si>
  <si>
    <t>57235</t>
  </si>
  <si>
    <t>TORAKOTOMIE PROSTÁ NEBO S BIOPSIÍ, EVAKUACÍ HEMATO</t>
  </si>
  <si>
    <t>51215</t>
  </si>
  <si>
    <t>SUBTOTÁLNÍ NEBO TOTÁLNÍ RESEKCE JÍCNU TRANSTORAKÁL</t>
  </si>
  <si>
    <t>07389</t>
  </si>
  <si>
    <t>(VZP) TROMBECTOMIE A.ILIACA</t>
  </si>
  <si>
    <t>51355</t>
  </si>
  <si>
    <t>DVOJ - A VÍCENÁSOBNÁ RESEKCE A (NEBO) ANASTOMÓZA T</t>
  </si>
  <si>
    <t>07418</t>
  </si>
  <si>
    <t>(VZP) TROMBECTOMIE  A. FEMORALIS A JEJÍCH VĚTVÍ</t>
  </si>
  <si>
    <t>54310</t>
  </si>
  <si>
    <t>AORTOILICKÝ ÚSEK - ENDARTEREKTOMIE</t>
  </si>
  <si>
    <t>07413</t>
  </si>
  <si>
    <t>(VZP) PLASTIKA A. FEMORALIS A JEJÍCH VĚTVÍ PROTETI</t>
  </si>
  <si>
    <t>51381</t>
  </si>
  <si>
    <t>REKONSTRUKČNÍ VÝKON NA ŽLUČOVÝCH CESTÁCH</t>
  </si>
  <si>
    <t>51326</t>
  </si>
  <si>
    <t>DRENÁŽNÍ OPERACE PŘI AKUTNÍ PANKEATITIDĚ, DRENÁŽ A</t>
  </si>
  <si>
    <t>51615</t>
  </si>
  <si>
    <t>PEROPERAČNÍ CHOLANGIOGRAFIE /CYSTOGRAFIE A  POD.</t>
  </si>
  <si>
    <t>51127</t>
  </si>
  <si>
    <t>HEMITYROIDEKTOMIE (TOTÁLNÍ LOBEKTOMIE ŠTÍTNÉ ŽLÁZY</t>
  </si>
  <si>
    <t>57221</t>
  </si>
  <si>
    <t>OPERAČNÍ STABILIZACE HRUDNÍKU PO ÚRAZE - JEDNA STR</t>
  </si>
  <si>
    <t>07388</t>
  </si>
  <si>
    <t>(VZP) ENDARTERECTOMIE  A.ILIACA</t>
  </si>
  <si>
    <t>57231</t>
  </si>
  <si>
    <t>MEDIASTINOTOMIE</t>
  </si>
  <si>
    <t>51361</t>
  </si>
  <si>
    <t>KOLEKTOMIE SUBTOTÁLNÍ S ILEOSTOMIÍ A UZÁVĚREM REKT</t>
  </si>
  <si>
    <t>07428</t>
  </si>
  <si>
    <t>(VZP) REVIZE V OBLASTI STEHNA PRO  KRVÁCENÍ</t>
  </si>
  <si>
    <t>07329</t>
  </si>
  <si>
    <t>(VZP) NÁHRADA AORTO - AORTÁLNÍ PROTETICKÁ</t>
  </si>
  <si>
    <t>90952</t>
  </si>
  <si>
    <t>(DRG) EXTRAKCE TROMBU NEBO EMBOLU ENDOVASKULÁRNÍ C</t>
  </si>
  <si>
    <t>90954</t>
  </si>
  <si>
    <t>(DRG) KRITICKÁ KONČETINOVÁ ISCHEMIE</t>
  </si>
  <si>
    <t>07466</t>
  </si>
  <si>
    <t>(VZP) JINÁ REKONSTRUKCE V INFRAPOPLITEÁLNÍ OBLASTI</t>
  </si>
  <si>
    <t>07387</t>
  </si>
  <si>
    <t>(VZP) JINÉ REKONSTRUKCE V OBLASTI PÁNEVNÍCH TEPEN</t>
  </si>
  <si>
    <t>07357</t>
  </si>
  <si>
    <t>(VZP) EMBOLECTOMIE BŘIŠNÍ AORTY</t>
  </si>
  <si>
    <t>5F3</t>
  </si>
  <si>
    <t>51853</t>
  </si>
  <si>
    <t>CIRKULÁRNÍ SÁDROVÝ OBVAZ - PRSTY, RUKA, PŘEDLOKTÍ</t>
  </si>
  <si>
    <t>51859</t>
  </si>
  <si>
    <t>FIXAČNÍ SÁDROVÁ DLAHA - NOHA, BÉREC</t>
  </si>
  <si>
    <t>51863</t>
  </si>
  <si>
    <t>FIXAČNÍ SÁDROVÁ DLAHA CELÉ DOLNÍ KONČETINY</t>
  </si>
  <si>
    <t>53159</t>
  </si>
  <si>
    <t>OTEVŘENÁ REPOZICE A OSTEOSYNTÉZA ZLOMENIN OBOU KOS</t>
  </si>
  <si>
    <t>53163</t>
  </si>
  <si>
    <t>OTEVŘENÁ REPOZICE A OSTEOSYNTÉZA VÍCEÚLOMKOVÝCH ZL</t>
  </si>
  <si>
    <t>53253</t>
  </si>
  <si>
    <t xml:space="preserve">OTEVŘENÁ REPOZICE A OSTEOSYNTÉZA ZLOMENIN DIAFÝZY </t>
  </si>
  <si>
    <t>53413</t>
  </si>
  <si>
    <t>ZAVŘENÁ REPOZICE ZLOMENINY BÉRCE VČETNĚ NITROKLOUB</t>
  </si>
  <si>
    <t>53453</t>
  </si>
  <si>
    <t>OTEVŘENÁ REPOZICE ZLOMENINY NEBO LUXACE VÍCE METAT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</si>
  <si>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</si>
  <si>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</si>
  <si>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</si>
  <si>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</si>
  <si>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</si>
  <si>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</si>
  <si>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53483</t>
  </si>
  <si>
    <t>ZLOMENINA  ACETABULA - OBOU PILÍŘŮ - LÉČENÁ OTEVŘE</t>
  </si>
  <si>
    <t>66813</t>
  </si>
  <si>
    <t>ODSTRANĚNÍ OSTEOSYNTETICKÉHO MATERIÁLU</t>
  </si>
  <si>
    <t>66819</t>
  </si>
  <si>
    <t>APLIKACE ZEVNÍHO FIXATÉRU</t>
  </si>
  <si>
    <t>66823</t>
  </si>
  <si>
    <t>ODSTRANĚNÍ ZEVNÍHO FIXATÉRU</t>
  </si>
  <si>
    <t>66829</t>
  </si>
  <si>
    <t>ZAVEDENÍ PROPLACHOVÉ LAVÁŽE</t>
  </si>
  <si>
    <t>53457</t>
  </si>
  <si>
    <t>ZLOMENINY DOLNÍHO KONCE BÉRCE A HLEZNA S NITROKLOU</t>
  </si>
  <si>
    <t>53490</t>
  </si>
  <si>
    <t>ROZSÁHLÉ DEBRIDEMENT SLOŽITÝCH OTEVŘENÝCH ZLOMENIN</t>
  </si>
  <si>
    <t>53115</t>
  </si>
  <si>
    <t>ZAVŘENÁ REPOZICE LUXACE KARPU NEBO INTRAARTIKULÁRN</t>
  </si>
  <si>
    <t>66127</t>
  </si>
  <si>
    <t>MANIPULACE V CELKOVÉ NEBO LOKÁLNÍ ANESTÉZII</t>
  </si>
  <si>
    <t>51855</t>
  </si>
  <si>
    <t>FIXAČNÍ SÁDROVÁ DLAHA CELÉ HORNÍ KONČETINY</t>
  </si>
  <si>
    <t>53155</t>
  </si>
  <si>
    <t>OTEVŘENÁ REPOZICE - SYNTÉZA LUXACE KARPU - INTRAAR</t>
  </si>
  <si>
    <t>53471</t>
  </si>
  <si>
    <t>ZLOMENINA HORNÍHO KONCE FEMURU - REPOZICE OTEVŘENÁ</t>
  </si>
  <si>
    <t>53157</t>
  </si>
  <si>
    <t>OTEVŘENÁ REPOZICE A OSTEOSYNTÉZA ZLOMENINY JEDNÉ K</t>
  </si>
  <si>
    <t>53467</t>
  </si>
  <si>
    <t>ZLOMENINY TIBIÁLNÍHO NEBO FIBULÁRNÍHO PLATEAU TIBI</t>
  </si>
  <si>
    <t>53117</t>
  </si>
  <si>
    <t>ZAVŘENÁ REPOZICE LUXACE LOKETNÍHO KLOUBU NEBO HLAV</t>
  </si>
  <si>
    <t>53485</t>
  </si>
  <si>
    <t>ZLOMENINY PÁNEVNÍHO KRUHU - NESTABILNÍ - S OPERAČN</t>
  </si>
  <si>
    <t>66821</t>
  </si>
  <si>
    <t>PERKUTÁNNÍ FIXACE K-DRÁTEM</t>
  </si>
  <si>
    <t>66825</t>
  </si>
  <si>
    <t>UPRAVENÍ ZEVNÍHO FIXATÉRU</t>
  </si>
  <si>
    <t>53451</t>
  </si>
  <si>
    <t>OTEVŘENÁ REPOZICE ZLOMENINY NEBO LUXACE JEDNOHO ME</t>
  </si>
  <si>
    <t>66921</t>
  </si>
  <si>
    <t>EXKOCHLEACE A SPONGIOPLASTIKA</t>
  </si>
  <si>
    <t>53417</t>
  </si>
  <si>
    <t>53455</t>
  </si>
  <si>
    <t>OTEVŘENÁ REPOZICE ZLOMENINY KOSTI PATNÍ</t>
  </si>
  <si>
    <t>66415</t>
  </si>
  <si>
    <t>AMPUTACE - RUKA</t>
  </si>
  <si>
    <t>5F5</t>
  </si>
  <si>
    <t>07258</t>
  </si>
  <si>
    <t>(DRG) ZAVEDENÍ ECMO, PERIFERNÍ KANYLACE</t>
  </si>
  <si>
    <t>07554</t>
  </si>
  <si>
    <t>(DRG) OPERAČNÍ VÝKON S MIMOTĚLNÍM OBĚHEM, PERIFERN</t>
  </si>
  <si>
    <t>55227</t>
  </si>
  <si>
    <t>5F6</t>
  </si>
  <si>
    <t>56119</t>
  </si>
  <si>
    <t>DEKOMPRESIVNÍ KRANIEKTOMIE</t>
  </si>
  <si>
    <t>56163</t>
  </si>
  <si>
    <t>ZEVNÍ KOMOROVÁ DRENÁŽ NEBO ZAVEDENÍ ČIDLA NA MĚŘEN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</si>
  <si>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</si>
  <si>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</si>
  <si>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</si>
  <si>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</si>
  <si>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</si>
  <si>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</si>
  <si>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</si>
  <si>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</si>
  <si>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</si>
  <si>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</si>
  <si>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</si>
  <si>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</si>
  <si>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</si>
  <si>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</si>
  <si>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</si>
  <si>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</si>
  <si>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</si>
  <si>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</si>
  <si>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56151</t>
  </si>
  <si>
    <t>TREPANACE PRO EXTRACEREBRÁLNÍ HEMATOM NEBO KRANIOT</t>
  </si>
  <si>
    <t>56177</t>
  </si>
  <si>
    <t xml:space="preserve"> KRANIOTOMIE A RESEKCE, PŘÍPADNĚ LOBEKTOMIE PRO TU</t>
  </si>
  <si>
    <t>56117</t>
  </si>
  <si>
    <t>INTRAKRANIÁLNÍ REKONSTRUKČNÍ OPERACE PŘI LIKVOREI</t>
  </si>
  <si>
    <t>1</t>
  </si>
  <si>
    <t>0003708</t>
  </si>
  <si>
    <t>0003952</t>
  </si>
  <si>
    <t>AMIKIN 500 MG</t>
  </si>
  <si>
    <t>0005113</t>
  </si>
  <si>
    <t>TARGOCID</t>
  </si>
  <si>
    <t>0006480</t>
  </si>
  <si>
    <t>0008807</t>
  </si>
  <si>
    <t>DALACIN C</t>
  </si>
  <si>
    <t>0008808</t>
  </si>
  <si>
    <t>0011592</t>
  </si>
  <si>
    <t>0011785</t>
  </si>
  <si>
    <t>AMIKIN 1 G</t>
  </si>
  <si>
    <t>0016547</t>
  </si>
  <si>
    <t>0016600</t>
  </si>
  <si>
    <t>0017041</t>
  </si>
  <si>
    <t>CEFOBID</t>
  </si>
  <si>
    <t>0020605</t>
  </si>
  <si>
    <t>COLOMYCIN INJEKCE 1 000 000 MEZINÁRODNÍCH JEDNOTEK</t>
  </si>
  <si>
    <t>0026042</t>
  </si>
  <si>
    <t>KIOVIG</t>
  </si>
  <si>
    <t>0026127</t>
  </si>
  <si>
    <t>0026902</t>
  </si>
  <si>
    <t>VFEND</t>
  </si>
  <si>
    <t>0029980</t>
  </si>
  <si>
    <t>FLEBOGAMMA DIF</t>
  </si>
  <si>
    <t>0045123</t>
  </si>
  <si>
    <t>VISIPAQUE 320 MG I/ML</t>
  </si>
  <si>
    <t>0053922</t>
  </si>
  <si>
    <t>CIPHIN PRO INFUSIONE 200 MG/100 ML</t>
  </si>
  <si>
    <t>0058092</t>
  </si>
  <si>
    <t>CEFAZOLIN SANDOZ</t>
  </si>
  <si>
    <t>0062464</t>
  </si>
  <si>
    <t>0062465</t>
  </si>
  <si>
    <t>0064831</t>
  </si>
  <si>
    <t>AXETINE</t>
  </si>
  <si>
    <t>0065989</t>
  </si>
  <si>
    <t>MYCOMAX INF</t>
  </si>
  <si>
    <t>0066137</t>
  </si>
  <si>
    <t>OFLOXIN INF</t>
  </si>
  <si>
    <t>0072972</t>
  </si>
  <si>
    <t>AMOKSIKLAV 1,2 G</t>
  </si>
  <si>
    <t>0072973</t>
  </si>
  <si>
    <t>AMOKSIKLAV 600 MG</t>
  </si>
  <si>
    <t>0075634</t>
  </si>
  <si>
    <t>PROTHROMPLEX TOTAL NF</t>
  </si>
  <si>
    <t>0076360</t>
  </si>
  <si>
    <t>ZINACEF</t>
  </si>
  <si>
    <t>0077018</t>
  </si>
  <si>
    <t>ULTRAVIST 370</t>
  </si>
  <si>
    <t>0077044</t>
  </si>
  <si>
    <t>0083417</t>
  </si>
  <si>
    <t>MERONEM</t>
  </si>
  <si>
    <t>0087239</t>
  </si>
  <si>
    <t>FANHDI</t>
  </si>
  <si>
    <t>0087240</t>
  </si>
  <si>
    <t>0089028</t>
  </si>
  <si>
    <t>IMMUNATE STIM PLUS 500</t>
  </si>
  <si>
    <t>0091148</t>
  </si>
  <si>
    <t>VULMIZOLIN 1,0</t>
  </si>
  <si>
    <t>0091731</t>
  </si>
  <si>
    <t>0092289</t>
  </si>
  <si>
    <t>EDICIN</t>
  </si>
  <si>
    <t>0092290</t>
  </si>
  <si>
    <t>0094155</t>
  </si>
  <si>
    <t>ABAKTAL 400 MG/5 ML</t>
  </si>
  <si>
    <t>0094176</t>
  </si>
  <si>
    <t>0096414</t>
  </si>
  <si>
    <t>0097000</t>
  </si>
  <si>
    <t>0097910</t>
  </si>
  <si>
    <t>0104051</t>
  </si>
  <si>
    <t>0112782</t>
  </si>
  <si>
    <t>GENTAMICIN B.BRAUN</t>
  </si>
  <si>
    <t>0112786</t>
  </si>
  <si>
    <t>0121238</t>
  </si>
  <si>
    <t>CEFTRIAXON KABI</t>
  </si>
  <si>
    <t>0131654</t>
  </si>
  <si>
    <t>CEFTAZIDIM KABI</t>
  </si>
  <si>
    <t>0131656</t>
  </si>
  <si>
    <t>0137484</t>
  </si>
  <si>
    <t>ANBINEX</t>
  </si>
  <si>
    <t>0138455</t>
  </si>
  <si>
    <t>0142077</t>
  </si>
  <si>
    <t>0151458</t>
  </si>
  <si>
    <t>CEFUROXIM KABI</t>
  </si>
  <si>
    <t>0155939</t>
  </si>
  <si>
    <t>0162180</t>
  </si>
  <si>
    <t>CIPROFLOXACIN KABI 200 MG/100 ML INFUZNÍ ROZTOK</t>
  </si>
  <si>
    <t>0162187</t>
  </si>
  <si>
    <t>0162809</t>
  </si>
  <si>
    <t>AVELOX 400 MG/250 ML INFUZNÍ ROZTOK</t>
  </si>
  <si>
    <t>0164350</t>
  </si>
  <si>
    <t>TAZOCIN 4 G/0,5 G</t>
  </si>
  <si>
    <t>0164401</t>
  </si>
  <si>
    <t>0166269</t>
  </si>
  <si>
    <t>0500720</t>
  </si>
  <si>
    <t>MYCAMINE</t>
  </si>
  <si>
    <t>0129056</t>
  </si>
  <si>
    <t>0164407</t>
  </si>
  <si>
    <t>0198192</t>
  </si>
  <si>
    <t>0129057</t>
  </si>
  <si>
    <t>0136083</t>
  </si>
  <si>
    <t>AMPICILLIN AND SULBACTAM IBI 1 G + 500 MG PRÁŠEK P</t>
  </si>
  <si>
    <t>0137483</t>
  </si>
  <si>
    <t>0162496</t>
  </si>
  <si>
    <t>TAZIP</t>
  </si>
  <si>
    <t>0201030</t>
  </si>
  <si>
    <t>0134595</t>
  </si>
  <si>
    <t>MEDOCLAV</t>
  </si>
  <si>
    <t>0064835</t>
  </si>
  <si>
    <t>0113453</t>
  </si>
  <si>
    <t>0149384</t>
  </si>
  <si>
    <t>ECALTA</t>
  </si>
  <si>
    <t>0156835</t>
  </si>
  <si>
    <t>MEROPENEM KABI</t>
  </si>
  <si>
    <t>0151460</t>
  </si>
  <si>
    <t>0129834</t>
  </si>
  <si>
    <t>0129836</t>
  </si>
  <si>
    <t>0147977</t>
  </si>
  <si>
    <t>MEROPENEM HOSPIRA</t>
  </si>
  <si>
    <t>0192353</t>
  </si>
  <si>
    <t>FLEXBUMIN</t>
  </si>
  <si>
    <t>0166265</t>
  </si>
  <si>
    <t>0049128</t>
  </si>
  <si>
    <t>0183926</t>
  </si>
  <si>
    <t>AZEPO</t>
  </si>
  <si>
    <t>0203319</t>
  </si>
  <si>
    <t>0202911</t>
  </si>
  <si>
    <t>DILIZOLEN</t>
  </si>
  <si>
    <t>0064630</t>
  </si>
  <si>
    <t>KLIMICIN</t>
  </si>
  <si>
    <t>0195147</t>
  </si>
  <si>
    <t>0183817</t>
  </si>
  <si>
    <t>0173181</t>
  </si>
  <si>
    <t>0173183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</si>
  <si>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</si>
  <si>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</si>
  <si>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</si>
  <si>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</si>
  <si>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</si>
  <si>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</si>
  <si>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</si>
  <si>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</si>
  <si>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</si>
  <si>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</si>
  <si>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</si>
  <si>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</si>
  <si>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</si>
  <si>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</si>
  <si>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</si>
  <si>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</si>
  <si>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</si>
  <si>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0007964</t>
  </si>
  <si>
    <t>Erytrocyty z aferézy deleukotizované</t>
  </si>
  <si>
    <t>3</t>
  </si>
  <si>
    <t>0001018</t>
  </si>
  <si>
    <t>ŠROUB SAMOŘEZNÝ KORTIKÁLNÍ MALÝ FRAGMENTY OCEL</t>
  </si>
  <si>
    <t>0001027</t>
  </si>
  <si>
    <t>0001052</t>
  </si>
  <si>
    <t>DLAHA LC-DCP ROVNÁ MALÉ FRAGMENT OCEL</t>
  </si>
  <si>
    <t>0001699</t>
  </si>
  <si>
    <t>DRÁT CERKLÁŽNÍ OCEL</t>
  </si>
  <si>
    <t>0001739</t>
  </si>
  <si>
    <t>DRÁT KIRSCHNERŮV OCEL</t>
  </si>
  <si>
    <t>0001740</t>
  </si>
  <si>
    <t>0002264</t>
  </si>
  <si>
    <t>FIXÁTOR ZEVNÍ TRUBKOVÝ, SYNTHES</t>
  </si>
  <si>
    <t>0002425</t>
  </si>
  <si>
    <t>FIXÁTOR ZEVNÍ JEDNOROVINNÝ/DVOUROVINNÝ TRUBKOVÝ, S</t>
  </si>
  <si>
    <t>0003008</t>
  </si>
  <si>
    <t>DLAHA ROVNÁ REKONSTRUKČNÍ PÁNEV MALÝ FRAGMENT OCEL</t>
  </si>
  <si>
    <t>0004070</t>
  </si>
  <si>
    <t>ŠROUB LCP A VA-LCP SAMOŘEZNÝ MALÝ FRAGMENT OCEL</t>
  </si>
  <si>
    <t>0004073</t>
  </si>
  <si>
    <t>0004077</t>
  </si>
  <si>
    <t>0005606</t>
  </si>
  <si>
    <t>NÁVLEK NA OPMI, TYP 71                      306071</t>
  </si>
  <si>
    <t>0010457</t>
  </si>
  <si>
    <t>ČEP SAMOŘEZNÝ JISTÍCÍ OCEL</t>
  </si>
  <si>
    <t>0010484</t>
  </si>
  <si>
    <t>0010678</t>
  </si>
  <si>
    <t>HŘEB STANDARDNÍ TIBIE OCEL TITAN</t>
  </si>
  <si>
    <t>0010767</t>
  </si>
  <si>
    <t>0010768</t>
  </si>
  <si>
    <t>0012683</t>
  </si>
  <si>
    <t>IMPLANTÁT MAXILLOFACIÁLNÍ</t>
  </si>
  <si>
    <t>0012715</t>
  </si>
  <si>
    <t>0012979</t>
  </si>
  <si>
    <t>STAPLER CIRKULÁRNÍ ZAHNUTÝ - CDH</t>
  </si>
  <si>
    <t>0012999</t>
  </si>
  <si>
    <t>STAPLER LINEÁRNÍ S NOŽEM - TCT55; TLC55 (S PZT 001</t>
  </si>
  <si>
    <t>0013002</t>
  </si>
  <si>
    <t>STAPLER LINEÁRNÍ - TL60; TLH60 (S PZT 0013006)</t>
  </si>
  <si>
    <t>0013004</t>
  </si>
  <si>
    <t>STAPLER LINEÁRNÍ - TX60B; TX60G (S PZT 0053770)</t>
  </si>
  <si>
    <t>0013009</t>
  </si>
  <si>
    <t>ZÁSOBNÍK PRO STAPLER LIN S NOŽEM - (TCR/TRT/TRD)75</t>
  </si>
  <si>
    <t>0013010</t>
  </si>
  <si>
    <t xml:space="preserve">STAPLER LINEÁRNÍ S NOŽEM - TCT75; TLC75; TCD75 (S </t>
  </si>
  <si>
    <t>0017333</t>
  </si>
  <si>
    <t>DLAHA MALÝ FRAGMENT OCEL</t>
  </si>
  <si>
    <t>0017413</t>
  </si>
  <si>
    <t>ŠROUB SPONGIOZNÍ MALÝ FRAGMENT OCEL</t>
  </si>
  <si>
    <t>0017422</t>
  </si>
  <si>
    <t>ŠROUB KORTIKÁLNÍ VELKÝ FRAGMENT OCEL</t>
  </si>
  <si>
    <t>0017745</t>
  </si>
  <si>
    <t>0017749</t>
  </si>
  <si>
    <t>0017751</t>
  </si>
  <si>
    <t>0024855</t>
  </si>
  <si>
    <t>ZASLEPOVACÍ HLAVA FEMUR TITAN</t>
  </si>
  <si>
    <t>0024889</t>
  </si>
  <si>
    <t>HŘEB FEMUR TITAN</t>
  </si>
  <si>
    <t>0027737</t>
  </si>
  <si>
    <t>DLAHA LCP ROVNÁ MALÝ FRAGMENT OCEL</t>
  </si>
  <si>
    <t>0028338</t>
  </si>
  <si>
    <t>SET RENÁLNÍ A NEFROSTOMICKÝ RE400740,400840,400940</t>
  </si>
  <si>
    <t>0028382</t>
  </si>
  <si>
    <t>SET RENÁLNÍ A NEFROSTOMICKÝ RE 440720</t>
  </si>
  <si>
    <t>0028411</t>
  </si>
  <si>
    <t>SET RENÁLNÍ A NEFROSTOMICKÝ RE 450105..106..110</t>
  </si>
  <si>
    <t>0030400</t>
  </si>
  <si>
    <t>ŠROUB LCP SAMOŘEZNÝ VELKÝ FRAGMENT OCEL</t>
  </si>
  <si>
    <t>0030409</t>
  </si>
  <si>
    <t>0030415</t>
  </si>
  <si>
    <t>0030454</t>
  </si>
  <si>
    <t>ŠROUB LCP SAMOŘEZNÝ MALÝ FRAGMENT TITAN</t>
  </si>
  <si>
    <t>0030458</t>
  </si>
  <si>
    <t>0030494</t>
  </si>
  <si>
    <t>ŠROUB LCP SAMOŘEZNÝ VELKÝ FRAGMENT TITAN</t>
  </si>
  <si>
    <t>0030501</t>
  </si>
  <si>
    <t>0030509</t>
  </si>
  <si>
    <t>0030515</t>
  </si>
  <si>
    <t xml:space="preserve">ZÁSOBNÍK PRO LINEÁRNÍ STAPLER - TA PREMIUM 55-4.8 </t>
  </si>
  <si>
    <t>0030617</t>
  </si>
  <si>
    <t>STAPLER KOŽNÍ ROYAL - 35W</t>
  </si>
  <si>
    <t>0030705</t>
  </si>
  <si>
    <t>0030724</t>
  </si>
  <si>
    <t>DLAHA LCP PATNÍ OCEL MALÝ FRAGMENT TITAN</t>
  </si>
  <si>
    <t>0031337</t>
  </si>
  <si>
    <t>0031437</t>
  </si>
  <si>
    <t>DLAHA LCP A VA-LCP HUMERUS DISTÁLNÍ MALÝ FRAGMENT</t>
  </si>
  <si>
    <t>0031495</t>
  </si>
  <si>
    <t>DLAHA LCP FEMUR DISTÁLNÍ VELKÝ FRAGMENT OCEL TITAN</t>
  </si>
  <si>
    <t>0034884</t>
  </si>
  <si>
    <t>ŠROUB STARDRIVE ZAJIŠŤOVACÍ TITAN</t>
  </si>
  <si>
    <t>0037145</t>
  </si>
  <si>
    <t>PROTÉZA GORE-TEX CÉVNÍ - PRUŽNÁ TENKOSTĚNNÁ</t>
  </si>
  <si>
    <t>0037174</t>
  </si>
  <si>
    <t>PROTÉZA GORE-TEX CÉVNÍ - PRUŽNÁ TENK.S ODSTR.KROUŽ</t>
  </si>
  <si>
    <t>0042394</t>
  </si>
  <si>
    <t>ŠROUB KORTIKÁLNÍ HEXA DRIVE 7, APTUS RADIUS 2,5</t>
  </si>
  <si>
    <t>0043984</t>
  </si>
  <si>
    <t>ČIDLO PRO MĚŘENÍ NITROLEBNÍHO TLAKU NEUROVENT</t>
  </si>
  <si>
    <t>0046612</t>
  </si>
  <si>
    <t>DRÁT VODÍCÍ LUNDERQUIST RE-420780..180..380</t>
  </si>
  <si>
    <t>0046894</t>
  </si>
  <si>
    <t>PROTÉZA CÉVNÍ GELSOFT PLUS DÉLKA 30/25 CM</t>
  </si>
  <si>
    <t>0046896</t>
  </si>
  <si>
    <t>PROTÉZA CÉVNÍ GELSOFT PLUS DÉLKA 15 CM</t>
  </si>
  <si>
    <t>0046898</t>
  </si>
  <si>
    <t>PROTÉZA CÉVNÍ BIF.GELSOFT PLUS DÉLKA 45CM</t>
  </si>
  <si>
    <t>0048989</t>
  </si>
  <si>
    <t>ELEKTRODA KOAGULAČNÍ JEDNORÁZOVÁ GN211</t>
  </si>
  <si>
    <t>0049489</t>
  </si>
  <si>
    <t>ZÁSOBNÍK PRO ENDOSTAPLER - ECHELON ENDOPATH 45/60;</t>
  </si>
  <si>
    <t>0051334</t>
  </si>
  <si>
    <t>KATETR URETERÁLNÍ,POLLACK,FLEXI-TIP U-021305</t>
  </si>
  <si>
    <t>0051607</t>
  </si>
  <si>
    <t>SADA GASTROSTOMICKÁ - PEG</t>
  </si>
  <si>
    <t>0053772</t>
  </si>
  <si>
    <t>STAPLER LINEÁRNÍ S NOŽEM - TCT10; TLC10 (S PZT 005</t>
  </si>
  <si>
    <t>0053774</t>
  </si>
  <si>
    <t>ZÁSOBNÍK PRO STAPLER LINEÁRNÍ S NOŽEM - TRT10,TCR1</t>
  </si>
  <si>
    <t>0053801</t>
  </si>
  <si>
    <t>ECMO - OXYGENÁTOR,PLS-SYSTÉM DLOUHODOBÉ ŽIVOTNÍ PO</t>
  </si>
  <si>
    <t>0054512</t>
  </si>
  <si>
    <t>SYSTÉM ZEVNÍ DRENÁŽNÍ A MONITOROVACÍ LIKVOROVÝ DOČ</t>
  </si>
  <si>
    <t>0054518</t>
  </si>
  <si>
    <t>SYSTÉM ZEVNÍ DRENÁŽNÍ A MONITOROVACÍ LIKVOROVÝ</t>
  </si>
  <si>
    <t>0054525</t>
  </si>
  <si>
    <t>DRÁT VODÍCÍ</t>
  </si>
  <si>
    <t>0056288</t>
  </si>
  <si>
    <t>KATETR BALÓNKOVÝ FOGARTY EMBOLEKTOMICKÝ - 120403F</t>
  </si>
  <si>
    <t>0056289</t>
  </si>
  <si>
    <t>KATETR BALÓNKOVÝ FOGARTY EMBOLEKTOMICKÝ - 120803F</t>
  </si>
  <si>
    <t>0056291</t>
  </si>
  <si>
    <t>KATETR BALÓNKOVÝ FOGARTY EMBOLEKTOMICKÝ - 120804F</t>
  </si>
  <si>
    <t>0056292</t>
  </si>
  <si>
    <t>KATETR BALÓNKOVÝ FOGARTY EMBOLEKTOMICKÝ - 120805F</t>
  </si>
  <si>
    <t>0056301</t>
  </si>
  <si>
    <t>KATETR BALÓNKOVÝ FOGARTY EMBOLEKTOMICKÝ - TRU-LUME</t>
  </si>
  <si>
    <t>0056306</t>
  </si>
  <si>
    <t>KATETR BALÓNKOVÝ FOGARTY OKLUZNÍ - 620405F</t>
  </si>
  <si>
    <t>0057937</t>
  </si>
  <si>
    <t>ZÁPLATA KARDIOVASKULÁRNÍ GORE-TEX 0,5MM</t>
  </si>
  <si>
    <t>0058622</t>
  </si>
  <si>
    <t>STENT PERIFERNÍ URETERÁLNÍ WHITE STAR STENOSIS</t>
  </si>
  <si>
    <t>0058756</t>
  </si>
  <si>
    <t>VODIČ DRÁTĚNÝ ROADRUNNER</t>
  </si>
  <si>
    <t>0067020</t>
  </si>
  <si>
    <t xml:space="preserve">IMPLANTÁT SPINÁLNÍ SYSTÉM CERVIFIX                </t>
  </si>
  <si>
    <t>0067160</t>
  </si>
  <si>
    <t>IMPLANTÁT ORBITÁLNÍ PDS ZX3,ZX4,ZX7 VSTŘEBATELNÝ</t>
  </si>
  <si>
    <t>0067415</t>
  </si>
  <si>
    <t xml:space="preserve">IMPLANTÁT SPINÁLNÍ SYSTÉM CASPAR                  </t>
  </si>
  <si>
    <t>0067537</t>
  </si>
  <si>
    <t>IMPLANTÁT SPINÁLNÍ SYSTÉM CASPAR,KRČNÍ,PŘEDNÍ PŘÍS</t>
  </si>
  <si>
    <t>0069500</t>
  </si>
  <si>
    <t>KANYLA TRACHEOSTOMICKÁ  S NÍZKOTLAKOU  MANŽETOU</t>
  </si>
  <si>
    <t>0070875</t>
  </si>
  <si>
    <t>ČEP SAMOŘEZNÝ JISTÍCÍ TITAN</t>
  </si>
  <si>
    <t>0070958</t>
  </si>
  <si>
    <t>ŠROUB NOSNÝ FEMUR PROXIMÁLNÍ OCEL</t>
  </si>
  <si>
    <t>0070959</t>
  </si>
  <si>
    <t>HŘEB FEMUR PROXIMÁLNÍ DLOUHÝ OCEL</t>
  </si>
  <si>
    <t>0070964</t>
  </si>
  <si>
    <t>ŠROUB SAMOŘEZNÝ ANTIROTAČNÍ FEMUR PROXIMÁLNÍ OCEL</t>
  </si>
  <si>
    <t>0071596</t>
  </si>
  <si>
    <t>FIXÁTOR HYBRIDNÍ KRUHOVÝ</t>
  </si>
  <si>
    <t>0071602</t>
  </si>
  <si>
    <t>FIXÁTOR ZEVNÍ JEDNOROVINNÝ/DVOUROVINNÝ TRUBKOVÝ SY</t>
  </si>
  <si>
    <t>0073578</t>
  </si>
  <si>
    <t>ŠROUB SAMOŘEZNÝ KORTIKÁLNÍ MINI FRAGMENT TITAN</t>
  </si>
  <si>
    <t>0073660</t>
  </si>
  <si>
    <t>0073679</t>
  </si>
  <si>
    <t>0074314</t>
  </si>
  <si>
    <t>ŠROUB ZAJIŠŤOVACÍ  TITANOVÝ TARGON</t>
  </si>
  <si>
    <t>0074722</t>
  </si>
  <si>
    <t>HŘEB FEMORÁLNÍ PROXIMÁLNÍ TITANOVÝ KRÁTKÝ TARGON P</t>
  </si>
  <si>
    <t>0074723</t>
  </si>
  <si>
    <t>ŠROUB ZAJIŠŤOVACÍ, SAMOŘEZNÝ, UZAMYKATELNÝ TI TARG</t>
  </si>
  <si>
    <t>0082001</t>
  </si>
  <si>
    <t>NPWT-V.A.C. GRANUFOAM (PU PĚNA) VELIKOST L</t>
  </si>
  <si>
    <t>0082079</t>
  </si>
  <si>
    <t>KRYTÍ COM 30 OBVAZOVÁ TEXTÍLIE KOMBINOVANÁ</t>
  </si>
  <si>
    <t>0083205</t>
  </si>
  <si>
    <t>DLAHA LCP PÁNEV SYMFÝZA OCEL</t>
  </si>
  <si>
    <t>0083212</t>
  </si>
  <si>
    <t>DLAHA LCP NIZKOPROFILOVÁ  REKONSTRUKČNÍ PÁNEV OCEL</t>
  </si>
  <si>
    <t>0083217</t>
  </si>
  <si>
    <t>0083241</t>
  </si>
  <si>
    <t>DLAHA LCP A VA-LCP OLEKRANON MALÝ FRAGMENT OCEL TI</t>
  </si>
  <si>
    <t>0083991</t>
  </si>
  <si>
    <t>ŠROUB ZAMYKACÍ HEXA DRIVE 7, APTUS RADIUS 2,5</t>
  </si>
  <si>
    <t>0083992</t>
  </si>
  <si>
    <t>0091802</t>
  </si>
  <si>
    <t>IMPLANTÁT KOSTNÍ UMĚLÁ NÁHRADA ŠTĚPU  CHRONOS STRI</t>
  </si>
  <si>
    <t>0092078</t>
  </si>
  <si>
    <t>STAPLER LINEÁRNÍ S NOŽEM - CONTOUR; ZAHNUTÝ, NÍZKÁ</t>
  </si>
  <si>
    <t>0092079</t>
  </si>
  <si>
    <t>ZÁSOBNÍK PRO LINEÁRNÍ STAPLER - CR40B,CR40G (PRO P</t>
  </si>
  <si>
    <t>0097790</t>
  </si>
  <si>
    <t>DLAHA LCP HUMERUS DISTÁLNÍ MALÝ FRAGMENT TITAN</t>
  </si>
  <si>
    <t>0097804</t>
  </si>
  <si>
    <t>0097808</t>
  </si>
  <si>
    <t>ŠROUB LCP SAMOŘEZNÝ MALÝ FRAGMNET TITAN</t>
  </si>
  <si>
    <t>0097876</t>
  </si>
  <si>
    <t>PODLOŽKA MALÝ FRAGMENT TITAN</t>
  </si>
  <si>
    <t>0098656</t>
  </si>
  <si>
    <t>ŠROUB KANYLOVANÝ TI T-DRIVE</t>
  </si>
  <si>
    <t>0098685</t>
  </si>
  <si>
    <t>PODLOŽKA TI</t>
  </si>
  <si>
    <t>0099076</t>
  </si>
  <si>
    <t>HŘEB FEMORÁLNÍ PROXIMÁLNÍ, TI</t>
  </si>
  <si>
    <t>0099080</t>
  </si>
  <si>
    <t>ZÁSLEPKA, TI</t>
  </si>
  <si>
    <t>0099081</t>
  </si>
  <si>
    <t>ŠROUB KOTVÍCÍ, TI</t>
  </si>
  <si>
    <t>0099484</t>
  </si>
  <si>
    <t>ŠROUB ZAJIŠŤ.,PLNÝ ZÁVIT,PR. 5MM, TI</t>
  </si>
  <si>
    <t>0099754</t>
  </si>
  <si>
    <t>ZASLEPOVACÍ HLAVA TIBIE ÚHLOVĚ STABILNÍ TITAN</t>
  </si>
  <si>
    <t>0099756</t>
  </si>
  <si>
    <t>HŘEB KANYLOVANÝ FEMUR LATERÁLNÍ TITAN</t>
  </si>
  <si>
    <t>0099934</t>
  </si>
  <si>
    <t>ŠROUB SAMOVRTNÝ KANYLOVANÝ VELKÝ FRAGMENT TITAN</t>
  </si>
  <si>
    <t>0105745</t>
  </si>
  <si>
    <t xml:space="preserve">DLAHA RADIÁLNÍ VOLÁRNÍ PRO FIXACI FRAK.V DISTÁLNÍ </t>
  </si>
  <si>
    <t>0105749</t>
  </si>
  <si>
    <t>ŠROUB KORTIKÁLNÍ/HLADKÝ PRO FIXACI FRAK.V DIST.ČÁS</t>
  </si>
  <si>
    <t>0108143</t>
  </si>
  <si>
    <t>DLAHA VOLÁRNÍ WATERSHED, DLOUHÁ, APTUS RADIUS 2,5</t>
  </si>
  <si>
    <t>0111983</t>
  </si>
  <si>
    <t>ŠROUB KOMPRESNÍ HBS2 TI T-DRIVE</t>
  </si>
  <si>
    <t>0112074</t>
  </si>
  <si>
    <t>CEMENT KOSTNÍ VANCOGENX VANCOMYCIN+GENTAMICIN 1X40</t>
  </si>
  <si>
    <t>0163241</t>
  </si>
  <si>
    <t xml:space="preserve">IMPLANTÁT MAXILLOFACIÁLNÍ STŘEDNÍ OBLIČEJOVÁ ETÁŽ </t>
  </si>
  <si>
    <t>0163243</t>
  </si>
  <si>
    <t>0163249</t>
  </si>
  <si>
    <t>0163251</t>
  </si>
  <si>
    <t>0163261</t>
  </si>
  <si>
    <t>0163264</t>
  </si>
  <si>
    <t>0163266</t>
  </si>
  <si>
    <t>0013054</t>
  </si>
  <si>
    <t>STAPLER KOŽNÍ, 35 NEREZ.OCEL. NÁPLNÍ PMW35,PMR35</t>
  </si>
  <si>
    <t>0048555</t>
  </si>
  <si>
    <t>SÍŤKA BIODEGRADABILNÍ ČTYŘVRSTEVNÁ SURGISIS</t>
  </si>
  <si>
    <t>0031490</t>
  </si>
  <si>
    <t>DLAHA LCP TIBIE PROXIMÁLNÍ VELKÝ FRAGMENT OCEL TIT</t>
  </si>
  <si>
    <t>0097835</t>
  </si>
  <si>
    <t>0111959</t>
  </si>
  <si>
    <t>DLAHA PRO DISTÁLNÍ ULNU, APTUS RADIUS 2,5</t>
  </si>
  <si>
    <t>0083990</t>
  </si>
  <si>
    <t>0073963</t>
  </si>
  <si>
    <t>ŠROUB SAMOŘEZNÝ KORTIKÁLNÍ PÁNEV OCEL</t>
  </si>
  <si>
    <t>0099483</t>
  </si>
  <si>
    <t>ŠROUB KONDYLÁRNÍ PR. 5MM, TI</t>
  </si>
  <si>
    <t>0042396</t>
  </si>
  <si>
    <t>0082145</t>
  </si>
  <si>
    <t>NPWT-RENASYS GO SBĚRNÁ NÁDOBA MALÁ</t>
  </si>
  <si>
    <t>0081995</t>
  </si>
  <si>
    <t>NPWT-RENASYS EZ SBĚRNÁ NÁDOBA VELKÁ</t>
  </si>
  <si>
    <t>0046895</t>
  </si>
  <si>
    <t>PROTÉZA CÉVNÍ GELSOFT PLUS DÉLKA 25 CM</t>
  </si>
  <si>
    <t>0083886</t>
  </si>
  <si>
    <t>PROXIMÁLNÍ KOMPRESNÍ ŠROUB, PRO RADIUS / ULNU</t>
  </si>
  <si>
    <t>0083885</t>
  </si>
  <si>
    <t>ŠROUB ZAJIŠŤOVACÍ DISTÁLNÍ, PRO RADIUS / ULNU, MON</t>
  </si>
  <si>
    <t>0083884</t>
  </si>
  <si>
    <t>ŠROUB ZAJIŠŤOVACÍ PROXIMÁLNÍ, PRO RADIUS / ULNU</t>
  </si>
  <si>
    <t>0083883</t>
  </si>
  <si>
    <t>HŘEB PRO RADIUS / ULNU, TITANOVÝ</t>
  </si>
  <si>
    <t>0082142</t>
  </si>
  <si>
    <t>NPWT-RENASYS F PŘEVAZOVÝ SET STŘEDNÍ M</t>
  </si>
  <si>
    <t>0054443</t>
  </si>
  <si>
    <t>OBĚH MIMOTĚLNÍ - OXYGENÁTOR-SADA PŘÍSLUŠENSTVÍ,ECM</t>
  </si>
  <si>
    <t>0099077</t>
  </si>
  <si>
    <t>HŘEB FEMORÁLNÍ PROXIMÁLNÍ DLOUHÝ L/R, TI</t>
  </si>
  <si>
    <t>0042395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</si>
  <si>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</si>
  <si>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</si>
  <si>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</si>
  <si>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</si>
  <si>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</si>
  <si>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</si>
  <si>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</si>
  <si>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KOŽNÍCH SVOREK - PROXIMATE</t>
  </si>
  <si>
    <t>0019159</t>
  </si>
  <si>
    <t>DLAHA PRO ŽEBRA</t>
  </si>
  <si>
    <t>0073264</t>
  </si>
  <si>
    <t>K-DRÁT MEDIN</t>
  </si>
  <si>
    <t>0056393</t>
  </si>
  <si>
    <t>ZAVADĚČ CHECK-FLO III MIKROPUNKČNÍ BEZ VODIČE</t>
  </si>
  <si>
    <t>0114292</t>
  </si>
  <si>
    <t>IMPLANTÁT SPINÁL.NÁHRADA MEZIOBRATL. FUSION CAGE K</t>
  </si>
  <si>
    <t>0043968</t>
  </si>
  <si>
    <t>0002263</t>
  </si>
  <si>
    <t>FIXÁTOR ZEVNÍ JEDNOROVINNÝ TUBULÁRNÍ,SYNTHES</t>
  </si>
  <si>
    <t>0107930</t>
  </si>
  <si>
    <t>ŠROUB CHARLOTTE FIXACE NOHY</t>
  </si>
  <si>
    <t>0152127</t>
  </si>
  <si>
    <t>STAPLER LINEÁRNÍ S NOŽEM - LC6045 (PRO PZT 0152133</t>
  </si>
  <si>
    <t>0152130</t>
  </si>
  <si>
    <t>STAPLER LINEÁRNÍ S NOŽEM - LC8045 (PRO PZT 0152134</t>
  </si>
  <si>
    <t>0049483</t>
  </si>
  <si>
    <t>SPO2 SENSOR PRO NEDONOŠENÉ NOVOROZENCE&lt;1KG</t>
  </si>
  <si>
    <t>0142062</t>
  </si>
  <si>
    <t>0142096</t>
  </si>
  <si>
    <t>0142063</t>
  </si>
  <si>
    <t>0005601</t>
  </si>
  <si>
    <t>NÁVLEK NA OPMI, TYP 18                      326018</t>
  </si>
  <si>
    <t>00651</t>
  </si>
  <si>
    <t>OD TYPU 51 - PRO NEMOCNICE TYPU 3, (KATEGORIE 6) -</t>
  </si>
  <si>
    <t>00655</t>
  </si>
  <si>
    <t>OD TYPU 55 - PRO NEMOCNICE TYPU 3, (KATEGORIE 6) -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</si>
  <si>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</si>
  <si>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</si>
  <si>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</si>
  <si>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</si>
  <si>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</si>
  <si>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</si>
  <si>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</si>
  <si>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</si>
  <si>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</si>
  <si>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</si>
  <si>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</si>
  <si>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</si>
  <si>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</si>
  <si>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</si>
  <si>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</si>
  <si>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</si>
  <si>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90906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</si>
  <si>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</si>
  <si>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</si>
  <si>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</si>
  <si>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</si>
  <si>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</si>
  <si>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</si>
  <si>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</si>
  <si>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</si>
  <si>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</si>
  <si>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</si>
  <si>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</si>
  <si>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</si>
  <si>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</si>
  <si>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</si>
  <si>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</si>
  <si>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</si>
  <si>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90905</t>
  </si>
  <si>
    <t>6F1</t>
  </si>
  <si>
    <t>56413</t>
  </si>
  <si>
    <t>MIKROCHIRURGICKÁ SUTURA NERVU PŘÍMÁ BEZ AUTOTRANSP</t>
  </si>
  <si>
    <t>61113</t>
  </si>
  <si>
    <t xml:space="preserve">REVIZE, EXCIZE A SUTURA PORANĚNÍ KŮŽE A PODKOŽÍ A </t>
  </si>
  <si>
    <t>61147</t>
  </si>
  <si>
    <t>UZAVŘENÍ DEFEKTU KOŽNÍM LALOKEM MÍSTNÍM DO 10 CM^2</t>
  </si>
  <si>
    <t>61247</t>
  </si>
  <si>
    <t>OPERACE KARPÁLNÍHO TUNELU</t>
  </si>
  <si>
    <t>61115</t>
  </si>
  <si>
    <t>61151</t>
  </si>
  <si>
    <t>UZAVŘENÍ DEFEKTU KOŽNÍM LALOKEM MÍSTNÍM NAD 20 CM^</t>
  </si>
  <si>
    <t>61165</t>
  </si>
  <si>
    <t>ROZPROSTŘENÍ NEBO MODELACE LALOKU</t>
  </si>
  <si>
    <t>53517</t>
  </si>
  <si>
    <t>SUTURA NEBO REINSERCE ŠLACHY FLEXORU RUKY A ZÁPĚST</t>
  </si>
  <si>
    <t>62320</t>
  </si>
  <si>
    <t>NEKREKTOMIE DO 5 % POVRCHU TĚLA - TANGENCIÁLNÍ NEB</t>
  </si>
  <si>
    <t>53515</t>
  </si>
  <si>
    <t>SUTURA ŠLACHY EXTENSORU RUKY A ZÁPĚSTÍ</t>
  </si>
  <si>
    <t>66411</t>
  </si>
  <si>
    <t>AMPUTACE PRSTU RUKY NEBO ČLÁNKU PRSTU - ZA PRVNÍ P</t>
  </si>
  <si>
    <t>6F3</t>
  </si>
  <si>
    <t>6F5</t>
  </si>
  <si>
    <t>04400</t>
  </si>
  <si>
    <t>SVODNÁ ANESTEZIE</t>
  </si>
  <si>
    <t>04410</t>
  </si>
  <si>
    <t>INJEKČNÍ  ANESTESIE</t>
  </si>
  <si>
    <t>04801</t>
  </si>
  <si>
    <t>ZEVNÍ INCISE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</si>
  <si>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</si>
  <si>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</si>
  <si>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</si>
  <si>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</si>
  <si>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</si>
  <si>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</si>
  <si>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</si>
  <si>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</si>
  <si>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65219</t>
  </si>
  <si>
    <t>KOMPLEXNÍ OŠETŘENÍ VĚTŠÍCH OBLIČEJOVÝCH DEFEKTŮ</t>
  </si>
  <si>
    <t>65613</t>
  </si>
  <si>
    <t>EXCIZE LÉZE V ÚSTNÍ DUTINĚ - OD 2 CM DO 4 CM</t>
  </si>
  <si>
    <t>65949</t>
  </si>
  <si>
    <t>OŠETŘENÍ KOLEMČELISTNÍHO ZÁNĚTU A DRENÁŽ</t>
  </si>
  <si>
    <t>71653</t>
  </si>
  <si>
    <t>ZAVŘENÁ REPOZICE FRAKTURY KŮSTEK NOSNÍCH</t>
  </si>
  <si>
    <t>65211</t>
  </si>
  <si>
    <t>OŠETŘENÍ ZLOMENINY ČELISTI DESTIČKOVOU ŠROUBOVANOU</t>
  </si>
  <si>
    <t>65935</t>
  </si>
  <si>
    <t xml:space="preserve">REPOZICE A FIXACE ZLOMENINY ZYGOMATIKOMAXILÁRNÍHO </t>
  </si>
  <si>
    <t>65936</t>
  </si>
  <si>
    <t xml:space="preserve">REPOZICE ZLOMENINY ZYGOMATIKOMAXILÁRNÍHO KOMPLEXU </t>
  </si>
  <si>
    <t>75381</t>
  </si>
  <si>
    <t>REKOSTRUKCE SPODINY OČNICE</t>
  </si>
  <si>
    <t>6F6</t>
  </si>
  <si>
    <t>66919</t>
  </si>
  <si>
    <t>SEKVESTROTOMIE</t>
  </si>
  <si>
    <t>66877</t>
  </si>
  <si>
    <t>TREPANACE A DRENÁŽ KOSTI</t>
  </si>
  <si>
    <t>708</t>
  </si>
  <si>
    <t>71719</t>
  </si>
  <si>
    <t>VÝMĚNA TRACHEOSTOMICKÉ KANYLY</t>
  </si>
  <si>
    <t>7F1</t>
  </si>
  <si>
    <t>71311</t>
  </si>
  <si>
    <t>LARYNGOSKOPIE PŘÍMÁ</t>
  </si>
  <si>
    <t>71537</t>
  </si>
  <si>
    <t>MASTOIDEKTOMIE</t>
  </si>
  <si>
    <t>71747</t>
  </si>
  <si>
    <t>ČÁSTEČNÁ EXSTIRPACE KRČNÍCH UZLIN</t>
  </si>
  <si>
    <t>71751</t>
  </si>
  <si>
    <t>EXENTERACE KRČNÍCH UZLIN JEDNOSTRANNÁ</t>
  </si>
  <si>
    <t>71763</t>
  </si>
  <si>
    <t>TONZILEKTOMIE</t>
  </si>
  <si>
    <t>71811</t>
  </si>
  <si>
    <t>LIGATURA A. CAROTIS EXT.</t>
  </si>
  <si>
    <t>71823</t>
  </si>
  <si>
    <t>POUŽITÍ MIKROSKOPU PŘI OPERAČNÍM VÝKONU Á 10 MINUT</t>
  </si>
  <si>
    <t>76801</t>
  </si>
  <si>
    <t>POUŽITÍ TELEVIZNÍHO ŘETĚZCE PŘI ENDOSKOPICKÉM VÝKO</t>
  </si>
  <si>
    <t>71639</t>
  </si>
  <si>
    <t>ENDOSKOPICKÁ OPERACE V NOSNÍ DUTINĚ</t>
  </si>
  <si>
    <t>71315</t>
  </si>
  <si>
    <t>LARYNGOSKOPIE NEBO EPIFARYNGOSKOPIE FLEXIBILNÍ OPT</t>
  </si>
  <si>
    <t>71729</t>
  </si>
  <si>
    <t>ODSTRANĚNÍ POLYPU NEBO JINÉHO NOVOTVARU Z HRTANU N</t>
  </si>
  <si>
    <t>71665</t>
  </si>
  <si>
    <t>FENESTRACE ČELNÍ DUTINY</t>
  </si>
  <si>
    <t>7F5</t>
  </si>
  <si>
    <t>75323</t>
  </si>
  <si>
    <t>PENETRUJÍCÍ A PERFORUJÍCÍ PORANĚNÍ OKA</t>
  </si>
  <si>
    <t>7F6</t>
  </si>
  <si>
    <t>76439</t>
  </si>
  <si>
    <t>ORCHIECTOMIE JEDNOSTRANNÁ</t>
  </si>
  <si>
    <t>76459</t>
  </si>
  <si>
    <t>LIGATURA VAS DEFERENS (VAZEKTOMIE) JEDNOSTRANNÁ</t>
  </si>
  <si>
    <t>76477</t>
  </si>
  <si>
    <t>NEFREKTOMIE LUMBÁLNÍ JEDNOSTRANNÁ</t>
  </si>
  <si>
    <t>76479</t>
  </si>
  <si>
    <t>NEFREKTOMIE TRANSPERITONEÁLNÍ</t>
  </si>
  <si>
    <t>76483</t>
  </si>
  <si>
    <t>RESEKCE LEDVINY NEBO HEMINEFREKTOMIE JEDNOSTRANNÁ</t>
  </si>
  <si>
    <t>76121</t>
  </si>
  <si>
    <t>NEFROSTOMOGRAM (JEN KLINICKÝ VÝKON)</t>
  </si>
  <si>
    <t>76531</t>
  </si>
  <si>
    <t>CYSTOURETROSKOPIE</t>
  </si>
  <si>
    <t>76215</t>
  </si>
  <si>
    <t>KATETRIZACE URETERU, NEBO EXTRAKCE KONKREMENTU Z M</t>
  </si>
  <si>
    <t>76565</t>
  </si>
  <si>
    <t>BIOPSIE EV. EXTRAKCE Z MĚCHÝŘE - CIZÍ TĚLESO, KONK</t>
  </si>
  <si>
    <t>76335</t>
  </si>
  <si>
    <t>OPERAČNÍ REVIZE PERIRENÁLNÍCH NEBO PERIURETERÁLNÍC</t>
  </si>
  <si>
    <t>7T8</t>
  </si>
  <si>
    <t>809</t>
  </si>
  <si>
    <t>89198</t>
  </si>
  <si>
    <t>SKIASKOPIE</t>
  </si>
  <si>
    <t>89313</t>
  </si>
  <si>
    <t xml:space="preserve">PERKUTÁNNÍ PUNKCE NEBO BIOPSIE ŘÍZENÁ RDG METODOU </t>
  </si>
  <si>
    <t>89327</t>
  </si>
  <si>
    <t>KONTROLNÍ NÁSTŘIK DRENÁŽNÍHO KATÉTRU</t>
  </si>
  <si>
    <t>89455</t>
  </si>
  <si>
    <t>PERKUTÁNNÍ NEFROSTOMIE JEDNOSTRANNÁ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</si>
  <si>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</si>
  <si>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</si>
  <si>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</si>
  <si>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</si>
  <si>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</si>
  <si>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</si>
  <si>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00122</t>
  </si>
  <si>
    <t xml:space="preserve">DLOUHODOBÁ MECHANICKÁ VENTILACE &gt; 240 HODIN (11-21 DNÍ) S EKO                                       </t>
  </si>
  <si>
    <t>00123</t>
  </si>
  <si>
    <t>00132</t>
  </si>
  <si>
    <t xml:space="preserve">DLOUHODOBÁ MECHANICKÁ VENTILACE &gt; 96 HODIN (5-10 DNÍ) S EKONO                                       </t>
  </si>
  <si>
    <t>00133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</si>
  <si>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</si>
  <si>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</si>
  <si>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</si>
  <si>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</si>
  <si>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01333</t>
  </si>
  <si>
    <t xml:space="preserve">NETRAUMATICKÉ INTRAKRANIÁLNÍ KRVÁCENÍ S MCC                                                         </t>
  </si>
  <si>
    <t>01353</t>
  </si>
  <si>
    <t xml:space="preserve">NESPECIFICKÁ CÉVNÍ MOZKOVÁ PŘÍHODA A PRECEREBRÁLNÍ OKLUZE BEZ                                       </t>
  </si>
  <si>
    <t>03302</t>
  </si>
  <si>
    <t xml:space="preserve">MALIGNÍ ONEMOCNĚNÍ UCHA, NOSU, ÚST A HRDLA S CC                                                     </t>
  </si>
  <si>
    <t>04310</t>
  </si>
  <si>
    <t xml:space="preserve">RESPIRAČNÍ SELHÁNÍ                                                                                  </t>
  </si>
  <si>
    <t>05000</t>
  </si>
  <si>
    <t xml:space="preserve">ÚMRTÍ DO 5 DNÍ OD PŘÍJMU PŘI HLAVNÍ DIAGNÓZE OBĚHOVÉHO SYSTÉM 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</si>
  <si>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</si>
  <si>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</si>
  <si>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</si>
  <si>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</si>
  <si>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</si>
  <si>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</si>
  <si>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</si>
  <si>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</si>
  <si>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</si>
  <si>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</si>
  <si>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</si>
  <si>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</si>
  <si>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05203</t>
  </si>
  <si>
    <t xml:space="preserve">JINÉ VÝKONY PŘI ONEMOCNĚNÍCH A PORUCHÁCH OBĚHOVÉHO SYSTÉMU S                                        </t>
  </si>
  <si>
    <t>05233</t>
  </si>
  <si>
    <t xml:space="preserve">PERKUTÁNNÍ KORONÁRNÍ ANGIOPLASTIKA, &lt;=2 POTAHOVANÉ STENTY PŘI                                       </t>
  </si>
  <si>
    <t>05371</t>
  </si>
  <si>
    <t xml:space="preserve">NEOBJASNĚNÁ SRDEČNÍ ZÁSTAVA BEZ CC                                                                  </t>
  </si>
  <si>
    <t>05382</t>
  </si>
  <si>
    <t xml:space="preserve">PERIFERNÍ A JINÉ VASKULÁRNÍ PORUCHY S CC                                                            </t>
  </si>
  <si>
    <t>05481</t>
  </si>
  <si>
    <t xml:space="preserve">ENDOVASKULÁRNÍ VÝKONY PRO AKUTNÍ ISCHÉMII V OBLASTI PERIFERNÍ                                       </t>
  </si>
  <si>
    <t>05482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</si>
  <si>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</si>
  <si>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</si>
  <si>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</si>
  <si>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</si>
  <si>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</si>
  <si>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ŽALUDKU, JÍCNU A DVANÁCTNÍKU S CC                                                   </t>
  </si>
  <si>
    <t>06023</t>
  </si>
  <si>
    <t xml:space="preserve">VELKÉ VÝKONY NA ŽALUDKU, JÍCNU A DVANÁCTNÍKU S MCC                                                  </t>
  </si>
  <si>
    <t>06031</t>
  </si>
  <si>
    <t xml:space="preserve">MENŠÍ VÝKONY NA TLUSTÉM A TENKÉM STŘEVU BEZ CC                                                      </t>
  </si>
  <si>
    <t>06032</t>
  </si>
  <si>
    <t xml:space="preserve">MENŠÍ VÝKONY NA TLUSTÉM A TENKÉM STŘEVU S CC                                                        </t>
  </si>
  <si>
    <t>06083</t>
  </si>
  <si>
    <t xml:space="preserve">LAPAROTOMICKÉ VÝKONY PŘI TŘÍSELNÉ, STEHENNÍ, UMBILIKÁLNÍ NEBO                                       </t>
  </si>
  <si>
    <t>06103</t>
  </si>
  <si>
    <t xml:space="preserve">JINÉ VÝKONY PŘI PORUCHÁCH A ONEMOCNĚNÍCH TRÁVICÍHO SYSTÉMU S                                        </t>
  </si>
  <si>
    <t>06322</t>
  </si>
  <si>
    <t xml:space="preserve">PORUCHY JÍCNU S CC                                                                                  </t>
  </si>
  <si>
    <t>06382</t>
  </si>
  <si>
    <t xml:space="preserve">JINÉ PORUCHY TRÁVICÍHO SYSTÉMU S CC                                                                 </t>
  </si>
  <si>
    <t>07303</t>
  </si>
  <si>
    <t xml:space="preserve">CIRHÓZA A ALKOHOLICKÁ HEPATITIDA S MCC                                                              </t>
  </si>
  <si>
    <t>07333</t>
  </si>
  <si>
    <t xml:space="preserve">PORUCHY JATER, KROMĚ MALIGNÍ CIRHÓZY A ALKOHOLICKÉ HEPATITIDY                                       </t>
  </si>
  <si>
    <t>08073</t>
  </si>
  <si>
    <t xml:space="preserve">AMPUTACE PŘI PORUCHÁCH MUSKULOSKELETÁLNÍHO SYSTÉMU A POJIVOVÉ                                       </t>
  </si>
  <si>
    <t>08081</t>
  </si>
  <si>
    <t xml:space="preserve">VÝKONY NA KYČLÍCH A STEHENNÍ KOSTI, KROMĚ REPLANTACE VELKÝCH                                        </t>
  </si>
  <si>
    <t>08152</t>
  </si>
  <si>
    <t xml:space="preserve">VÝKONY NA HORNÍCH KONČETINÁCH S CC                                                                  </t>
  </si>
  <si>
    <t>10023</t>
  </si>
  <si>
    <t xml:space="preserve">KOŽNÍ ŠTĚP A DEBRIDEMENT RÁNY PŘI ENDOKRINNÍCH, NUTRIČNÍCH A                                        </t>
  </si>
  <si>
    <t>10052</t>
  </si>
  <si>
    <t xml:space="preserve">VÝKONY NA ŠTÍTNÉ A PŘÍŠTITNÉ ŽLÁZE, THYROGLOSSÁLNÍ VÝKONY S C                                       </t>
  </si>
  <si>
    <t>10053</t>
  </si>
  <si>
    <t xml:space="preserve">VÝKONY NA ŠTÍTNÉ A PŘÍŠTITNÉ ŽLÁZE, THYROGLOSSÁLNÍ VÝKONY S M                                       </t>
  </si>
  <si>
    <t>11032</t>
  </si>
  <si>
    <t xml:space="preserve">VELKÉ VÝKONY NA LEDVINÁCH A MOČOVÝCH CESTÁCH S CC                                                   </t>
  </si>
  <si>
    <t>11042</t>
  </si>
  <si>
    <t xml:space="preserve">DIALÝZA A ELIMINAČNÍ METODY S CC                                                                    </t>
  </si>
  <si>
    <t>11083</t>
  </si>
  <si>
    <t xml:space="preserve">JINÉ VÝKONY PŘI PORUCHÁCH A ONEMOCNĚNÍCH LEDVIN A MOČOVÝCH CE                                       </t>
  </si>
  <si>
    <t>11303</t>
  </si>
  <si>
    <t xml:space="preserve">MALIGNÍ ONEMOCNĚNÍ LEDVIN A MOČOVÝCH CEST A LEDVINOVÉ SELHÁNÍ                                       </t>
  </si>
  <si>
    <t>13301</t>
  </si>
  <si>
    <t xml:space="preserve">MALIGNÍ ONEMOCNĚNÍ ŽENSKÉHO REPRODUKČNÍHO SYSTÉMU BEZ CC                                            </t>
  </si>
  <si>
    <t>13322</t>
  </si>
  <si>
    <t xml:space="preserve">MENSTRUAČNÍ A JINÉ PORUCHY ŽENSKÉHO REPRODUKČNÍHO SYSTÉMU S C                                       </t>
  </si>
  <si>
    <t>16023</t>
  </si>
  <si>
    <t xml:space="preserve">JINÉ VÝKONY PRO KREVNÍ ONEMOCNĚNÍ A NA KRVETVORNÝCH ORGÁNECH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</si>
  <si>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</si>
  <si>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</si>
  <si>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</si>
  <si>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</si>
  <si>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</si>
  <si>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</si>
  <si>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</si>
  <si>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</si>
  <si>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20333</t>
  </si>
  <si>
    <t xml:space="preserve">ŠKODLIVÉ UŽÍVÁNÍ A ZÁVISLOST NA ALKOHOLU S MCC                                                      </t>
  </si>
  <si>
    <t>21301</t>
  </si>
  <si>
    <t xml:space="preserve">PORANĚNÍ NA NESPECIFIKOVANÉM MÍSTĚ NEBO NA VÍCE MÍSTECH BEZ C                                       </t>
  </si>
  <si>
    <t>21303</t>
  </si>
  <si>
    <t xml:space="preserve">PORANĚNÍ NA NESPECIFIKOVANÉM MÍSTĚ NEBO NA VÍCE MÍSTECH S MCC                                       </t>
  </si>
  <si>
    <t>23013</t>
  </si>
  <si>
    <t xml:space="preserve">OPERAČNÍ VÝKON S DIAGNÓZOU JINÉHO KONTAKTU SE ZDRAVOTNICKÝMI                                        </t>
  </si>
  <si>
    <t>23323</t>
  </si>
  <si>
    <t xml:space="preserve">JINÉ FAKTORY OVLIVŇUJÍCÍ ZDRAVOTNÍ STAV S MCC                                                       </t>
  </si>
  <si>
    <t>25040</t>
  </si>
  <si>
    <t xml:space="preserve">DLOUHODOBÁ MECHANICKÁ VENTILACE PŘI POLYTRAUMATU &gt; 504 HODIN                                        </t>
  </si>
  <si>
    <t>25073</t>
  </si>
  <si>
    <t xml:space="preserve">DLOUHODOBÁ MECHANICKÁ VENTILACE PŘI POLYTRAUMATU &gt; 96 HODIN (                                       </t>
  </si>
  <si>
    <t>25370</t>
  </si>
  <si>
    <t xml:space="preserve">ÚMRTÍ DO 5 DNÍ OD PŘÍJMU PŘI POLYTRAUMATU                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</si>
  <si>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</si>
  <si>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</si>
  <si>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</si>
  <si>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</si>
  <si>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</si>
  <si>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</si>
  <si>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</si>
  <si>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12 - Urologická klinika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</si>
  <si>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</si>
  <si>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</si>
  <si>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</si>
  <si>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</si>
  <si>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</si>
  <si>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</si>
  <si>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</si>
  <si>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</si>
  <si>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</si>
  <si>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89173</t>
  </si>
  <si>
    <t>ANTEGRÁDNÍ PYELOGRAFIE JEDNOSTRANNÁ</t>
  </si>
  <si>
    <t>89165</t>
  </si>
  <si>
    <t>RETROGRÁDNÍ PYELOGRAFIE JEDNOSTRANNÁ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</si>
  <si>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</si>
  <si>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</si>
  <si>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</si>
  <si>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</si>
  <si>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</si>
  <si>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</si>
  <si>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</si>
  <si>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</si>
  <si>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</si>
  <si>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</si>
  <si>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</si>
  <si>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</si>
  <si>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</si>
  <si>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</si>
  <si>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</si>
  <si>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</si>
  <si>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96627</t>
  </si>
  <si>
    <t>INHIBITOR KOAGULAČNÍHO FAKTORU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</si>
  <si>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</si>
  <si>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</si>
  <si>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</si>
  <si>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</si>
  <si>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</si>
  <si>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</si>
  <si>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</si>
  <si>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</si>
  <si>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</si>
  <si>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</si>
  <si>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</si>
  <si>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</si>
  <si>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</si>
  <si>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</si>
  <si>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94199</t>
  </si>
  <si>
    <t>AMPLIFIKACE METODOU PCR</t>
  </si>
  <si>
    <t>94195</t>
  </si>
  <si>
    <t>SYNTÉZA cDNA REVERZNÍ TRANSKRIPCÍ</t>
  </si>
  <si>
    <t>96863</t>
  </si>
  <si>
    <t>STANOVENÍ POČTU ERYTROBLASTŮ NA AUTOMATICKÉM ANALY</t>
  </si>
  <si>
    <t>96239</t>
  </si>
  <si>
    <t>DESTIČKOVÝ NEUTRALIZAČNÍ TEST (PNP)</t>
  </si>
  <si>
    <t>96879</t>
  </si>
  <si>
    <t>DRVVT - SCREENING LA</t>
  </si>
  <si>
    <t>96249</t>
  </si>
  <si>
    <t>AGREGACE TROMBOCYTŮ INDUKOVANÁ OSTATNÍMI INDUKTORY</t>
  </si>
  <si>
    <t>96889</t>
  </si>
  <si>
    <t>TROMBIN GENERAČNÍ ČAS</t>
  </si>
  <si>
    <t>96875</t>
  </si>
  <si>
    <t>DRVVT - KONFIRMACE</t>
  </si>
  <si>
    <t>96891</t>
  </si>
  <si>
    <t>TROMBELASTOGRAM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</si>
  <si>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</si>
  <si>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</si>
  <si>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</si>
  <si>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</si>
  <si>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</si>
  <si>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</si>
  <si>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</si>
  <si>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</si>
  <si>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</si>
  <si>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</si>
  <si>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</si>
  <si>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</si>
  <si>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</si>
  <si>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</si>
  <si>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</si>
  <si>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</si>
  <si>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</si>
  <si>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</si>
  <si>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</si>
  <si>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</si>
  <si>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</si>
  <si>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</si>
  <si>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</si>
  <si>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</si>
  <si>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</si>
  <si>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</si>
  <si>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</si>
  <si>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</si>
  <si>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</si>
  <si>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</si>
  <si>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</si>
  <si>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</si>
  <si>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</si>
  <si>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</si>
  <si>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</si>
  <si>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</si>
  <si>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</si>
  <si>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</si>
  <si>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</si>
  <si>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</si>
  <si>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</si>
  <si>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</si>
  <si>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</si>
  <si>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</si>
  <si>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</si>
  <si>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</si>
  <si>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</si>
  <si>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</si>
  <si>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</si>
  <si>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</si>
  <si>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</si>
  <si>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</si>
  <si>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</si>
  <si>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</si>
  <si>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</si>
  <si>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</si>
  <si>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</si>
  <si>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</si>
  <si>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</si>
  <si>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</si>
  <si>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</si>
  <si>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</si>
  <si>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</si>
  <si>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</si>
  <si>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</si>
  <si>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</si>
  <si>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93137</t>
  </si>
  <si>
    <t>PROGESTERON</t>
  </si>
  <si>
    <t>93151</t>
  </si>
  <si>
    <t>FERRITIN</t>
  </si>
  <si>
    <t>93187</t>
  </si>
  <si>
    <t>TYROXIN CELKOVÝ (TT4)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</si>
  <si>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</si>
  <si>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</si>
  <si>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</si>
  <si>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</si>
  <si>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</si>
  <si>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</si>
  <si>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</si>
  <si>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</si>
  <si>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</si>
  <si>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</si>
  <si>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</si>
  <si>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</si>
  <si>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</si>
  <si>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</si>
  <si>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</si>
  <si>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</si>
  <si>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</si>
  <si>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</si>
  <si>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</si>
  <si>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</si>
  <si>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</si>
  <si>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</si>
  <si>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</si>
  <si>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</si>
  <si>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</si>
  <si>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</si>
  <si>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</si>
  <si>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</si>
  <si>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</si>
  <si>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</si>
  <si>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</si>
  <si>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</si>
  <si>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</si>
  <si>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</si>
  <si>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</si>
  <si>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</si>
  <si>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</si>
  <si>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</si>
  <si>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</si>
  <si>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</si>
  <si>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</si>
  <si>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</si>
  <si>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</si>
  <si>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</si>
  <si>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</si>
  <si>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</si>
  <si>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</si>
  <si>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</si>
  <si>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</si>
  <si>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</si>
  <si>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</si>
  <si>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</si>
  <si>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</si>
  <si>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</si>
  <si>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</si>
  <si>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</si>
  <si>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</si>
  <si>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</si>
  <si>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</si>
  <si>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</si>
  <si>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</si>
  <si>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</si>
  <si>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</si>
  <si>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</si>
  <si>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</si>
  <si>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</si>
  <si>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</si>
  <si>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</si>
  <si>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</si>
  <si>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</si>
  <si>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</si>
  <si>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</si>
  <si>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</si>
  <si>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</si>
  <si>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</si>
  <si>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</si>
  <si>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</si>
  <si>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</si>
  <si>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91133</t>
  </si>
  <si>
    <t>STANOVENÍ IgM</t>
  </si>
  <si>
    <t>81533</t>
  </si>
  <si>
    <t>LIPÁZA</t>
  </si>
  <si>
    <t>81339</t>
  </si>
  <si>
    <t>AMINOKYSELINY STANOVENÍ CELKOVÉHO SPEKTRA V BIOLOG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</si>
  <si>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</si>
  <si>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</si>
  <si>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</si>
  <si>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</si>
  <si>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</si>
  <si>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</si>
  <si>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</si>
  <si>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</si>
  <si>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</si>
  <si>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</si>
  <si>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81235</t>
  </si>
  <si>
    <t>TUMORMARKERY CA 19-9, CA 15-3, CA 72-4, CA 125</t>
  </si>
  <si>
    <t>94189</t>
  </si>
  <si>
    <t>HYBRIDIZACE DNA SE ZNAČENOU SONDOU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</si>
  <si>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</si>
  <si>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</si>
  <si>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</si>
  <si>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</si>
  <si>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</si>
  <si>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</si>
  <si>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</si>
  <si>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</si>
  <si>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</si>
  <si>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</si>
  <si>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</si>
  <si>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</si>
  <si>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</si>
  <si>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</si>
  <si>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</si>
  <si>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</si>
  <si>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</si>
  <si>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</si>
  <si>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93223</t>
  </si>
  <si>
    <t>NÁDOROVÉ ANTIGENY CA - TYPU</t>
  </si>
  <si>
    <t>81129</t>
  </si>
  <si>
    <t>BÍLKOVINA KVANTITATIVNĚ (MOČ, VÝPOTEK, CSF) STATIM</t>
  </si>
  <si>
    <t>81159</t>
  </si>
  <si>
    <t>CHOLINESTERÁZA STATIM</t>
  </si>
  <si>
    <t>93139</t>
  </si>
  <si>
    <t>ADRENOKORTIKOTROPIN (ACTH)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</si>
  <si>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</si>
  <si>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</si>
  <si>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</si>
  <si>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</si>
  <si>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</si>
  <si>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</si>
  <si>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</si>
  <si>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</si>
  <si>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81765</t>
  </si>
  <si>
    <t>CHROMOGRANIN A - STANOVENÍ KONCENTRACE V SÉRU NEBO</t>
  </si>
  <si>
    <t>81739</t>
  </si>
  <si>
    <t>STANOVENÍ PLACENTÁRNÍHO RŮSTOVÉHO FAKTORU (PIGF) V</t>
  </si>
  <si>
    <t>81741</t>
  </si>
  <si>
    <t>STANOVENÍ KONCENTRACE SOLUBILNÍHO FAKTORU PODOBNÉH</t>
  </si>
  <si>
    <t>81753</t>
  </si>
  <si>
    <t>VYŠETŘENÍ AKTIVITY BIOTINIDÁZY V RÁMCI NOVOROZENEC</t>
  </si>
  <si>
    <t>813</t>
  </si>
  <si>
    <t>91197</t>
  </si>
  <si>
    <t>STANOVENÍ CYTOKINU ELISA</t>
  </si>
  <si>
    <t>34</t>
  </si>
  <si>
    <t>0003132</t>
  </si>
  <si>
    <t>GADOVIST</t>
  </si>
  <si>
    <t>0017039</t>
  </si>
  <si>
    <t>0022075</t>
  </si>
  <si>
    <t>IOMERON 400</t>
  </si>
  <si>
    <t>0042433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</si>
  <si>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</si>
  <si>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</si>
  <si>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</si>
  <si>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</si>
  <si>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</si>
  <si>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</si>
  <si>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</si>
  <si>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</si>
  <si>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</si>
  <si>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0034038</t>
  </si>
  <si>
    <t>JEHLA BIOPTICKÁ ASPIRAČNÍ, CHIBA,ECHOTIP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</si>
  <si>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</si>
  <si>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</si>
  <si>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</si>
  <si>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</si>
  <si>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</si>
  <si>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</si>
  <si>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</si>
  <si>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</si>
  <si>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</si>
  <si>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</si>
  <si>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0047480</t>
  </si>
  <si>
    <t>KATETR BALÓNKOVÝ PTCA</t>
  </si>
  <si>
    <t>0048307</t>
  </si>
  <si>
    <t>STENTGRAFT PERIFERNÍ VASKULÁRNÍ - FLUENCY; SAMOEXP</t>
  </si>
  <si>
    <t>0048523</t>
  </si>
  <si>
    <t>VODIČ INTERVENČNÍ SELECTIVA DO 145CM</t>
  </si>
  <si>
    <t>0048668</t>
  </si>
  <si>
    <t>DRÁT VODÍCÍ NITINOL</t>
  </si>
  <si>
    <t>0050237</t>
  </si>
  <si>
    <t>DRÁT VODÍCÍ CHOICE PLUS</t>
  </si>
  <si>
    <t>0052140</t>
  </si>
  <si>
    <t>KATETR BALÓNKOVÝ PTA - WANDA; SMASH</t>
  </si>
  <si>
    <t>0052143</t>
  </si>
  <si>
    <t>EXTRAKTOR - AMPLATZ GOOSE NECK GNXXXX - PERIFERNÍ,</t>
  </si>
  <si>
    <t>0052704</t>
  </si>
  <si>
    <t>KATETR DRENÁŽNÍ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</si>
  <si>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</si>
  <si>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</si>
  <si>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</si>
  <si>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</si>
  <si>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</si>
  <si>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</si>
  <si>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</si>
  <si>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</si>
  <si>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</si>
  <si>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</si>
  <si>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</si>
  <si>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</si>
  <si>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</si>
  <si>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</si>
  <si>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0056358</t>
  </si>
  <si>
    <t>ZAVADĚČ FLEXOR BALKIN RADIOOPÁKNÍ ZNAČKA</t>
  </si>
  <si>
    <t>0056361</t>
  </si>
  <si>
    <t>0057418</t>
  </si>
  <si>
    <t>DRÁT VODÍCÍ 300CM M001468XX0</t>
  </si>
  <si>
    <t>0057769</t>
  </si>
  <si>
    <t>DILATÁTOR COPE-SADDEKNI SFA ACCESS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</si>
  <si>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</si>
  <si>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</si>
  <si>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</si>
  <si>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</si>
  <si>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</si>
  <si>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0057840</t>
  </si>
  <si>
    <t>TĚLÍSKO EMBOLIZAČNÍ IMWCE</t>
  </si>
  <si>
    <t>0057844</t>
  </si>
  <si>
    <t>TĚLÍSKO EMBOLIZAČNÍ TORNADO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</si>
  <si>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</si>
  <si>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</si>
  <si>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</si>
  <si>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</si>
  <si>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</si>
  <si>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</si>
  <si>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</si>
  <si>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</si>
  <si>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</si>
  <si>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</si>
  <si>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</si>
  <si>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</si>
  <si>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0092128</t>
  </si>
  <si>
    <t>SOUPRAVA ZAVÁDĚCÍ DESTINATION - 45CM</t>
  </si>
  <si>
    <t>0092284</t>
  </si>
  <si>
    <t>STENT PERIFERNÍ VASKULÁRNÍ - ASTRON; SAMOEXPAND; N</t>
  </si>
  <si>
    <t>0092559</t>
  </si>
  <si>
    <t>SADA AG - SYSTÉM PRO UZAVÍRÁNÍ CÉV - FEMORÁLNÍ - S</t>
  </si>
  <si>
    <t>0092932</t>
  </si>
  <si>
    <t>SADA DRENÁŽNÍ</t>
  </si>
  <si>
    <t>0141907</t>
  </si>
  <si>
    <t>STENT JÍC.BILIÁRNÍ,KOLOREK.DUODEN.TRACH.BRONCH.SX-</t>
  </si>
  <si>
    <t>0192087</t>
  </si>
  <si>
    <t>STENTGRAFT AORTÁLNÍ - ZENITH FLEX AUI; SAMOEXPAND;</t>
  </si>
  <si>
    <t>0151536</t>
  </si>
  <si>
    <t>DRÁT VODÍCÍ PTA - POD KOLENO - ASAHI -.014,.018/18</t>
  </si>
  <si>
    <t>0051244</t>
  </si>
  <si>
    <t>KATETR VODÍCÍ GUIDER</t>
  </si>
  <si>
    <t>0111638</t>
  </si>
  <si>
    <t>STENT PERIFERNÍ VASKUL. - ISTHMUS LOGIC CARBOSTENT</t>
  </si>
  <si>
    <t>0059796</t>
  </si>
  <si>
    <t>DRÁT VODÍCÍ ANGIODYN J3 SFC-FS 150-0,35</t>
  </si>
  <si>
    <t>0057846</t>
  </si>
  <si>
    <t>TĚLÍSKO EMBOLIZAČNÍ HILAL</t>
  </si>
  <si>
    <t>0092131</t>
  </si>
  <si>
    <t>KATETR BALÓNKOVÝ PTA - RX MUSO</t>
  </si>
  <si>
    <t>0059986</t>
  </si>
  <si>
    <t>SYSTÉM BALÓN UZÁVĚROVÝ EQUINOX 104-4011..104-4470</t>
  </si>
  <si>
    <t>0049005</t>
  </si>
  <si>
    <t>KATETR TROMBEKTOMICKÝ - ROTAREX-ANTEGRADNÍ(KATETR,</t>
  </si>
  <si>
    <t>0051173</t>
  </si>
  <si>
    <t>VODIČ - PTA-SPECIÁLNÍ(DILATAČNÍ,REKANALIZAČNÍ)-OUT</t>
  </si>
  <si>
    <t>0034083</t>
  </si>
  <si>
    <t>JEHLA BIOPTICKÁ ASPIRAČNÍ PLICNÍ, FRANSEENOVA,ECHO</t>
  </si>
  <si>
    <t>0092011</t>
  </si>
  <si>
    <t>BALÓNEK DILATAČNÍ - JÍCNOVÝ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</si>
  <si>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</si>
  <si>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</si>
  <si>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</si>
  <si>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</si>
  <si>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</si>
  <si>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</si>
  <si>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</si>
  <si>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</si>
  <si>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</si>
  <si>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</si>
  <si>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</si>
  <si>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</si>
  <si>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89147</t>
  </si>
  <si>
    <t>RTG ŽALUDKU A DUODENA</t>
  </si>
  <si>
    <t>89317</t>
  </si>
  <si>
    <t>SELEKTIVNÍ TROMBOLÝZA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</si>
  <si>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</si>
  <si>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</si>
  <si>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</si>
  <si>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</si>
  <si>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</si>
  <si>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</si>
  <si>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</si>
  <si>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</si>
  <si>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</si>
  <si>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</si>
  <si>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</si>
  <si>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</si>
  <si>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</si>
  <si>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</si>
  <si>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</si>
  <si>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</si>
  <si>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</si>
  <si>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</si>
  <si>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</si>
  <si>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</si>
  <si>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</si>
  <si>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</si>
  <si>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</si>
  <si>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</si>
  <si>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</si>
  <si>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</si>
  <si>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</si>
  <si>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</si>
  <si>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</si>
  <si>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</si>
  <si>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</si>
  <si>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</si>
  <si>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</si>
  <si>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</si>
  <si>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</si>
  <si>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</si>
  <si>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</si>
  <si>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</si>
  <si>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</si>
  <si>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</si>
  <si>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</si>
  <si>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</si>
  <si>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</si>
  <si>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</si>
  <si>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</si>
  <si>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</si>
  <si>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</si>
  <si>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</si>
  <si>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</si>
  <si>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</si>
  <si>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</si>
  <si>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</si>
  <si>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</si>
  <si>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</si>
  <si>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</si>
  <si>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</si>
  <si>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</si>
  <si>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</si>
  <si>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</si>
  <si>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</si>
  <si>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</si>
  <si>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</si>
  <si>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</si>
  <si>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</si>
  <si>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</si>
  <si>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</si>
  <si>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</si>
  <si>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</si>
  <si>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</si>
  <si>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</si>
  <si>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</si>
  <si>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</si>
  <si>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</si>
  <si>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</si>
  <si>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</si>
  <si>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</si>
  <si>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</si>
  <si>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</si>
  <si>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</si>
  <si>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</si>
  <si>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</si>
  <si>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</si>
  <si>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</si>
  <si>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</si>
  <si>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</si>
  <si>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</si>
  <si>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</si>
  <si>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</si>
  <si>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</si>
  <si>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</si>
  <si>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</si>
  <si>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</si>
  <si>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</si>
  <si>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</si>
  <si>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</si>
  <si>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</si>
  <si>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</si>
  <si>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</si>
  <si>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</si>
  <si>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</si>
  <si>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</si>
  <si>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</si>
  <si>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</si>
  <si>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</si>
  <si>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</si>
  <si>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</si>
  <si>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</si>
  <si>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</si>
  <si>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</si>
  <si>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</si>
  <si>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</si>
  <si>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</si>
  <si>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</si>
  <si>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</si>
  <si>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</si>
  <si>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</si>
  <si>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</si>
  <si>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</si>
  <si>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</si>
  <si>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</si>
  <si>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</si>
  <si>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</si>
  <si>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</si>
  <si>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</si>
  <si>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</si>
  <si>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</si>
  <si>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</si>
  <si>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</si>
  <si>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</si>
  <si>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</si>
  <si>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</si>
  <si>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</si>
  <si>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</si>
  <si>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</si>
  <si>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</si>
  <si>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</si>
  <si>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</si>
  <si>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</si>
  <si>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</si>
  <si>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</si>
  <si>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</si>
  <si>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</si>
  <si>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</si>
  <si>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</si>
  <si>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</si>
  <si>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</si>
  <si>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</si>
  <si>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</si>
  <si>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</si>
  <si>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</si>
  <si>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</si>
  <si>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</si>
  <si>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</si>
  <si>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</si>
  <si>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</si>
  <si>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</si>
  <si>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</si>
  <si>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</si>
  <si>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</si>
  <si>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</si>
  <si>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</si>
  <si>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</si>
  <si>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</si>
  <si>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</si>
  <si>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</si>
  <si>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</si>
  <si>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</si>
  <si>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</si>
  <si>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</si>
  <si>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</si>
  <si>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</si>
  <si>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</si>
  <si>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</si>
  <si>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</si>
  <si>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</si>
  <si>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</si>
  <si>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</si>
  <si>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</si>
  <si>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</si>
  <si>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</si>
  <si>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</si>
  <si>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</si>
  <si>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</si>
  <si>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</si>
  <si>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</si>
  <si>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</si>
  <si>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</si>
  <si>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</si>
  <si>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</si>
  <si>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</si>
  <si>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</si>
  <si>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</si>
  <si>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</si>
  <si>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</si>
  <si>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</si>
  <si>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</si>
  <si>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</si>
  <si>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</si>
  <si>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</si>
  <si>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</si>
  <si>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</si>
  <si>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</si>
  <si>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</si>
  <si>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</si>
  <si>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</si>
  <si>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</si>
  <si>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</si>
  <si>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</si>
  <si>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</si>
  <si>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</si>
  <si>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</si>
  <si>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</si>
  <si>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</si>
  <si>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</si>
  <si>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</si>
  <si>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82233</t>
  </si>
  <si>
    <t>IDENTIFIKACE MYKOPLASMAT</t>
  </si>
  <si>
    <t>82123</t>
  </si>
  <si>
    <t>PRŮKAZ  BAKTERIÁLNÍHO, VIROVÉHO, PARAZITÁRNÍHO EV.</t>
  </si>
  <si>
    <t>82129</t>
  </si>
  <si>
    <t xml:space="preserve">PŘÍMÁ IDENTIFIKACE BAKTERIÁLNÍHO NEBO MYKOTICKÉHO </t>
  </si>
  <si>
    <t>41</t>
  </si>
  <si>
    <t>82241</t>
  </si>
  <si>
    <t>IN VITRO STIMULACE T LYMFOCYTŮ SPECIFICKÝMI ANTIGE</t>
  </si>
  <si>
    <t>86413</t>
  </si>
  <si>
    <t>SCREENING PROTILÁTEK NA PANELU 30TI DÁRCŮ</t>
  </si>
  <si>
    <t>91161</t>
  </si>
  <si>
    <t>STANOVENÍ C4 SLOŽKY KOMPLEMENTU</t>
  </si>
  <si>
    <t>91285</t>
  </si>
  <si>
    <t>STANOVENÍ REVMATOIDNÍHO FAKTORU IgM ELISA</t>
  </si>
  <si>
    <t>91287</t>
  </si>
  <si>
    <t>STANOVENÍ REVMATOIDNÍHO FAKTORU IgG ELISA</t>
  </si>
  <si>
    <t>91431</t>
  </si>
  <si>
    <t>ZVLÁŠTĚ NÁROČNÉ IZOLACE BUNĚK GRADIENTOVOU CENTRIF</t>
  </si>
  <si>
    <t>91439</t>
  </si>
  <si>
    <t>IMUNOFENOTYPIZACE BUNĚČNÝCH SUBPOPULACÍ DLE POVRCH</t>
  </si>
  <si>
    <t>91355</t>
  </si>
  <si>
    <t>STANOVENÍ CIK METODOU PEG-IKEM</t>
  </si>
  <si>
    <t>91189</t>
  </si>
  <si>
    <t>STANOVENÍ IgE</t>
  </si>
  <si>
    <t>91289</t>
  </si>
  <si>
    <t>STANOVENÍ REVMATOIDNÍHO FAKTORU IgA ELISA</t>
  </si>
  <si>
    <t>91159</t>
  </si>
  <si>
    <t>STANOVENÍ C3 SLOŽKY KOMPLEMENTU</t>
  </si>
  <si>
    <t>22217</t>
  </si>
  <si>
    <t xml:space="preserve">SCREENINGOVÉ VYŠETŘENÍ TROMBOCYTÁRNÍCH PROTILÁTEK </t>
  </si>
  <si>
    <t>44</t>
  </si>
  <si>
    <t>816</t>
  </si>
  <si>
    <t>94211</t>
  </si>
  <si>
    <t>DLOUHODOBÁ KULTIVACE BUNĚK RŮZNÝCH TKÁNÍ Z PRENATÁ</t>
  </si>
  <si>
    <t>94115</t>
  </si>
  <si>
    <t>IN SITU HYBRIDIZACE LIDSKÉ DNA SE ZNAČENOU SONDOU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</si>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</sst>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51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0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4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8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45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59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4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46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0" xfId="0" applyFont="1" applyFill="1" applyBorder="1"/>
    <xf numFmtId="0" fontId="35" fillId="5" borderId="48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62" xfId="53" applyFont="1" applyFill="1" applyBorder="1" applyAlignment="1">
      <alignment horizontal="right"/>
    </xf>
    <xf numFmtId="164" fontId="34" fillId="0" borderId="67" xfId="53" applyNumberFormat="1" applyFont="1" applyFill="1" applyBorder="1"/>
    <xf numFmtId="164" fontId="34" fillId="0" borderId="68" xfId="53" applyNumberFormat="1" applyFont="1" applyFill="1" applyBorder="1"/>
    <xf numFmtId="9" fontId="34" fillId="0" borderId="69" xfId="83" applyNumberFormat="1" applyFont="1" applyFill="1" applyBorder="1"/>
    <xf numFmtId="3" fontId="34" fillId="0" borderId="69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48" xfId="26" applyFont="1" applyFill="1" applyBorder="1" applyAlignment="1">
      <alignment horizontal="right"/>
    </xf>
    <xf numFmtId="170" fontId="32" fillId="0" borderId="44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46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4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4" xfId="74" applyFont="1" applyFill="1" applyBorder="1" applyAlignment="1">
      <alignment horizontal="center"/>
    </xf>
    <xf numFmtId="0" fontId="30" fillId="5" borderId="40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73" xfId="26" applyNumberFormat="1" applyFont="1" applyFill="1" applyBorder="1"/>
    <xf numFmtId="3" fontId="32" fillId="7" borderId="56" xfId="26" applyNumberFormat="1" applyFont="1" applyFill="1" applyBorder="1"/>
    <xf numFmtId="167" fontId="34" fillId="7" borderId="61" xfId="86" applyNumberFormat="1" applyFont="1" applyFill="1" applyBorder="1" applyAlignment="1">
      <alignment horizontal="right"/>
    </xf>
    <xf numFmtId="3" fontId="32" fillId="7" borderId="74" xfId="26" applyNumberFormat="1" applyFont="1" applyFill="1" applyBorder="1"/>
    <xf numFmtId="167" fontId="34" fillId="7" borderId="61" xfId="86" applyNumberFormat="1" applyFont="1" applyFill="1" applyBorder="1"/>
    <xf numFmtId="3" fontId="32" fillId="0" borderId="73" xfId="26" applyNumberFormat="1" applyFont="1" applyFill="1" applyBorder="1" applyAlignment="1">
      <alignment horizontal="center"/>
    </xf>
    <xf numFmtId="3" fontId="32" fillId="0" borderId="61" xfId="26" applyNumberFormat="1" applyFont="1" applyFill="1" applyBorder="1" applyAlignment="1">
      <alignment horizontal="center"/>
    </xf>
    <xf numFmtId="3" fontId="32" fillId="7" borderId="73" xfId="26" applyNumberFormat="1" applyFont="1" applyFill="1" applyBorder="1" applyAlignment="1">
      <alignment horizontal="center"/>
    </xf>
    <xf numFmtId="3" fontId="32" fillId="7" borderId="61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8" xfId="0" applyFont="1" applyFill="1" applyBorder="1" applyAlignment="1"/>
    <xf numFmtId="0" fontId="35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7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1" xfId="0" applyNumberFormat="1" applyFont="1" applyFill="1" applyBorder="1"/>
    <xf numFmtId="3" fontId="42" fillId="2" borderId="53" xfId="0" applyNumberFormat="1" applyFont="1" applyFill="1" applyBorder="1"/>
    <xf numFmtId="9" fontId="42" fillId="2" borderId="58" xfId="0" applyNumberFormat="1" applyFont="1" applyFill="1" applyBorder="1"/>
    <xf numFmtId="0" fontId="53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55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0" xfId="0" applyFont="1" applyFill="1" applyBorder="1" applyAlignment="1">
      <alignment horizontal="left" indent="2"/>
    </xf>
    <xf numFmtId="0" fontId="35" fillId="0" borderId="40" xfId="0" applyFont="1" applyBorder="1" applyAlignment="1"/>
    <xf numFmtId="3" fontId="35" fillId="0" borderId="40" xfId="0" applyNumberFormat="1" applyFont="1" applyBorder="1" applyAlignment="1"/>
    <xf numFmtId="9" fontId="35" fillId="0" borderId="40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3" fillId="4" borderId="55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8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0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0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8" xfId="0" applyNumberFormat="1" applyFont="1" applyFill="1" applyBorder="1" applyAlignment="1"/>
    <xf numFmtId="9" fontId="35" fillId="0" borderId="48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5" xfId="0" applyNumberFormat="1" applyFont="1" applyFill="1" applyBorder="1"/>
    <xf numFmtId="3" fontId="59" fillId="9" borderId="76" xfId="0" applyNumberFormat="1" applyFont="1" applyFill="1" applyBorder="1"/>
    <xf numFmtId="3" fontId="59" fillId="9" borderId="75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42" fillId="2" borderId="80" xfId="0" applyFont="1" applyFill="1" applyBorder="1" applyAlignment="1">
      <alignment horizontal="center" vertical="center"/>
    </xf>
    <xf numFmtId="0" fontId="61" fillId="2" borderId="83" xfId="0" applyFont="1" applyFill="1" applyBorder="1" applyAlignment="1">
      <alignment horizontal="center" vertical="center" wrapText="1"/>
    </xf>
    <xf numFmtId="0" fontId="42" fillId="2" borderId="85" xfId="0" applyFont="1" applyFill="1" applyBorder="1" applyAlignment="1"/>
    <xf numFmtId="0" fontId="42" fillId="2" borderId="87" xfId="0" applyFont="1" applyFill="1" applyBorder="1" applyAlignment="1">
      <alignment horizontal="left" indent="1"/>
    </xf>
    <xf numFmtId="0" fontId="42" fillId="2" borderId="93" xfId="0" applyFont="1" applyFill="1" applyBorder="1" applyAlignment="1">
      <alignment horizontal="left" indent="1"/>
    </xf>
    <xf numFmtId="0" fontId="42" fillId="4" borderId="85" xfId="0" applyFont="1" applyFill="1" applyBorder="1" applyAlignment="1"/>
    <xf numFmtId="0" fontId="42" fillId="4" borderId="87" xfId="0" applyFont="1" applyFill="1" applyBorder="1" applyAlignment="1">
      <alignment horizontal="left" indent="1"/>
    </xf>
    <xf numFmtId="0" fontId="42" fillId="4" borderId="98" xfId="0" applyFont="1" applyFill="1" applyBorder="1" applyAlignment="1">
      <alignment horizontal="left" indent="1"/>
    </xf>
    <xf numFmtId="0" fontId="35" fillId="2" borderId="87" xfId="0" quotePrefix="1" applyFont="1" applyFill="1" applyBorder="1" applyAlignment="1">
      <alignment horizontal="left" indent="2"/>
    </xf>
    <xf numFmtId="0" fontId="35" fillId="2" borderId="93" xfId="0" quotePrefix="1" applyFont="1" applyFill="1" applyBorder="1" applyAlignment="1">
      <alignment horizontal="left" indent="2"/>
    </xf>
    <xf numFmtId="0" fontId="42" fillId="2" borderId="85" xfId="0" applyFont="1" applyFill="1" applyBorder="1" applyAlignment="1">
      <alignment horizontal="left" indent="1"/>
    </xf>
    <xf numFmtId="0" fontId="42" fillId="2" borderId="98" xfId="0" applyFont="1" applyFill="1" applyBorder="1" applyAlignment="1">
      <alignment horizontal="left" indent="1"/>
    </xf>
    <xf numFmtId="0" fontId="42" fillId="4" borderId="93" xfId="0" applyFont="1" applyFill="1" applyBorder="1" applyAlignment="1">
      <alignment horizontal="left" indent="1"/>
    </xf>
    <xf numFmtId="0" fontId="35" fillId="0" borderId="103" xfId="0" applyFont="1" applyBorder="1"/>
    <xf numFmtId="3" fontId="35" fillId="0" borderId="103" xfId="0" applyNumberFormat="1" applyFont="1" applyBorder="1"/>
    <xf numFmtId="0" fontId="42" fillId="4" borderId="77" xfId="0" applyFont="1" applyFill="1" applyBorder="1" applyAlignment="1">
      <alignment horizontal="center" vertical="center"/>
    </xf>
    <xf numFmtId="0" fontId="42" fillId="4" borderId="59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02" xfId="0" applyNumberFormat="1" applyFont="1" applyFill="1" applyBorder="1" applyAlignment="1">
      <alignment horizontal="center" vertical="center"/>
    </xf>
    <xf numFmtId="3" fontId="61" fillId="2" borderId="100" xfId="0" applyNumberFormat="1" applyFont="1" applyFill="1" applyBorder="1" applyAlignment="1">
      <alignment horizontal="center" vertical="center" wrapText="1"/>
    </xf>
    <xf numFmtId="173" fontId="42" fillId="4" borderId="86" xfId="0" applyNumberFormat="1" applyFont="1" applyFill="1" applyBorder="1" applyAlignment="1"/>
    <xf numFmtId="173" fontId="42" fillId="4" borderId="80" xfId="0" applyNumberFormat="1" applyFont="1" applyFill="1" applyBorder="1" applyAlignment="1"/>
    <xf numFmtId="173" fontId="42" fillId="0" borderId="88" xfId="0" applyNumberFormat="1" applyFont="1" applyBorder="1"/>
    <xf numFmtId="173" fontId="35" fillId="0" borderId="90" xfId="0" applyNumberFormat="1" applyFont="1" applyBorder="1"/>
    <xf numFmtId="173" fontId="42" fillId="0" borderId="99" xfId="0" applyNumberFormat="1" applyFont="1" applyBorder="1"/>
    <xf numFmtId="173" fontId="35" fillId="0" borderId="83" xfId="0" applyNumberFormat="1" applyFont="1" applyBorder="1"/>
    <xf numFmtId="173" fontId="42" fillId="2" borderId="101" xfId="0" applyNumberFormat="1" applyFont="1" applyFill="1" applyBorder="1" applyAlignment="1"/>
    <xf numFmtId="173" fontId="42" fillId="2" borderId="80" xfId="0" applyNumberFormat="1" applyFont="1" applyFill="1" applyBorder="1" applyAlignment="1"/>
    <xf numFmtId="173" fontId="42" fillId="0" borderId="94" xfId="0" applyNumberFormat="1" applyFont="1" applyBorder="1"/>
    <xf numFmtId="173" fontId="35" fillId="0" borderId="96" xfId="0" applyNumberFormat="1" applyFont="1" applyBorder="1"/>
    <xf numFmtId="174" fontId="42" fillId="2" borderId="86" xfId="0" applyNumberFormat="1" applyFont="1" applyFill="1" applyBorder="1" applyAlignment="1"/>
    <xf numFmtId="174" fontId="35" fillId="2" borderId="80" xfId="0" applyNumberFormat="1" applyFont="1" applyFill="1" applyBorder="1" applyAlignment="1"/>
    <xf numFmtId="174" fontId="42" fillId="0" borderId="88" xfId="0" applyNumberFormat="1" applyFont="1" applyBorder="1"/>
    <xf numFmtId="174" fontId="35" fillId="0" borderId="90" xfId="0" applyNumberFormat="1" applyFont="1" applyBorder="1"/>
    <xf numFmtId="174" fontId="42" fillId="0" borderId="94" xfId="0" applyNumberFormat="1" applyFont="1" applyBorder="1"/>
    <xf numFmtId="174" fontId="35" fillId="0" borderId="96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86" xfId="0" applyNumberFormat="1" applyFont="1" applyFill="1" applyBorder="1" applyAlignment="1">
      <alignment horizontal="center"/>
    </xf>
    <xf numFmtId="175" fontId="42" fillId="0" borderId="94" xfId="0" applyNumberFormat="1" applyFont="1" applyBorder="1"/>
    <xf numFmtId="0" fontId="34" fillId="2" borderId="107" xfId="74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82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8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67" xfId="53" applyNumberFormat="1" applyFont="1" applyFill="1" applyBorder="1"/>
    <xf numFmtId="3" fontId="34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91" xfId="0" applyFont="1" applyFill="1" applyBorder="1"/>
    <xf numFmtId="0" fontId="35" fillId="0" borderId="92" xfId="0" applyFont="1" applyBorder="1" applyAlignment="1"/>
    <xf numFmtId="9" fontId="35" fillId="0" borderId="90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9" fontId="35" fillId="0" borderId="90" xfId="0" applyNumberFormat="1" applyFont="1" applyBorder="1"/>
    <xf numFmtId="49" fontId="40" fillId="2" borderId="90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0" xfId="26" applyNumberFormat="1" applyFont="1" applyFill="1" applyBorder="1"/>
    <xf numFmtId="167" fontId="34" fillId="3" borderId="50" xfId="26" applyNumberFormat="1" applyFont="1" applyFill="1" applyBorder="1"/>
    <xf numFmtId="167" fontId="34" fillId="4" borderId="50" xfId="26" applyNumberFormat="1" applyFont="1" applyFill="1" applyBorder="1"/>
    <xf numFmtId="167" fontId="34" fillId="10" borderId="50" xfId="26" applyNumberFormat="1" applyFont="1" applyFill="1" applyBorder="1"/>
    <xf numFmtId="167" fontId="32" fillId="7" borderId="17" xfId="26" applyNumberFormat="1" applyFont="1" applyFill="1" applyBorder="1"/>
    <xf numFmtId="167" fontId="32" fillId="7" borderId="104" xfId="26" applyNumberFormat="1" applyFont="1" applyFill="1" applyBorder="1"/>
    <xf numFmtId="167" fontId="32" fillId="7" borderId="111" xfId="26" applyNumberFormat="1" applyFont="1" applyFill="1" applyBorder="1"/>
    <xf numFmtId="0" fontId="28" fillId="4" borderId="8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89" xfId="0" applyFont="1" applyBorder="1"/>
    <xf numFmtId="0" fontId="34" fillId="2" borderId="42" xfId="81" applyFont="1" applyFill="1" applyBorder="1" applyAlignment="1">
      <alignment horizontal="center"/>
    </xf>
    <xf numFmtId="0" fontId="34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0" fillId="0" borderId="0" xfId="0" applyBorder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34" fillId="7" borderId="55" xfId="26" applyNumberFormat="1" applyFont="1" applyFill="1" applyBorder="1"/>
    <xf numFmtId="3" fontId="34" fillId="7" borderId="87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173" fontId="35" fillId="0" borderId="113" xfId="0" applyNumberFormat="1" applyFont="1" applyBorder="1"/>
    <xf numFmtId="3" fontId="35" fillId="0" borderId="0" xfId="0" applyNumberFormat="1" applyFont="1" applyBorder="1"/>
    <xf numFmtId="173" fontId="35" fillId="0" borderId="89" xfId="0" applyNumberFormat="1" applyFont="1" applyBorder="1" applyAlignment="1"/>
    <xf numFmtId="173" fontId="35" fillId="0" borderId="90" xfId="0" applyNumberFormat="1" applyFont="1" applyBorder="1" applyAlignment="1"/>
    <xf numFmtId="173" fontId="35" fillId="0" borderId="91" xfId="0" applyNumberFormat="1" applyFont="1" applyBorder="1" applyAlignment="1"/>
    <xf numFmtId="175" fontId="35" fillId="0" borderId="89" xfId="0" applyNumberFormat="1" applyFont="1" applyBorder="1" applyAlignment="1"/>
    <xf numFmtId="175" fontId="35" fillId="0" borderId="90" xfId="0" applyNumberFormat="1" applyFont="1" applyBorder="1" applyAlignment="1"/>
    <xf numFmtId="175" fontId="35" fillId="0" borderId="91" xfId="0" applyNumberFormat="1" applyFont="1" applyBorder="1" applyAlignment="1"/>
    <xf numFmtId="173" fontId="35" fillId="0" borderId="82" xfId="0" applyNumberFormat="1" applyFont="1" applyBorder="1" applyAlignment="1"/>
    <xf numFmtId="173" fontId="35" fillId="0" borderId="83" xfId="0" applyNumberFormat="1" applyFont="1" applyBorder="1" applyAlignment="1"/>
    <xf numFmtId="173" fontId="35" fillId="0" borderId="84" xfId="0" applyNumberFormat="1" applyFont="1" applyBorder="1" applyAlignment="1"/>
    <xf numFmtId="173" fontId="42" fillId="4" borderId="27" xfId="0" applyNumberFormat="1" applyFont="1" applyFill="1" applyBorder="1" applyAlignment="1">
      <alignment horizontal="center"/>
    </xf>
    <xf numFmtId="173" fontId="42" fillId="4" borderId="32" xfId="0" applyNumberFormat="1" applyFont="1" applyFill="1" applyBorder="1" applyAlignment="1">
      <alignment horizontal="center"/>
    </xf>
    <xf numFmtId="173" fontId="42" fillId="4" borderId="28" xfId="0" applyNumberFormat="1" applyFont="1" applyFill="1" applyBorder="1" applyAlignment="1">
      <alignment horizontal="center"/>
    </xf>
    <xf numFmtId="173" fontId="35" fillId="0" borderId="114" xfId="0" applyNumberFormat="1" applyFont="1" applyBorder="1"/>
    <xf numFmtId="9" fontId="35" fillId="0" borderId="87" xfId="0" applyNumberFormat="1" applyFont="1" applyBorder="1"/>
    <xf numFmtId="173" fontId="35" fillId="0" borderId="98" xfId="0" applyNumberFormat="1" applyFont="1" applyBorder="1"/>
    <xf numFmtId="0" fontId="0" fillId="0" borderId="2" xfId="0" applyBorder="1" applyAlignment="1"/>
    <xf numFmtId="0" fontId="30" fillId="0" borderId="0" xfId="78" applyNumberFormat="1" applyFont="1" applyFill="1" applyBorder="1" applyAlignment="1"/>
    <xf numFmtId="0" fontId="35" fillId="0" borderId="0" xfId="0" applyNumberFormat="1" applyFont="1" applyFill="1"/>
    <xf numFmtId="173" fontId="42" fillId="0" borderId="21" xfId="0" applyNumberFormat="1" applyFont="1" applyBorder="1"/>
    <xf numFmtId="173" fontId="42" fillId="0" borderId="30" xfId="0" applyNumberFormat="1" applyFont="1" applyBorder="1"/>
    <xf numFmtId="0" fontId="42" fillId="3" borderId="29" xfId="0" applyFont="1" applyFill="1" applyBorder="1" applyAlignment="1"/>
    <xf numFmtId="0" fontId="35" fillId="0" borderId="41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46" xfId="81" applyFont="1" applyFill="1" applyBorder="1" applyAlignment="1">
      <alignment horizontal="center"/>
    </xf>
    <xf numFmtId="0" fontId="34" fillId="2" borderId="47" xfId="81" applyFont="1" applyFill="1" applyBorder="1" applyAlignment="1">
      <alignment horizontal="center"/>
    </xf>
    <xf numFmtId="0" fontId="34" fillId="2" borderId="44" xfId="81" applyFont="1" applyFill="1" applyBorder="1" applyAlignment="1">
      <alignment horizontal="center"/>
    </xf>
    <xf numFmtId="0" fontId="34" fillId="2" borderId="72" xfId="81" applyFont="1" applyFill="1" applyBorder="1" applyAlignment="1">
      <alignment horizontal="center"/>
    </xf>
    <xf numFmtId="0" fontId="34" fillId="2" borderId="45" xfId="81" applyFont="1" applyFill="1" applyBorder="1" applyAlignment="1">
      <alignment horizontal="center"/>
    </xf>
    <xf numFmtId="0" fontId="34" fillId="2" borderId="107" xfId="81" applyFont="1" applyFill="1" applyBorder="1" applyAlignment="1">
      <alignment horizontal="center"/>
    </xf>
    <xf numFmtId="0" fontId="34" fillId="2" borderId="8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105" xfId="81" applyFont="1" applyFill="1" applyBorder="1" applyAlignment="1">
      <alignment horizontal="center"/>
    </xf>
    <xf numFmtId="0" fontId="34" fillId="2" borderId="106" xfId="81" applyFont="1" applyFill="1" applyBorder="1" applyAlignment="1">
      <alignment horizontal="center"/>
    </xf>
    <xf numFmtId="0" fontId="34" fillId="2" borderId="9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0" xfId="78" applyNumberFormat="1" applyFont="1" applyFill="1" applyBorder="1" applyAlignment="1">
      <alignment horizontal="left"/>
    </xf>
    <xf numFmtId="0" fontId="35" fillId="2" borderId="52" xfId="0" applyFont="1" applyFill="1" applyBorder="1" applyAlignment="1"/>
    <xf numFmtId="3" fontId="31" fillId="2" borderId="54" xfId="78" applyNumberFormat="1" applyFont="1" applyFill="1" applyBorder="1" applyAlignment="1"/>
    <xf numFmtId="0" fontId="42" fillId="2" borderId="60" xfId="0" applyFont="1" applyFill="1" applyBorder="1" applyAlignment="1">
      <alignment horizontal="left"/>
    </xf>
    <xf numFmtId="0" fontId="35" fillId="2" borderId="48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42" fillId="2" borderId="54" xfId="0" applyFont="1" applyFill="1" applyBorder="1" applyAlignment="1">
      <alignment horizontal="left"/>
    </xf>
    <xf numFmtId="3" fontId="42" fillId="2" borderId="54" xfId="0" applyNumberFormat="1" applyFont="1" applyFill="1" applyBorder="1" applyAlignment="1">
      <alignment horizontal="left"/>
    </xf>
    <xf numFmtId="3" fontId="35" fillId="2" borderId="49" xfId="0" applyNumberFormat="1" applyFont="1" applyFill="1" applyBorder="1" applyAlignment="1">
      <alignment horizontal="left"/>
    </xf>
    <xf numFmtId="9" fontId="3" fillId="2" borderId="11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9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166" fontId="42" fillId="2" borderId="78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>
      <alignment horizontal="left"/>
    </xf>
    <xf numFmtId="0" fontId="2" fillId="0" borderId="2" xfId="26" applyFont="1" applyFill="1" applyBorder="1" applyAlignment="1"/>
    <xf numFmtId="0" fontId="56" fillId="0" borderId="2" xfId="26" applyFont="1" applyFill="1" applyBorder="1" applyAlignment="1"/>
    <xf numFmtId="0" fontId="42" fillId="2" borderId="58" xfId="0" applyFont="1" applyFill="1" applyBorder="1" applyAlignment="1">
      <alignment vertical="center"/>
    </xf>
    <xf numFmtId="3" fontId="34" fillId="2" borderId="60" xfId="26" applyNumberFormat="1" applyFont="1" applyFill="1" applyBorder="1" applyAlignment="1">
      <alignment horizontal="center"/>
    </xf>
    <xf numFmtId="3" fontId="34" fillId="2" borderId="48" xfId="26" applyNumberFormat="1" applyFont="1" applyFill="1" applyBorder="1" applyAlignment="1">
      <alignment horizontal="center"/>
    </xf>
    <xf numFmtId="3" fontId="34" fillId="2" borderId="103" xfId="26" applyNumberFormat="1" applyFont="1" applyFill="1" applyBorder="1" applyAlignment="1">
      <alignment horizontal="center"/>
    </xf>
    <xf numFmtId="3" fontId="34" fillId="2" borderId="49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49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0" xfId="0" quotePrefix="1" applyNumberFormat="1" applyFont="1" applyFill="1" applyBorder="1" applyAlignment="1">
      <alignment horizontal="center"/>
    </xf>
    <xf numFmtId="0" fontId="34" fillId="2" borderId="49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6" fillId="2" borderId="49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4" fillId="0" borderId="48" xfId="26" applyNumberFormat="1" applyFont="1" applyFill="1" applyBorder="1" applyAlignment="1">
      <alignment horizontal="right" vertical="top"/>
    </xf>
    <xf numFmtId="0" fontId="35" fillId="0" borderId="48" xfId="0" applyFont="1" applyFill="1" applyBorder="1" applyAlignment="1">
      <alignment horizontal="right" vertical="top"/>
    </xf>
    <xf numFmtId="0" fontId="35" fillId="0" borderId="103" xfId="0" applyFont="1" applyFill="1" applyBorder="1" applyAlignment="1">
      <alignment horizontal="right" vertical="top"/>
    </xf>
    <xf numFmtId="3" fontId="34" fillId="10" borderId="77" xfId="26" applyNumberFormat="1" applyFont="1" applyFill="1" applyBorder="1" applyAlignment="1">
      <alignment horizontal="center" vertical="center" wrapText="1"/>
    </xf>
    <xf numFmtId="3" fontId="34" fillId="10" borderId="59" xfId="26" applyNumberFormat="1" applyFont="1" applyFill="1" applyBorder="1" applyAlignment="1">
      <alignment horizontal="center" vertical="center" wrapText="1"/>
    </xf>
    <xf numFmtId="3" fontId="34" fillId="10" borderId="60" xfId="26" applyNumberFormat="1" applyFont="1" applyFill="1" applyBorder="1" applyAlignment="1">
      <alignment horizontal="center"/>
    </xf>
    <xf numFmtId="3" fontId="34" fillId="10" borderId="48" xfId="26" applyNumberFormat="1" applyFont="1" applyFill="1" applyBorder="1" applyAlignment="1">
      <alignment horizontal="center"/>
    </xf>
    <xf numFmtId="3" fontId="34" fillId="10" borderId="103" xfId="26" applyNumberFormat="1" applyFont="1" applyFill="1" applyBorder="1" applyAlignment="1">
      <alignment horizontal="center"/>
    </xf>
    <xf numFmtId="3" fontId="34" fillId="10" borderId="49" xfId="26" applyNumberFormat="1" applyFont="1" applyFill="1" applyBorder="1" applyAlignment="1">
      <alignment horizontal="center"/>
    </xf>
    <xf numFmtId="3" fontId="34" fillId="4" borderId="77" xfId="26" applyNumberFormat="1" applyFont="1" applyFill="1" applyBorder="1" applyAlignment="1">
      <alignment horizontal="center" vertical="center" wrapText="1"/>
    </xf>
    <xf numFmtId="3" fontId="34" fillId="4" borderId="59" xfId="26" applyNumberFormat="1" applyFont="1" applyFill="1" applyBorder="1" applyAlignment="1">
      <alignment horizontal="center" vertical="center" wrapText="1"/>
    </xf>
    <xf numFmtId="3" fontId="34" fillId="4" borderId="60" xfId="26" applyNumberFormat="1" applyFont="1" applyFill="1" applyBorder="1" applyAlignment="1">
      <alignment horizontal="center"/>
    </xf>
    <xf numFmtId="3" fontId="34" fillId="4" borderId="48" xfId="26" applyNumberFormat="1" applyFont="1" applyFill="1" applyBorder="1" applyAlignment="1">
      <alignment horizontal="center"/>
    </xf>
    <xf numFmtId="3" fontId="34" fillId="4" borderId="103" xfId="26" applyNumberFormat="1" applyFont="1" applyFill="1" applyBorder="1" applyAlignment="1">
      <alignment horizontal="center"/>
    </xf>
    <xf numFmtId="3" fontId="34" fillId="4" borderId="49" xfId="26" applyNumberFormat="1" applyFont="1" applyFill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3" fontId="34" fillId="2" borderId="77" xfId="26" applyNumberFormat="1" applyFont="1" applyFill="1" applyBorder="1" applyAlignment="1">
      <alignment horizontal="center" vertical="center"/>
    </xf>
    <xf numFmtId="3" fontId="34" fillId="2" borderId="59" xfId="26" applyNumberFormat="1" applyFont="1" applyFill="1" applyBorder="1" applyAlignment="1">
      <alignment horizontal="center" vertical="center"/>
    </xf>
    <xf numFmtId="3" fontId="34" fillId="0" borderId="103" xfId="26" applyNumberFormat="1" applyFont="1" applyFill="1" applyBorder="1" applyAlignment="1">
      <alignment horizontal="right" vertical="top"/>
    </xf>
    <xf numFmtId="3" fontId="34" fillId="3" borderId="77" xfId="26" applyNumberFormat="1" applyFont="1" applyFill="1" applyBorder="1" applyAlignment="1">
      <alignment horizontal="center" vertical="center" wrapText="1"/>
    </xf>
    <xf numFmtId="3" fontId="34" fillId="3" borderId="59" xfId="26" applyNumberFormat="1" applyFont="1" applyFill="1" applyBorder="1" applyAlignment="1">
      <alignment horizontal="center" vertical="center" wrapText="1"/>
    </xf>
    <xf numFmtId="3" fontId="34" fillId="3" borderId="60" xfId="26" applyNumberFormat="1" applyFont="1" applyFill="1" applyBorder="1" applyAlignment="1">
      <alignment horizontal="center"/>
    </xf>
    <xf numFmtId="3" fontId="34" fillId="3" borderId="48" xfId="26" applyNumberFormat="1" applyFont="1" applyFill="1" applyBorder="1" applyAlignment="1">
      <alignment horizontal="center"/>
    </xf>
    <xf numFmtId="3" fontId="34" fillId="3" borderId="103" xfId="26" applyNumberFormat="1" applyFont="1" applyFill="1" applyBorder="1" applyAlignment="1">
      <alignment horizontal="center"/>
    </xf>
    <xf numFmtId="3" fontId="34" fillId="3" borderId="49" xfId="26" applyNumberFormat="1" applyFont="1" applyFill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5" fillId="2" borderId="48" xfId="14" applyFont="1" applyFill="1" applyBorder="1" applyAlignment="1">
      <alignment horizontal="center"/>
    </xf>
    <xf numFmtId="0" fontId="35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1" xfId="76" applyNumberFormat="1" applyFont="1" applyFill="1" applyBorder="1" applyAlignment="1">
      <alignment horizontal="center" vertical="center"/>
    </xf>
    <xf numFmtId="3" fontId="34" fillId="2" borderId="53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0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1" borderId="116" xfId="0" applyNumberFormat="1" applyFont="1" applyFill="1" applyBorder="1" applyAlignment="1">
      <alignment horizontal="right" vertical="top"/>
    </xf>
    <xf numFmtId="3" fontId="36" fillId="11" borderId="117" xfId="0" applyNumberFormat="1" applyFont="1" applyFill="1" applyBorder="1" applyAlignment="1">
      <alignment horizontal="right" vertical="top"/>
    </xf>
    <xf numFmtId="176" fontId="36" fillId="11" borderId="118" xfId="0" applyNumberFormat="1" applyFont="1" applyFill="1" applyBorder="1" applyAlignment="1">
      <alignment horizontal="right" vertical="top"/>
    </xf>
    <xf numFmtId="3" fontId="36" fillId="0" borderId="116" xfId="0" applyNumberFormat="1" applyFont="1" applyBorder="1" applyAlignment="1">
      <alignment horizontal="right" vertical="top"/>
    </xf>
    <xf numFmtId="176" fontId="36" fillId="11" borderId="119" xfId="0" applyNumberFormat="1" applyFont="1" applyFill="1" applyBorder="1" applyAlignment="1">
      <alignment horizontal="right" vertical="top"/>
    </xf>
    <xf numFmtId="3" fontId="38" fillId="11" borderId="121" xfId="0" applyNumberFormat="1" applyFont="1" applyFill="1" applyBorder="1" applyAlignment="1">
      <alignment horizontal="right" vertical="top"/>
    </xf>
    <xf numFmtId="3" fontId="38" fillId="11" borderId="122" xfId="0" applyNumberFormat="1" applyFont="1" applyFill="1" applyBorder="1" applyAlignment="1">
      <alignment horizontal="right" vertical="top"/>
    </xf>
    <xf numFmtId="0" fontId="38" fillId="11" borderId="123" xfId="0" applyFont="1" applyFill="1" applyBorder="1" applyAlignment="1">
      <alignment horizontal="right" vertical="top"/>
    </xf>
    <xf numFmtId="3" fontId="38" fillId="0" borderId="121" xfId="0" applyNumberFormat="1" applyFont="1" applyBorder="1" applyAlignment="1">
      <alignment horizontal="right" vertical="top"/>
    </xf>
    <xf numFmtId="0" fontId="38" fillId="11" borderId="124" xfId="0" applyFont="1" applyFill="1" applyBorder="1" applyAlignment="1">
      <alignment horizontal="right" vertical="top"/>
    </xf>
    <xf numFmtId="0" fontId="36" fillId="11" borderId="118" xfId="0" applyFont="1" applyFill="1" applyBorder="1" applyAlignment="1">
      <alignment horizontal="right" vertical="top"/>
    </xf>
    <xf numFmtId="0" fontId="36" fillId="11" borderId="119" xfId="0" applyFont="1" applyFill="1" applyBorder="1" applyAlignment="1">
      <alignment horizontal="right" vertical="top"/>
    </xf>
    <xf numFmtId="176" fontId="38" fillId="11" borderId="123" xfId="0" applyNumberFormat="1" applyFont="1" applyFill="1" applyBorder="1" applyAlignment="1">
      <alignment horizontal="right" vertical="top"/>
    </xf>
    <xf numFmtId="176" fontId="38" fillId="11" borderId="124" xfId="0" applyNumberFormat="1" applyFont="1" applyFill="1" applyBorder="1" applyAlignment="1">
      <alignment horizontal="right" vertical="top"/>
    </xf>
    <xf numFmtId="3" fontId="38" fillId="0" borderId="125" xfId="0" applyNumberFormat="1" applyFont="1" applyBorder="1" applyAlignment="1">
      <alignment horizontal="right" vertical="top"/>
    </xf>
    <xf numFmtId="3" fontId="38" fillId="0" borderId="126" xfId="0" applyNumberFormat="1" applyFont="1" applyBorder="1" applyAlignment="1">
      <alignment horizontal="right" vertical="top"/>
    </xf>
    <xf numFmtId="0" fontId="38" fillId="0" borderId="127" xfId="0" applyFont="1" applyBorder="1" applyAlignment="1">
      <alignment horizontal="right" vertical="top"/>
    </xf>
    <xf numFmtId="176" fontId="38" fillId="11" borderId="128" xfId="0" applyNumberFormat="1" applyFont="1" applyFill="1" applyBorder="1" applyAlignment="1">
      <alignment horizontal="right" vertical="top"/>
    </xf>
    <xf numFmtId="0" fontId="40" fillId="12" borderId="115" xfId="0" applyFont="1" applyFill="1" applyBorder="1" applyAlignment="1">
      <alignment vertical="top"/>
    </xf>
    <xf numFmtId="0" fontId="40" fillId="12" borderId="115" xfId="0" applyFont="1" applyFill="1" applyBorder="1" applyAlignment="1">
      <alignment vertical="top" indent="2"/>
    </xf>
    <xf numFmtId="0" fontId="40" fillId="12" borderId="115" xfId="0" applyFont="1" applyFill="1" applyBorder="1" applyAlignment="1">
      <alignment vertical="top" indent="4"/>
    </xf>
    <xf numFmtId="0" fontId="41" fillId="12" borderId="120" xfId="0" applyFont="1" applyFill="1" applyBorder="1" applyAlignment="1">
      <alignment vertical="top" indent="6"/>
    </xf>
    <xf numFmtId="0" fontId="40" fillId="12" borderId="115" xfId="0" applyFont="1" applyFill="1" applyBorder="1" applyAlignment="1">
      <alignment vertical="top" indent="8"/>
    </xf>
    <xf numFmtId="0" fontId="41" fillId="12" borderId="120" xfId="0" applyFont="1" applyFill="1" applyBorder="1" applyAlignment="1">
      <alignment vertical="top" indent="2"/>
    </xf>
    <xf numFmtId="0" fontId="40" fillId="12" borderId="115" xfId="0" applyFont="1" applyFill="1" applyBorder="1" applyAlignment="1">
      <alignment vertical="top" indent="6"/>
    </xf>
    <xf numFmtId="0" fontId="41" fillId="12" borderId="120" xfId="0" applyFont="1" applyFill="1" applyBorder="1" applyAlignment="1">
      <alignment vertical="top" indent="4"/>
    </xf>
    <xf numFmtId="0" fontId="35" fillId="12" borderId="115" xfId="0" applyFont="1" applyFill="1" applyBorder="1"/>
    <xf numFmtId="0" fontId="41" fillId="12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29" xfId="53" applyNumberFormat="1" applyFont="1" applyFill="1" applyBorder="1" applyAlignment="1">
      <alignment horizontal="left"/>
    </xf>
    <xf numFmtId="164" fontId="34" fillId="2" borderId="130" xfId="53" applyNumberFormat="1" applyFont="1" applyFill="1" applyBorder="1" applyAlignment="1">
      <alignment horizontal="left"/>
    </xf>
    <xf numFmtId="0" fontId="34" fillId="2" borderId="130" xfId="53" applyNumberFormat="1" applyFont="1" applyFill="1" applyBorder="1" applyAlignment="1">
      <alignment horizontal="left"/>
    </xf>
    <xf numFmtId="164" fontId="34" fillId="2" borderId="56" xfId="53" applyNumberFormat="1" applyFont="1" applyFill="1" applyBorder="1" applyAlignment="1">
      <alignment horizontal="left"/>
    </xf>
    <xf numFmtId="3" fontId="34" fillId="2" borderId="56" xfId="53" applyNumberFormat="1" applyFont="1" applyFill="1" applyBorder="1" applyAlignment="1">
      <alignment horizontal="left"/>
    </xf>
    <xf numFmtId="3" fontId="34" fillId="2" borderId="61" xfId="53" applyNumberFormat="1" applyFont="1" applyFill="1" applyBorder="1" applyAlignment="1">
      <alignment horizontal="left"/>
    </xf>
    <xf numFmtId="3" fontId="35" fillId="0" borderId="130" xfId="0" applyNumberFormat="1" applyFont="1" applyFill="1" applyBorder="1"/>
    <xf numFmtId="3" fontId="35" fillId="0" borderId="131" xfId="0" applyNumberFormat="1" applyFont="1" applyFill="1" applyBorder="1"/>
    <xf numFmtId="0" fontId="35" fillId="0" borderId="79" xfId="0" applyFont="1" applyFill="1" applyBorder="1"/>
    <xf numFmtId="0" fontId="35" fillId="0" borderId="80" xfId="0" applyFont="1" applyFill="1" applyBorder="1"/>
    <xf numFmtId="164" fontId="35" fillId="0" borderId="80" xfId="0" applyNumberFormat="1" applyFont="1" applyFill="1" applyBorder="1"/>
    <xf numFmtId="164" fontId="35" fillId="0" borderId="80" xfId="0" applyNumberFormat="1" applyFont="1" applyFill="1" applyBorder="1" applyAlignment="1">
      <alignment horizontal="right"/>
    </xf>
    <xf numFmtId="0" fontId="35" fillId="0" borderId="80" xfId="0" applyNumberFormat="1" applyFont="1" applyFill="1" applyBorder="1"/>
    <xf numFmtId="3" fontId="35" fillId="0" borderId="80" xfId="0" applyNumberFormat="1" applyFont="1" applyFill="1" applyBorder="1"/>
    <xf numFmtId="3" fontId="35" fillId="0" borderId="81" xfId="0" applyNumberFormat="1" applyFont="1" applyFill="1" applyBorder="1"/>
    <xf numFmtId="0" fontId="35" fillId="0" borderId="89" xfId="0" applyFont="1" applyFill="1" applyBorder="1"/>
    <xf numFmtId="0" fontId="35" fillId="0" borderId="90" xfId="0" applyFont="1" applyFill="1" applyBorder="1"/>
    <xf numFmtId="164" fontId="35" fillId="0" borderId="90" xfId="0" applyNumberFormat="1" applyFont="1" applyFill="1" applyBorder="1"/>
    <xf numFmtId="164" fontId="35" fillId="0" borderId="90" xfId="0" applyNumberFormat="1" applyFont="1" applyFill="1" applyBorder="1" applyAlignment="1">
      <alignment horizontal="right"/>
    </xf>
    <xf numFmtId="0" fontId="35" fillId="0" borderId="90" xfId="0" applyNumberFormat="1" applyFont="1" applyFill="1" applyBorder="1"/>
    <xf numFmtId="3" fontId="35" fillId="0" borderId="90" xfId="0" applyNumberFormat="1" applyFont="1" applyFill="1" applyBorder="1"/>
    <xf numFmtId="3" fontId="35" fillId="0" borderId="91" xfId="0" applyNumberFormat="1" applyFont="1" applyFill="1" applyBorder="1"/>
    <xf numFmtId="0" fontId="35" fillId="0" borderId="82" xfId="0" applyFont="1" applyFill="1" applyBorder="1"/>
    <xf numFmtId="0" fontId="35" fillId="0" borderId="83" xfId="0" applyFont="1" applyFill="1" applyBorder="1"/>
    <xf numFmtId="164" fontId="35" fillId="0" borderId="83" xfId="0" applyNumberFormat="1" applyFont="1" applyFill="1" applyBorder="1"/>
    <xf numFmtId="164" fontId="35" fillId="0" borderId="83" xfId="0" applyNumberFormat="1" applyFont="1" applyFill="1" applyBorder="1" applyAlignment="1">
      <alignment horizontal="right"/>
    </xf>
    <xf numFmtId="0" fontId="35" fillId="0" borderId="83" xfId="0" applyNumberFormat="1" applyFont="1" applyFill="1" applyBorder="1"/>
    <xf numFmtId="3" fontId="35" fillId="0" borderId="83" xfId="0" applyNumberFormat="1" applyFont="1" applyFill="1" applyBorder="1"/>
    <xf numFmtId="3" fontId="35" fillId="0" borderId="84" xfId="0" applyNumberFormat="1" applyFont="1" applyFill="1" applyBorder="1"/>
    <xf numFmtId="0" fontId="42" fillId="2" borderId="129" xfId="0" applyFont="1" applyFill="1" applyBorder="1"/>
    <xf numFmtId="3" fontId="42" fillId="2" borderId="111" xfId="0" applyNumberFormat="1" applyFont="1" applyFill="1" applyBorder="1"/>
    <xf numFmtId="9" fontId="42" fillId="2" borderId="74" xfId="0" applyNumberFormat="1" applyFont="1" applyFill="1" applyBorder="1"/>
    <xf numFmtId="3" fontId="42" fillId="2" borderId="61" xfId="0" applyNumberFormat="1" applyFont="1" applyFill="1" applyBorder="1"/>
    <xf numFmtId="9" fontId="35" fillId="0" borderId="130" xfId="0" applyNumberFormat="1" applyFont="1" applyFill="1" applyBorder="1"/>
    <xf numFmtId="9" fontId="35" fillId="0" borderId="80" xfId="0" applyNumberFormat="1" applyFont="1" applyFill="1" applyBorder="1"/>
    <xf numFmtId="9" fontId="35" fillId="0" borderId="83" xfId="0" applyNumberFormat="1" applyFont="1" applyFill="1" applyBorder="1"/>
    <xf numFmtId="0" fontId="42" fillId="12" borderId="22" xfId="0" applyFont="1" applyFill="1" applyBorder="1"/>
    <xf numFmtId="3" fontId="42" fillId="12" borderId="30" xfId="0" applyNumberFormat="1" applyFont="1" applyFill="1" applyBorder="1"/>
    <xf numFmtId="9" fontId="42" fillId="12" borderId="30" xfId="0" applyNumberFormat="1" applyFont="1" applyFill="1" applyBorder="1"/>
    <xf numFmtId="3" fontId="42" fillId="12" borderId="23" xfId="0" applyNumberFormat="1" applyFont="1" applyFill="1" applyBorder="1"/>
    <xf numFmtId="0" fontId="42" fillId="0" borderId="129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90" xfId="0" applyNumberFormat="1" applyFont="1" applyFill="1" applyBorder="1"/>
    <xf numFmtId="3" fontId="35" fillId="0" borderId="96" xfId="0" applyNumberFormat="1" applyFont="1" applyFill="1" applyBorder="1"/>
    <xf numFmtId="9" fontId="35" fillId="0" borderId="96" xfId="0" applyNumberFormat="1" applyFont="1" applyFill="1" applyBorder="1"/>
    <xf numFmtId="3" fontId="35" fillId="0" borderId="97" xfId="0" applyNumberFormat="1" applyFont="1" applyFill="1" applyBorder="1"/>
    <xf numFmtId="0" fontId="42" fillId="0" borderId="79" xfId="0" applyFont="1" applyFill="1" applyBorder="1"/>
    <xf numFmtId="0" fontId="42" fillId="0" borderId="89" xfId="0" applyFont="1" applyFill="1" applyBorder="1"/>
    <xf numFmtId="0" fontId="42" fillId="0" borderId="112" xfId="0" applyFont="1" applyFill="1" applyBorder="1"/>
    <xf numFmtId="0" fontId="42" fillId="2" borderId="130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29" xfId="79" applyFont="1" applyFill="1" applyBorder="1" applyAlignment="1">
      <alignment horizontal="left"/>
    </xf>
    <xf numFmtId="3" fontId="3" fillId="2" borderId="96" xfId="80" applyNumberFormat="1" applyFont="1" applyFill="1" applyBorder="1"/>
    <xf numFmtId="3" fontId="3" fillId="2" borderId="97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5" fillId="0" borderId="81" xfId="0" applyNumberFormat="1" applyFont="1" applyFill="1" applyBorder="1"/>
    <xf numFmtId="9" fontId="35" fillId="0" borderId="84" xfId="0" applyNumberFormat="1" applyFont="1" applyFill="1" applyBorder="1"/>
    <xf numFmtId="0" fontId="42" fillId="0" borderId="107" xfId="0" applyFont="1" applyFill="1" applyBorder="1"/>
    <xf numFmtId="0" fontId="42" fillId="0" borderId="106" xfId="0" applyFont="1" applyFill="1" applyBorder="1" applyAlignment="1">
      <alignment horizontal="left" indent="1"/>
    </xf>
    <xf numFmtId="9" fontId="35" fillId="0" borderId="102" xfId="0" applyNumberFormat="1" applyFont="1" applyFill="1" applyBorder="1"/>
    <xf numFmtId="9" fontId="35" fillId="0" borderId="100" xfId="0" applyNumberFormat="1" applyFont="1" applyFill="1" applyBorder="1"/>
    <xf numFmtId="3" fontId="35" fillId="0" borderId="79" xfId="0" applyNumberFormat="1" applyFont="1" applyFill="1" applyBorder="1"/>
    <xf numFmtId="3" fontId="35" fillId="0" borderId="82" xfId="0" applyNumberFormat="1" applyFont="1" applyFill="1" applyBorder="1"/>
    <xf numFmtId="9" fontId="35" fillId="0" borderId="134" xfId="0" applyNumberFormat="1" applyFont="1" applyFill="1" applyBorder="1"/>
    <xf numFmtId="9" fontId="35" fillId="0" borderId="135" xfId="0" applyNumberFormat="1" applyFont="1" applyFill="1" applyBorder="1"/>
    <xf numFmtId="0" fontId="35" fillId="2" borderId="61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0" fontId="34" fillId="2" borderId="19" xfId="26" applyNumberFormat="1" applyFont="1" applyFill="1" applyBorder="1" applyAlignment="1">
      <alignment horizontal="right"/>
    </xf>
    <xf numFmtId="169" fontId="35" fillId="0" borderId="80" xfId="0" applyNumberFormat="1" applyFont="1" applyFill="1" applyBorder="1"/>
    <xf numFmtId="169" fontId="35" fillId="0" borderId="83" xfId="0" applyNumberFormat="1" applyFont="1" applyFill="1" applyBorder="1"/>
    <xf numFmtId="0" fontId="42" fillId="0" borderId="82" xfId="0" applyFont="1" applyFill="1" applyBorder="1"/>
    <xf numFmtId="0" fontId="34" fillId="2" borderId="34" xfId="0" applyFont="1" applyFill="1" applyBorder="1" applyAlignment="1">
      <alignment horizontal="center" vertical="top"/>
    </xf>
    <xf numFmtId="0" fontId="35" fillId="2" borderId="34" xfId="0" applyFont="1" applyFill="1" applyBorder="1" applyAlignment="1">
      <alignment horizontal="center" vertical="top" wrapText="1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3" fontId="12" fillId="0" borderId="133" xfId="0" applyNumberFormat="1" applyFont="1" applyBorder="1" applyAlignment="1">
      <alignment horizontal="right"/>
    </xf>
    <xf numFmtId="166" fontId="12" fillId="0" borderId="133" xfId="0" applyNumberFormat="1" applyFont="1" applyBorder="1" applyAlignment="1">
      <alignment horizontal="right"/>
    </xf>
    <xf numFmtId="166" fontId="12" fillId="0" borderId="94" xfId="0" applyNumberFormat="1" applyFont="1" applyBorder="1" applyAlignment="1">
      <alignment horizontal="right"/>
    </xf>
    <xf numFmtId="3" fontId="5" fillId="0" borderId="133" xfId="0" applyNumberFormat="1" applyFont="1" applyBorder="1" applyAlignment="1">
      <alignment horizontal="right"/>
    </xf>
    <xf numFmtId="166" fontId="5" fillId="0" borderId="133" xfId="0" applyNumberFormat="1" applyFont="1" applyBorder="1" applyAlignment="1">
      <alignment horizontal="right"/>
    </xf>
    <xf numFmtId="166" fontId="5" fillId="0" borderId="94" xfId="0" applyNumberFormat="1" applyFont="1" applyBorder="1" applyAlignment="1">
      <alignment horizontal="right"/>
    </xf>
    <xf numFmtId="177" fontId="5" fillId="0" borderId="133" xfId="0" applyNumberFormat="1" applyFont="1" applyBorder="1" applyAlignment="1">
      <alignment horizontal="right"/>
    </xf>
    <xf numFmtId="4" fontId="5" fillId="0" borderId="133" xfId="0" applyNumberFormat="1" applyFont="1" applyBorder="1" applyAlignment="1">
      <alignment horizontal="right"/>
    </xf>
    <xf numFmtId="3" fontId="5" fillId="0" borderId="133" xfId="0" applyNumberFormat="1" applyFont="1" applyBorder="1"/>
    <xf numFmtId="3" fontId="12" fillId="0" borderId="133" xfId="0" applyNumberFormat="1" applyFont="1" applyBorder="1"/>
    <xf numFmtId="166" fontId="12" fillId="0" borderId="133" xfId="0" applyNumberFormat="1" applyFont="1" applyBorder="1"/>
    <xf numFmtId="166" fontId="12" fillId="0" borderId="94" xfId="0" applyNumberFormat="1" applyFont="1" applyBorder="1"/>
    <xf numFmtId="166" fontId="12" fillId="0" borderId="19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12" fillId="0" borderId="19" xfId="0" applyNumberFormat="1" applyFont="1" applyBorder="1" applyAlignment="1">
      <alignment horizontal="right"/>
    </xf>
    <xf numFmtId="166" fontId="11" fillId="0" borderId="19" xfId="0" applyNumberFormat="1" applyFont="1" applyBorder="1" applyAlignment="1">
      <alignment horizontal="right"/>
    </xf>
    <xf numFmtId="3" fontId="35" fillId="0" borderId="133" xfId="0" applyNumberFormat="1" applyFont="1" applyBorder="1"/>
    <xf numFmtId="166" fontId="35" fillId="0" borderId="133" xfId="0" applyNumberFormat="1" applyFont="1" applyBorder="1"/>
    <xf numFmtId="166" fontId="35" fillId="0" borderId="94" xfId="0" applyNumberFormat="1" applyFont="1" applyBorder="1"/>
    <xf numFmtId="0" fontId="5" fillId="0" borderId="133" xfId="0" applyFont="1" applyBorder="1"/>
    <xf numFmtId="3" fontId="35" fillId="0" borderId="133" xfId="0" applyNumberFormat="1" applyFont="1" applyBorder="1" applyAlignment="1">
      <alignment horizontal="right"/>
    </xf>
    <xf numFmtId="166" fontId="35" fillId="0" borderId="19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49" fontId="3" fillId="0" borderId="93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77" xfId="0" applyNumberFormat="1" applyFont="1" applyBorder="1" applyAlignment="1">
      <alignment horizontal="center"/>
    </xf>
    <xf numFmtId="166" fontId="35" fillId="0" borderId="103" xfId="0" applyNumberFormat="1" applyFont="1" applyBorder="1"/>
    <xf numFmtId="166" fontId="35" fillId="0" borderId="78" xfId="0" applyNumberFormat="1" applyFont="1" applyBorder="1"/>
    <xf numFmtId="3" fontId="12" fillId="0" borderId="103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166" fontId="12" fillId="0" borderId="78" xfId="0" applyNumberFormat="1" applyFont="1" applyBorder="1" applyAlignment="1">
      <alignment horizontal="right"/>
    </xf>
    <xf numFmtId="3" fontId="5" fillId="0" borderId="103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166" fontId="5" fillId="0" borderId="78" xfId="0" applyNumberFormat="1" applyFont="1" applyBorder="1" applyAlignment="1">
      <alignment horizontal="right"/>
    </xf>
    <xf numFmtId="177" fontId="5" fillId="0" borderId="103" xfId="0" applyNumberFormat="1" applyFont="1" applyBorder="1" applyAlignment="1">
      <alignment horizontal="right"/>
    </xf>
    <xf numFmtId="4" fontId="5" fillId="0" borderId="103" xfId="0" applyNumberFormat="1" applyFont="1" applyBorder="1" applyAlignment="1">
      <alignment horizontal="right"/>
    </xf>
    <xf numFmtId="0" fontId="5" fillId="0" borderId="103" xfId="0" applyFont="1" applyBorder="1"/>
    <xf numFmtId="3" fontId="5" fillId="0" borderId="103" xfId="0" applyNumberFormat="1" applyFont="1" applyBorder="1"/>
    <xf numFmtId="49" fontId="3" fillId="0" borderId="98" xfId="0" applyNumberFormat="1" applyFont="1" applyBorder="1" applyAlignment="1">
      <alignment horizontal="center"/>
    </xf>
    <xf numFmtId="3" fontId="12" fillId="0" borderId="136" xfId="0" applyNumberFormat="1" applyFont="1" applyBorder="1"/>
    <xf numFmtId="166" fontId="12" fillId="0" borderId="136" xfId="0" applyNumberFormat="1" applyFont="1" applyBorder="1"/>
    <xf numFmtId="166" fontId="12" fillId="0" borderId="99" xfId="0" applyNumberFormat="1" applyFont="1" applyBorder="1"/>
    <xf numFmtId="3" fontId="35" fillId="0" borderId="136" xfId="0" applyNumberFormat="1" applyFont="1" applyBorder="1" applyAlignment="1">
      <alignment horizontal="right"/>
    </xf>
    <xf numFmtId="166" fontId="5" fillId="0" borderId="136" xfId="0" applyNumberFormat="1" applyFont="1" applyBorder="1" applyAlignment="1">
      <alignment horizontal="right"/>
    </xf>
    <xf numFmtId="166" fontId="5" fillId="0" borderId="99" xfId="0" applyNumberFormat="1" applyFont="1" applyBorder="1" applyAlignment="1">
      <alignment horizontal="right"/>
    </xf>
    <xf numFmtId="3" fontId="5" fillId="0" borderId="136" xfId="0" applyNumberFormat="1" applyFont="1" applyBorder="1" applyAlignment="1">
      <alignment horizontal="right"/>
    </xf>
    <xf numFmtId="177" fontId="5" fillId="0" borderId="136" xfId="0" applyNumberFormat="1" applyFont="1" applyBorder="1" applyAlignment="1">
      <alignment horizontal="right"/>
    </xf>
    <xf numFmtId="4" fontId="5" fillId="0" borderId="136" xfId="0" applyNumberFormat="1" applyFont="1" applyBorder="1" applyAlignment="1">
      <alignment horizontal="right"/>
    </xf>
    <xf numFmtId="0" fontId="5" fillId="0" borderId="136" xfId="0" applyFont="1" applyBorder="1"/>
    <xf numFmtId="3" fontId="5" fillId="0" borderId="136" xfId="0" applyNumberFormat="1" applyFont="1" applyBorder="1"/>
    <xf numFmtId="3" fontId="5" fillId="0" borderId="78" xfId="0" applyNumberFormat="1" applyFont="1" applyBorder="1"/>
    <xf numFmtId="3" fontId="5" fillId="0" borderId="94" xfId="0" applyNumberFormat="1" applyFont="1" applyBorder="1"/>
    <xf numFmtId="3" fontId="5" fillId="0" borderId="19" xfId="0" applyNumberFormat="1" applyFont="1" applyBorder="1"/>
    <xf numFmtId="3" fontId="5" fillId="0" borderId="99" xfId="0" applyNumberFormat="1" applyFont="1" applyBorder="1"/>
    <xf numFmtId="3" fontId="11" fillId="0" borderId="93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5" fillId="0" borderId="133" xfId="0" applyNumberFormat="1" applyFont="1" applyBorder="1"/>
    <xf numFmtId="9" fontId="35" fillId="0" borderId="0" xfId="0" applyNumberFormat="1" applyFont="1" applyBorder="1"/>
    <xf numFmtId="3" fontId="35" fillId="0" borderId="132" xfId="0" applyNumberFormat="1" applyFont="1" applyBorder="1"/>
    <xf numFmtId="3" fontId="35" fillId="0" borderId="18" xfId="0" applyNumberFormat="1" applyFont="1" applyBorder="1"/>
    <xf numFmtId="3" fontId="35" fillId="0" borderId="108" xfId="0" applyNumberFormat="1" applyFont="1" applyBorder="1"/>
    <xf numFmtId="9" fontId="35" fillId="0" borderId="103" xfId="0" applyNumberFormat="1" applyFont="1" applyBorder="1"/>
    <xf numFmtId="3" fontId="11" fillId="0" borderId="77" xfId="0" applyNumberFormat="1" applyFont="1" applyBorder="1" applyAlignment="1">
      <alignment horizontal="center"/>
    </xf>
    <xf numFmtId="3" fontId="35" fillId="0" borderId="106" xfId="0" applyNumberFormat="1" applyFont="1" applyBorder="1"/>
    <xf numFmtId="3" fontId="35" fillId="0" borderId="136" xfId="0" applyNumberFormat="1" applyFont="1" applyBorder="1"/>
    <xf numFmtId="9" fontId="35" fillId="0" borderId="136" xfId="0" applyNumberFormat="1" applyFont="1" applyBorder="1"/>
    <xf numFmtId="3" fontId="11" fillId="0" borderId="98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169" fontId="35" fillId="0" borderId="90" xfId="0" applyNumberFormat="1" applyFont="1" applyFill="1" applyBorder="1"/>
    <xf numFmtId="9" fontId="35" fillId="0" borderId="91" xfId="0" applyNumberFormat="1" applyFont="1" applyFill="1" applyBorder="1"/>
    <xf numFmtId="3" fontId="34" fillId="2" borderId="73" xfId="76" applyNumberFormat="1" applyFont="1" applyFill="1" applyBorder="1" applyAlignment="1">
      <alignment horizontal="center" vertical="center"/>
    </xf>
    <xf numFmtId="3" fontId="34" fillId="2" borderId="56" xfId="76" applyNumberFormat="1" applyFont="1" applyFill="1" applyBorder="1" applyAlignment="1">
      <alignment horizontal="center" vertical="center"/>
    </xf>
    <xf numFmtId="0" fontId="32" fillId="0" borderId="79" xfId="76" applyFont="1" applyFill="1" applyBorder="1"/>
    <xf numFmtId="0" fontId="32" fillId="0" borderId="89" xfId="76" applyFont="1" applyFill="1" applyBorder="1"/>
    <xf numFmtId="0" fontId="32" fillId="0" borderId="82" xfId="76" applyFont="1" applyFill="1" applyBorder="1"/>
    <xf numFmtId="0" fontId="32" fillId="0" borderId="134" xfId="76" applyFont="1" applyFill="1" applyBorder="1"/>
    <xf numFmtId="0" fontId="32" fillId="0" borderId="104" xfId="76" applyFont="1" applyFill="1" applyBorder="1"/>
    <xf numFmtId="0" fontId="32" fillId="0" borderId="135" xfId="76" applyFont="1" applyFill="1" applyBorder="1"/>
    <xf numFmtId="0" fontId="34" fillId="2" borderId="96" xfId="76" applyNumberFormat="1" applyFont="1" applyFill="1" applyBorder="1" applyAlignment="1">
      <alignment horizontal="left"/>
    </xf>
    <xf numFmtId="0" fontId="34" fillId="2" borderId="137" xfId="76" applyNumberFormat="1" applyFont="1" applyFill="1" applyBorder="1" applyAlignment="1">
      <alignment horizontal="left"/>
    </xf>
    <xf numFmtId="3" fontId="32" fillId="0" borderId="79" xfId="76" applyNumberFormat="1" applyFont="1" applyFill="1" applyBorder="1"/>
    <xf numFmtId="3" fontId="32" fillId="0" borderId="80" xfId="76" applyNumberFormat="1" applyFont="1" applyFill="1" applyBorder="1"/>
    <xf numFmtId="3" fontId="32" fillId="0" borderId="89" xfId="76" applyNumberFormat="1" applyFont="1" applyFill="1" applyBorder="1"/>
    <xf numFmtId="3" fontId="32" fillId="0" borderId="90" xfId="76" applyNumberFormat="1" applyFont="1" applyFill="1" applyBorder="1"/>
    <xf numFmtId="3" fontId="32" fillId="0" borderId="82" xfId="76" applyNumberFormat="1" applyFont="1" applyFill="1" applyBorder="1"/>
    <xf numFmtId="3" fontId="32" fillId="0" borderId="83" xfId="76" applyNumberFormat="1" applyFont="1" applyFill="1" applyBorder="1"/>
    <xf numFmtId="9" fontId="32" fillId="0" borderId="134" xfId="76" applyNumberFormat="1" applyFont="1" applyFill="1" applyBorder="1"/>
    <xf numFmtId="9" fontId="32" fillId="0" borderId="104" xfId="76" applyNumberFormat="1" applyFont="1" applyFill="1" applyBorder="1"/>
    <xf numFmtId="9" fontId="32" fillId="0" borderId="135" xfId="76" applyNumberFormat="1" applyFont="1" applyFill="1" applyBorder="1"/>
    <xf numFmtId="0" fontId="34" fillId="2" borderId="95" xfId="76" applyNumberFormat="1" applyFont="1" applyFill="1" applyBorder="1" applyAlignment="1">
      <alignment horizontal="left"/>
    </xf>
    <xf numFmtId="0" fontId="34" fillId="2" borderId="97" xfId="76" applyNumberFormat="1" applyFont="1" applyFill="1" applyBorder="1" applyAlignment="1">
      <alignment horizontal="left"/>
    </xf>
    <xf numFmtId="3" fontId="32" fillId="0" borderId="81" xfId="76" applyNumberFormat="1" applyFont="1" applyFill="1" applyBorder="1"/>
    <xf numFmtId="3" fontId="32" fillId="0" borderId="91" xfId="76" applyNumberFormat="1" applyFont="1" applyFill="1" applyBorder="1"/>
    <xf numFmtId="3" fontId="32" fillId="0" borderId="84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0.10915317801177141</c:v>
                </c:pt>
                <c:pt idx="1">
                  <c:v>0.13430368277813926</c:v>
                </c:pt>
                <c:pt idx="2">
                  <c:v>0.20348249793457474</c:v>
                </c:pt>
                <c:pt idx="3">
                  <c:v>0.22362186047169363</c:v>
                </c:pt>
                <c:pt idx="4">
                  <c:v>0.24495622115613455</c:v>
                </c:pt>
                <c:pt idx="5">
                  <c:v>0.2264454583596435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642336"/>
        <c:axId val="40463145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0.23490338628841728</c:v>
                </c:pt>
                <c:pt idx="1">
                  <c:v>0.23490338628841728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644512"/>
        <c:axId val="404638528"/>
      </c:scatterChart>
      <c:catAx>
        <c:axId val="404642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04631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46314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4642336"/>
        <c:crosses val="autoZero"/>
        <c:crossBetween val="between"/>
      </c:valAx>
      <c:valAx>
        <c:axId val="4046445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404638528"/>
        <c:crosses val="max"/>
        <c:crossBetween val="midCat"/>
      </c:valAx>
      <c:valAx>
        <c:axId val="4046385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046445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0.72602739726027399</c:v>
                </c:pt>
                <c:pt idx="1">
                  <c:v>0.72727272727272729</c:v>
                </c:pt>
                <c:pt idx="2">
                  <c:v>0.56382978723404253</c:v>
                </c:pt>
                <c:pt idx="3">
                  <c:v>0.68249258160237392</c:v>
                </c:pt>
                <c:pt idx="4">
                  <c:v>0.62295081967213117</c:v>
                </c:pt>
                <c:pt idx="5">
                  <c:v>0.59523809523809523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639072"/>
        <c:axId val="40464560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6305248"/>
        <c:axId val="1726307424"/>
      </c:scatterChart>
      <c:catAx>
        <c:axId val="40463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0464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46456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04639072"/>
        <c:crosses val="autoZero"/>
        <c:crossBetween val="between"/>
      </c:valAx>
      <c:valAx>
        <c:axId val="17263052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726307424"/>
        <c:crosses val="max"/>
        <c:crossBetween val="midCat"/>
      </c:valAx>
      <c:valAx>
        <c:axId val="172630742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72630524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1" bestFit="1" customWidth="1"/>
    <col min="2" max="2" width="102.21875" style="231" bestFit="1" customWidth="1"/>
    <col min="3" max="3" width="16.109375" style="51" hidden="1" customWidth="1"/>
    <col min="4" max="16384" width="8.88671875" style="231"/>
  </cols>
  <sheetData>
    <row r="1" spans="1:3" ht="18.600000000000001" customHeight="1" thickBot="1" x14ac:dyDescent="0.4">
      <c r="A1" s="496" t="s">
        <v>119</v>
      </c>
      <c r="B1" s="496"/>
    </row>
    <row r="2" spans="1:3" ht="14.4" customHeight="1" thickBot="1" x14ac:dyDescent="0.35">
      <c r="A2" s="351" t="s">
        <v>288</v>
      </c>
      <c r="B2" s="50"/>
    </row>
    <row r="3" spans="1:3" ht="14.4" customHeight="1" thickBot="1" x14ac:dyDescent="0.35">
      <c r="A3" s="492" t="s">
        <v>163</v>
      </c>
      <c r="B3" s="493"/>
    </row>
    <row r="4" spans="1:3" ht="14.4" customHeight="1" x14ac:dyDescent="0.3">
      <c r="A4" s="246" t="str">
        <f t="shared" ref="A4:A8" si="0">HYPERLINK("#'"&amp;C4&amp;"'!A1",C4)</f>
        <v>Motivace</v>
      </c>
      <c r="B4" s="163" t="s">
        <v>136</v>
      </c>
      <c r="C4" s="51" t="s">
        <v>137</v>
      </c>
    </row>
    <row r="5" spans="1:3" ht="14.4" customHeight="1" x14ac:dyDescent="0.3">
      <c r="A5" s="247" t="str">
        <f t="shared" si="0"/>
        <v>HI</v>
      </c>
      <c r="B5" s="164" t="s">
        <v>157</v>
      </c>
      <c r="C5" s="51" t="s">
        <v>123</v>
      </c>
    </row>
    <row r="6" spans="1:3" ht="14.4" customHeight="1" x14ac:dyDescent="0.3">
      <c r="A6" s="248" t="str">
        <f t="shared" si="0"/>
        <v>HI Graf</v>
      </c>
      <c r="B6" s="165" t="s">
        <v>115</v>
      </c>
      <c r="C6" s="51" t="s">
        <v>124</v>
      </c>
    </row>
    <row r="7" spans="1:3" ht="14.4" customHeight="1" x14ac:dyDescent="0.3">
      <c r="A7" s="248" t="str">
        <f t="shared" si="0"/>
        <v>Man Tab</v>
      </c>
      <c r="B7" s="165" t="s">
        <v>290</v>
      </c>
      <c r="C7" s="51" t="s">
        <v>125</v>
      </c>
    </row>
    <row r="8" spans="1:3" ht="14.4" customHeight="1" thickBot="1" x14ac:dyDescent="0.35">
      <c r="A8" s="249" t="str">
        <f t="shared" si="0"/>
        <v>HV</v>
      </c>
      <c r="B8" s="166" t="s">
        <v>48</v>
      </c>
      <c r="C8" s="51" t="s">
        <v>53</v>
      </c>
    </row>
    <row r="9" spans="1:3" ht="14.4" customHeight="1" thickBot="1" x14ac:dyDescent="0.35">
      <c r="A9" s="167"/>
      <c r="B9" s="167"/>
    </row>
    <row r="10" spans="1:3" ht="14.4" customHeight="1" thickBot="1" x14ac:dyDescent="0.35">
      <c r="A10" s="494" t="s">
        <v>120</v>
      </c>
      <c r="B10" s="493"/>
    </row>
    <row r="11" spans="1:3" ht="14.4" customHeight="1" x14ac:dyDescent="0.3">
      <c r="A11" s="250" t="str">
        <f t="shared" ref="A11" si="1">HYPERLINK("#'"&amp;C11&amp;"'!A1",C11)</f>
        <v>Léky Žádanky</v>
      </c>
      <c r="B11" s="164" t="s">
        <v>158</v>
      </c>
      <c r="C11" s="51" t="s">
        <v>126</v>
      </c>
    </row>
    <row r="12" spans="1:3" ht="14.4" customHeight="1" x14ac:dyDescent="0.3">
      <c r="A12" s="248" t="str">
        <f t="shared" ref="A12:A18" si="2">HYPERLINK("#'"&amp;C12&amp;"'!A1",C12)</f>
        <v>LŽ Detail</v>
      </c>
      <c r="B12" s="165" t="s">
        <v>180</v>
      </c>
      <c r="C12" s="51" t="s">
        <v>127</v>
      </c>
    </row>
    <row r="13" spans="1:3" ht="28.8" customHeight="1" x14ac:dyDescent="0.3">
      <c r="A13" s="248" t="str">
        <f t="shared" si="2"/>
        <v>LŽ PL</v>
      </c>
      <c r="B13" s="701" t="s">
        <v>181</v>
      </c>
      <c r="C13" s="51" t="s">
        <v>167</v>
      </c>
    </row>
    <row r="14" spans="1:3" ht="14.4" customHeight="1" x14ac:dyDescent="0.3">
      <c r="A14" s="248" t="str">
        <f t="shared" si="2"/>
        <v>LŽ PL Detail</v>
      </c>
      <c r="B14" s="165" t="s">
        <v>1623</v>
      </c>
      <c r="C14" s="51" t="s">
        <v>168</v>
      </c>
    </row>
    <row r="15" spans="1:3" ht="14.4" customHeight="1" x14ac:dyDescent="0.3">
      <c r="A15" s="248" t="str">
        <f t="shared" si="2"/>
        <v>LŽ Statim</v>
      </c>
      <c r="B15" s="416" t="s">
        <v>226</v>
      </c>
      <c r="C15" s="51" t="s">
        <v>236</v>
      </c>
    </row>
    <row r="16" spans="1:3" ht="14.4" customHeight="1" x14ac:dyDescent="0.3">
      <c r="A16" s="250" t="str">
        <f t="shared" ref="A16" si="3">HYPERLINK("#'"&amp;C16&amp;"'!A1",C16)</f>
        <v>Materiál Žádanky</v>
      </c>
      <c r="B16" s="165" t="s">
        <v>159</v>
      </c>
      <c r="C16" s="51" t="s">
        <v>128</v>
      </c>
    </row>
    <row r="17" spans="1:3" ht="14.4" customHeight="1" x14ac:dyDescent="0.3">
      <c r="A17" s="248" t="str">
        <f t="shared" si="2"/>
        <v>MŽ Detail</v>
      </c>
      <c r="B17" s="165" t="s">
        <v>2239</v>
      </c>
      <c r="C17" s="51" t="s">
        <v>129</v>
      </c>
    </row>
    <row r="18" spans="1:3" ht="14.4" customHeight="1" thickBot="1" x14ac:dyDescent="0.35">
      <c r="A18" s="250" t="str">
        <f t="shared" si="2"/>
        <v>Osobní náklady</v>
      </c>
      <c r="B18" s="165" t="s">
        <v>117</v>
      </c>
      <c r="C18" s="51" t="s">
        <v>130</v>
      </c>
    </row>
    <row r="19" spans="1:3" ht="14.4" customHeight="1" thickBot="1" x14ac:dyDescent="0.35">
      <c r="A19" s="168"/>
      <c r="B19" s="168"/>
    </row>
    <row r="20" spans="1:3" ht="14.4" customHeight="1" thickBot="1" x14ac:dyDescent="0.35">
      <c r="A20" s="495" t="s">
        <v>121</v>
      </c>
      <c r="B20" s="493"/>
    </row>
    <row r="21" spans="1:3" ht="14.4" customHeight="1" x14ac:dyDescent="0.3">
      <c r="A21" s="248" t="str">
        <f t="shared" ref="A21:A28" si="4">HYPERLINK("#'"&amp;C21&amp;"'!A1",C21)</f>
        <v>ZV Vykáz.-H</v>
      </c>
      <c r="B21" s="165" t="s">
        <v>140</v>
      </c>
      <c r="C21" s="51" t="s">
        <v>138</v>
      </c>
    </row>
    <row r="22" spans="1:3" ht="14.4" customHeight="1" x14ac:dyDescent="0.3">
      <c r="A22" s="248" t="str">
        <f t="shared" si="4"/>
        <v>ZV Vykáz.-H Detail</v>
      </c>
      <c r="B22" s="165" t="s">
        <v>3142</v>
      </c>
      <c r="C22" s="51" t="s">
        <v>139</v>
      </c>
    </row>
    <row r="23" spans="1:3" ht="14.4" customHeight="1" x14ac:dyDescent="0.3">
      <c r="A23" s="251" t="str">
        <f t="shared" si="4"/>
        <v>CaseMix</v>
      </c>
      <c r="B23" s="165" t="s">
        <v>122</v>
      </c>
      <c r="C23" s="51" t="s">
        <v>131</v>
      </c>
    </row>
    <row r="24" spans="1:3" ht="14.4" customHeight="1" x14ac:dyDescent="0.3">
      <c r="A24" s="248" t="str">
        <f t="shared" si="4"/>
        <v>ALOS</v>
      </c>
      <c r="B24" s="165" t="s">
        <v>102</v>
      </c>
      <c r="C24" s="51" t="s">
        <v>73</v>
      </c>
    </row>
    <row r="25" spans="1:3" ht="14.4" customHeight="1" x14ac:dyDescent="0.3">
      <c r="A25" s="248" t="str">
        <f t="shared" si="4"/>
        <v>Total</v>
      </c>
      <c r="B25" s="165" t="s">
        <v>3271</v>
      </c>
      <c r="C25" s="51" t="s">
        <v>132</v>
      </c>
    </row>
    <row r="26" spans="1:3" ht="14.4" customHeight="1" x14ac:dyDescent="0.3">
      <c r="A26" s="248" t="str">
        <f t="shared" si="4"/>
        <v>ZV Vyžád.</v>
      </c>
      <c r="B26" s="165" t="s">
        <v>141</v>
      </c>
      <c r="C26" s="51" t="s">
        <v>135</v>
      </c>
    </row>
    <row r="27" spans="1:3" ht="14.4" customHeight="1" x14ac:dyDescent="0.3">
      <c r="A27" s="248" t="str">
        <f t="shared" si="4"/>
        <v>ZV Vyžád. Detail</v>
      </c>
      <c r="B27" s="165" t="s">
        <v>3939</v>
      </c>
      <c r="C27" s="51" t="s">
        <v>134</v>
      </c>
    </row>
    <row r="28" spans="1:3" ht="14.4" customHeight="1" x14ac:dyDescent="0.3">
      <c r="A28" s="248" t="str">
        <f t="shared" si="4"/>
        <v>OD TISS</v>
      </c>
      <c r="B28" s="165" t="s">
        <v>162</v>
      </c>
      <c r="C28" s="51" t="s">
        <v>133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1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1" bestFit="1" customWidth="1"/>
    <col min="2" max="2" width="8.88671875" style="231" bestFit="1" customWidth="1"/>
    <col min="3" max="3" width="7" style="231" bestFit="1" customWidth="1"/>
    <col min="4" max="4" width="53.44140625" style="231" bestFit="1" customWidth="1"/>
    <col min="5" max="5" width="28.44140625" style="231" bestFit="1" customWidth="1"/>
    <col min="6" max="6" width="6.6640625" style="310" customWidth="1"/>
    <col min="7" max="7" width="10" style="310" customWidth="1"/>
    <col min="8" max="8" width="6.77734375" style="313" bestFit="1" customWidth="1"/>
    <col min="9" max="9" width="6.6640625" style="310" customWidth="1"/>
    <col min="10" max="10" width="10" style="310" customWidth="1"/>
    <col min="11" max="11" width="6.77734375" style="313" bestFit="1" customWidth="1"/>
    <col min="12" max="12" width="6.6640625" style="310" customWidth="1"/>
    <col min="13" max="13" width="10" style="310" customWidth="1"/>
    <col min="14" max="16384" width="8.88671875" style="231"/>
  </cols>
  <sheetData>
    <row r="1" spans="1:13" ht="18.600000000000001" customHeight="1" thickBot="1" x14ac:dyDescent="0.4">
      <c r="A1" s="535" t="s">
        <v>1623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496"/>
      <c r="M1" s="496"/>
    </row>
    <row r="2" spans="1:13" ht="14.4" customHeight="1" thickBot="1" x14ac:dyDescent="0.35">
      <c r="A2" s="351" t="s">
        <v>288</v>
      </c>
      <c r="B2" s="309"/>
      <c r="C2" s="309"/>
      <c r="D2" s="309"/>
      <c r="E2" s="309"/>
      <c r="F2" s="317"/>
      <c r="G2" s="317"/>
      <c r="H2" s="318"/>
      <c r="I2" s="317"/>
      <c r="J2" s="317"/>
      <c r="K2" s="318"/>
      <c r="L2" s="317"/>
    </row>
    <row r="3" spans="1:13" ht="14.4" customHeight="1" thickBot="1" x14ac:dyDescent="0.35">
      <c r="E3" s="95" t="s">
        <v>142</v>
      </c>
      <c r="F3" s="47">
        <f>SUBTOTAL(9,F6:F1048576)</f>
        <v>232.9</v>
      </c>
      <c r="G3" s="47">
        <f>SUBTOTAL(9,G6:G1048576)</f>
        <v>26863.261000000002</v>
      </c>
      <c r="H3" s="48">
        <f>IF(M3=0,0,G3/M3)</f>
        <v>1.5256076753631465E-2</v>
      </c>
      <c r="I3" s="47">
        <f>SUBTOTAL(9,I6:I1048576)</f>
        <v>4210.3999999999996</v>
      </c>
      <c r="J3" s="47">
        <f>SUBTOTAL(9,J6:J1048576)</f>
        <v>1733960.4051240995</v>
      </c>
      <c r="K3" s="48">
        <f>IF(M3=0,0,J3/M3)</f>
        <v>0.98474392324636872</v>
      </c>
      <c r="L3" s="47">
        <f>SUBTOTAL(9,L6:L1048576)</f>
        <v>4443.2999999999993</v>
      </c>
      <c r="M3" s="49">
        <f>SUBTOTAL(9,M6:M1048576)</f>
        <v>1760823.6661240992</v>
      </c>
    </row>
    <row r="4" spans="1:13" ht="14.4" customHeight="1" thickBot="1" x14ac:dyDescent="0.35">
      <c r="A4" s="45"/>
      <c r="B4" s="45"/>
      <c r="C4" s="45"/>
      <c r="D4" s="45"/>
      <c r="E4" s="46"/>
      <c r="F4" s="539" t="s">
        <v>144</v>
      </c>
      <c r="G4" s="540"/>
      <c r="H4" s="541"/>
      <c r="I4" s="542" t="s">
        <v>143</v>
      </c>
      <c r="J4" s="540"/>
      <c r="K4" s="541"/>
      <c r="L4" s="543" t="s">
        <v>3</v>
      </c>
      <c r="M4" s="544"/>
    </row>
    <row r="5" spans="1:13" ht="14.4" customHeight="1" thickBot="1" x14ac:dyDescent="0.35">
      <c r="A5" s="689" t="s">
        <v>145</v>
      </c>
      <c r="B5" s="709" t="s">
        <v>146</v>
      </c>
      <c r="C5" s="709" t="s">
        <v>77</v>
      </c>
      <c r="D5" s="709" t="s">
        <v>147</v>
      </c>
      <c r="E5" s="709" t="s">
        <v>148</v>
      </c>
      <c r="F5" s="710" t="s">
        <v>15</v>
      </c>
      <c r="G5" s="710" t="s">
        <v>14</v>
      </c>
      <c r="H5" s="691" t="s">
        <v>149</v>
      </c>
      <c r="I5" s="690" t="s">
        <v>15</v>
      </c>
      <c r="J5" s="710" t="s">
        <v>14</v>
      </c>
      <c r="K5" s="691" t="s">
        <v>149</v>
      </c>
      <c r="L5" s="690" t="s">
        <v>15</v>
      </c>
      <c r="M5" s="711" t="s">
        <v>14</v>
      </c>
    </row>
    <row r="6" spans="1:13" ht="14.4" customHeight="1" x14ac:dyDescent="0.3">
      <c r="A6" s="668" t="s">
        <v>497</v>
      </c>
      <c r="B6" s="669" t="s">
        <v>1312</v>
      </c>
      <c r="C6" s="669" t="s">
        <v>1313</v>
      </c>
      <c r="D6" s="669" t="s">
        <v>627</v>
      </c>
      <c r="E6" s="669" t="s">
        <v>1314</v>
      </c>
      <c r="F6" s="673"/>
      <c r="G6" s="673"/>
      <c r="H6" s="694">
        <v>0</v>
      </c>
      <c r="I6" s="673">
        <v>1600</v>
      </c>
      <c r="J6" s="673">
        <v>108165.46154329852</v>
      </c>
      <c r="K6" s="694">
        <v>1</v>
      </c>
      <c r="L6" s="673">
        <v>1600</v>
      </c>
      <c r="M6" s="674">
        <v>108165.46154329852</v>
      </c>
    </row>
    <row r="7" spans="1:13" ht="14.4" customHeight="1" x14ac:dyDescent="0.3">
      <c r="A7" s="675" t="s">
        <v>497</v>
      </c>
      <c r="B7" s="676" t="s">
        <v>1312</v>
      </c>
      <c r="C7" s="676" t="s">
        <v>1315</v>
      </c>
      <c r="D7" s="676" t="s">
        <v>1316</v>
      </c>
      <c r="E7" s="676" t="s">
        <v>1317</v>
      </c>
      <c r="F7" s="680"/>
      <c r="G7" s="680"/>
      <c r="H7" s="702">
        <v>0</v>
      </c>
      <c r="I7" s="680">
        <v>1</v>
      </c>
      <c r="J7" s="680">
        <v>77.15000000000002</v>
      </c>
      <c r="K7" s="702">
        <v>1</v>
      </c>
      <c r="L7" s="680">
        <v>1</v>
      </c>
      <c r="M7" s="681">
        <v>77.15000000000002</v>
      </c>
    </row>
    <row r="8" spans="1:13" ht="14.4" customHeight="1" x14ac:dyDescent="0.3">
      <c r="A8" s="675" t="s">
        <v>497</v>
      </c>
      <c r="B8" s="676" t="s">
        <v>1318</v>
      </c>
      <c r="C8" s="676" t="s">
        <v>1319</v>
      </c>
      <c r="D8" s="676" t="s">
        <v>1320</v>
      </c>
      <c r="E8" s="676" t="s">
        <v>1321</v>
      </c>
      <c r="F8" s="680"/>
      <c r="G8" s="680"/>
      <c r="H8" s="702">
        <v>0</v>
      </c>
      <c r="I8" s="680">
        <v>7</v>
      </c>
      <c r="J8" s="680">
        <v>1917.2997300287566</v>
      </c>
      <c r="K8" s="702">
        <v>1</v>
      </c>
      <c r="L8" s="680">
        <v>7</v>
      </c>
      <c r="M8" s="681">
        <v>1917.2997300287566</v>
      </c>
    </row>
    <row r="9" spans="1:13" ht="14.4" customHeight="1" x14ac:dyDescent="0.3">
      <c r="A9" s="675" t="s">
        <v>497</v>
      </c>
      <c r="B9" s="676" t="s">
        <v>1322</v>
      </c>
      <c r="C9" s="676" t="s">
        <v>1323</v>
      </c>
      <c r="D9" s="676" t="s">
        <v>821</v>
      </c>
      <c r="E9" s="676" t="s">
        <v>1324</v>
      </c>
      <c r="F9" s="680">
        <v>2</v>
      </c>
      <c r="G9" s="680">
        <v>232.71999999999994</v>
      </c>
      <c r="H9" s="702">
        <v>1</v>
      </c>
      <c r="I9" s="680"/>
      <c r="J9" s="680"/>
      <c r="K9" s="702">
        <v>0</v>
      </c>
      <c r="L9" s="680">
        <v>2</v>
      </c>
      <c r="M9" s="681">
        <v>232.71999999999994</v>
      </c>
    </row>
    <row r="10" spans="1:13" ht="14.4" customHeight="1" x14ac:dyDescent="0.3">
      <c r="A10" s="675" t="s">
        <v>497</v>
      </c>
      <c r="B10" s="676" t="s">
        <v>1322</v>
      </c>
      <c r="C10" s="676" t="s">
        <v>1325</v>
      </c>
      <c r="D10" s="676" t="s">
        <v>674</v>
      </c>
      <c r="E10" s="676" t="s">
        <v>1326</v>
      </c>
      <c r="F10" s="680"/>
      <c r="G10" s="680"/>
      <c r="H10" s="702">
        <v>0</v>
      </c>
      <c r="I10" s="680">
        <v>10</v>
      </c>
      <c r="J10" s="680">
        <v>1000.1700000000001</v>
      </c>
      <c r="K10" s="702">
        <v>1</v>
      </c>
      <c r="L10" s="680">
        <v>10</v>
      </c>
      <c r="M10" s="681">
        <v>1000.1700000000001</v>
      </c>
    </row>
    <row r="11" spans="1:13" ht="14.4" customHeight="1" x14ac:dyDescent="0.3">
      <c r="A11" s="675" t="s">
        <v>497</v>
      </c>
      <c r="B11" s="676" t="s">
        <v>1327</v>
      </c>
      <c r="C11" s="676" t="s">
        <v>1328</v>
      </c>
      <c r="D11" s="676" t="s">
        <v>1329</v>
      </c>
      <c r="E11" s="676" t="s">
        <v>1330</v>
      </c>
      <c r="F11" s="680"/>
      <c r="G11" s="680"/>
      <c r="H11" s="702">
        <v>0</v>
      </c>
      <c r="I11" s="680">
        <v>49</v>
      </c>
      <c r="J11" s="680">
        <v>20012.615943559769</v>
      </c>
      <c r="K11" s="702">
        <v>1</v>
      </c>
      <c r="L11" s="680">
        <v>49</v>
      </c>
      <c r="M11" s="681">
        <v>20012.615943559769</v>
      </c>
    </row>
    <row r="12" spans="1:13" ht="14.4" customHeight="1" x14ac:dyDescent="0.3">
      <c r="A12" s="675" t="s">
        <v>497</v>
      </c>
      <c r="B12" s="676" t="s">
        <v>1331</v>
      </c>
      <c r="C12" s="676" t="s">
        <v>1332</v>
      </c>
      <c r="D12" s="676" t="s">
        <v>974</v>
      </c>
      <c r="E12" s="676" t="s">
        <v>1333</v>
      </c>
      <c r="F12" s="680"/>
      <c r="G12" s="680"/>
      <c r="H12" s="702">
        <v>0</v>
      </c>
      <c r="I12" s="680">
        <v>1</v>
      </c>
      <c r="J12" s="680">
        <v>98.65</v>
      </c>
      <c r="K12" s="702">
        <v>1</v>
      </c>
      <c r="L12" s="680">
        <v>1</v>
      </c>
      <c r="M12" s="681">
        <v>98.65</v>
      </c>
    </row>
    <row r="13" spans="1:13" ht="14.4" customHeight="1" x14ac:dyDescent="0.3">
      <c r="A13" s="675" t="s">
        <v>497</v>
      </c>
      <c r="B13" s="676" t="s">
        <v>1334</v>
      </c>
      <c r="C13" s="676" t="s">
        <v>1335</v>
      </c>
      <c r="D13" s="676" t="s">
        <v>714</v>
      </c>
      <c r="E13" s="676" t="s">
        <v>1336</v>
      </c>
      <c r="F13" s="680"/>
      <c r="G13" s="680"/>
      <c r="H13" s="702">
        <v>0</v>
      </c>
      <c r="I13" s="680">
        <v>22</v>
      </c>
      <c r="J13" s="680">
        <v>72600</v>
      </c>
      <c r="K13" s="702">
        <v>1</v>
      </c>
      <c r="L13" s="680">
        <v>22</v>
      </c>
      <c r="M13" s="681">
        <v>72600</v>
      </c>
    </row>
    <row r="14" spans="1:13" ht="14.4" customHeight="1" x14ac:dyDescent="0.3">
      <c r="A14" s="675" t="s">
        <v>497</v>
      </c>
      <c r="B14" s="676" t="s">
        <v>1334</v>
      </c>
      <c r="C14" s="676" t="s">
        <v>1337</v>
      </c>
      <c r="D14" s="676" t="s">
        <v>716</v>
      </c>
      <c r="E14" s="676" t="s">
        <v>1338</v>
      </c>
      <c r="F14" s="680"/>
      <c r="G14" s="680"/>
      <c r="H14" s="702">
        <v>0</v>
      </c>
      <c r="I14" s="680">
        <v>2</v>
      </c>
      <c r="J14" s="680">
        <v>817.9</v>
      </c>
      <c r="K14" s="702">
        <v>1</v>
      </c>
      <c r="L14" s="680">
        <v>2</v>
      </c>
      <c r="M14" s="681">
        <v>817.9</v>
      </c>
    </row>
    <row r="15" spans="1:13" ht="14.4" customHeight="1" x14ac:dyDescent="0.3">
      <c r="A15" s="675" t="s">
        <v>497</v>
      </c>
      <c r="B15" s="676" t="s">
        <v>1339</v>
      </c>
      <c r="C15" s="676" t="s">
        <v>1340</v>
      </c>
      <c r="D15" s="676" t="s">
        <v>1341</v>
      </c>
      <c r="E15" s="676" t="s">
        <v>1342</v>
      </c>
      <c r="F15" s="680">
        <v>3</v>
      </c>
      <c r="G15" s="680">
        <v>225.44</v>
      </c>
      <c r="H15" s="702">
        <v>1</v>
      </c>
      <c r="I15" s="680"/>
      <c r="J15" s="680"/>
      <c r="K15" s="702">
        <v>0</v>
      </c>
      <c r="L15" s="680">
        <v>3</v>
      </c>
      <c r="M15" s="681">
        <v>225.44</v>
      </c>
    </row>
    <row r="16" spans="1:13" ht="14.4" customHeight="1" x14ac:dyDescent="0.3">
      <c r="A16" s="675" t="s">
        <v>497</v>
      </c>
      <c r="B16" s="676" t="s">
        <v>1343</v>
      </c>
      <c r="C16" s="676" t="s">
        <v>1344</v>
      </c>
      <c r="D16" s="676" t="s">
        <v>1345</v>
      </c>
      <c r="E16" s="676" t="s">
        <v>1346</v>
      </c>
      <c r="F16" s="680"/>
      <c r="G16" s="680"/>
      <c r="H16" s="702">
        <v>0</v>
      </c>
      <c r="I16" s="680">
        <v>2</v>
      </c>
      <c r="J16" s="680">
        <v>3041.54</v>
      </c>
      <c r="K16" s="702">
        <v>1</v>
      </c>
      <c r="L16" s="680">
        <v>2</v>
      </c>
      <c r="M16" s="681">
        <v>3041.54</v>
      </c>
    </row>
    <row r="17" spans="1:13" ht="14.4" customHeight="1" x14ac:dyDescent="0.3">
      <c r="A17" s="675" t="s">
        <v>497</v>
      </c>
      <c r="B17" s="676" t="s">
        <v>1347</v>
      </c>
      <c r="C17" s="676" t="s">
        <v>1348</v>
      </c>
      <c r="D17" s="676" t="s">
        <v>1349</v>
      </c>
      <c r="E17" s="676" t="s">
        <v>1350</v>
      </c>
      <c r="F17" s="680"/>
      <c r="G17" s="680"/>
      <c r="H17" s="702">
        <v>0</v>
      </c>
      <c r="I17" s="680">
        <v>9</v>
      </c>
      <c r="J17" s="680">
        <v>289500.85004761524</v>
      </c>
      <c r="K17" s="702">
        <v>1</v>
      </c>
      <c r="L17" s="680">
        <v>9</v>
      </c>
      <c r="M17" s="681">
        <v>289500.85004761524</v>
      </c>
    </row>
    <row r="18" spans="1:13" ht="14.4" customHeight="1" x14ac:dyDescent="0.3">
      <c r="A18" s="675" t="s">
        <v>497</v>
      </c>
      <c r="B18" s="676" t="s">
        <v>1351</v>
      </c>
      <c r="C18" s="676" t="s">
        <v>1352</v>
      </c>
      <c r="D18" s="676" t="s">
        <v>629</v>
      </c>
      <c r="E18" s="676" t="s">
        <v>1353</v>
      </c>
      <c r="F18" s="680"/>
      <c r="G18" s="680"/>
      <c r="H18" s="702">
        <v>0</v>
      </c>
      <c r="I18" s="680">
        <v>106</v>
      </c>
      <c r="J18" s="680">
        <v>13686.980000000001</v>
      </c>
      <c r="K18" s="702">
        <v>1</v>
      </c>
      <c r="L18" s="680">
        <v>106</v>
      </c>
      <c r="M18" s="681">
        <v>13686.980000000001</v>
      </c>
    </row>
    <row r="19" spans="1:13" ht="14.4" customHeight="1" x14ac:dyDescent="0.3">
      <c r="A19" s="675" t="s">
        <v>497</v>
      </c>
      <c r="B19" s="676" t="s">
        <v>1351</v>
      </c>
      <c r="C19" s="676" t="s">
        <v>1354</v>
      </c>
      <c r="D19" s="676" t="s">
        <v>629</v>
      </c>
      <c r="E19" s="676" t="s">
        <v>1355</v>
      </c>
      <c r="F19" s="680"/>
      <c r="G19" s="680"/>
      <c r="H19" s="702">
        <v>0</v>
      </c>
      <c r="I19" s="680">
        <v>1</v>
      </c>
      <c r="J19" s="680">
        <v>45.189999999999991</v>
      </c>
      <c r="K19" s="702">
        <v>1</v>
      </c>
      <c r="L19" s="680">
        <v>1</v>
      </c>
      <c r="M19" s="681">
        <v>45.189999999999991</v>
      </c>
    </row>
    <row r="20" spans="1:13" ht="14.4" customHeight="1" x14ac:dyDescent="0.3">
      <c r="A20" s="675" t="s">
        <v>497</v>
      </c>
      <c r="B20" s="676" t="s">
        <v>1351</v>
      </c>
      <c r="C20" s="676" t="s">
        <v>1356</v>
      </c>
      <c r="D20" s="676" t="s">
        <v>629</v>
      </c>
      <c r="E20" s="676" t="s">
        <v>1357</v>
      </c>
      <c r="F20" s="680"/>
      <c r="G20" s="680"/>
      <c r="H20" s="702">
        <v>0</v>
      </c>
      <c r="I20" s="680">
        <v>1</v>
      </c>
      <c r="J20" s="680">
        <v>89.76</v>
      </c>
      <c r="K20" s="702">
        <v>1</v>
      </c>
      <c r="L20" s="680">
        <v>1</v>
      </c>
      <c r="M20" s="681">
        <v>89.76</v>
      </c>
    </row>
    <row r="21" spans="1:13" ht="14.4" customHeight="1" x14ac:dyDescent="0.3">
      <c r="A21" s="675" t="s">
        <v>497</v>
      </c>
      <c r="B21" s="676" t="s">
        <v>1358</v>
      </c>
      <c r="C21" s="676" t="s">
        <v>1359</v>
      </c>
      <c r="D21" s="676" t="s">
        <v>1360</v>
      </c>
      <c r="E21" s="676" t="s">
        <v>1361</v>
      </c>
      <c r="F21" s="680"/>
      <c r="G21" s="680"/>
      <c r="H21" s="702">
        <v>0</v>
      </c>
      <c r="I21" s="680">
        <v>1</v>
      </c>
      <c r="J21" s="680">
        <v>42.58</v>
      </c>
      <c r="K21" s="702">
        <v>1</v>
      </c>
      <c r="L21" s="680">
        <v>1</v>
      </c>
      <c r="M21" s="681">
        <v>42.58</v>
      </c>
    </row>
    <row r="22" spans="1:13" ht="14.4" customHeight="1" x14ac:dyDescent="0.3">
      <c r="A22" s="675" t="s">
        <v>497</v>
      </c>
      <c r="B22" s="676" t="s">
        <v>1362</v>
      </c>
      <c r="C22" s="676" t="s">
        <v>1363</v>
      </c>
      <c r="D22" s="676" t="s">
        <v>956</v>
      </c>
      <c r="E22" s="676" t="s">
        <v>1364</v>
      </c>
      <c r="F22" s="680"/>
      <c r="G22" s="680"/>
      <c r="H22" s="702">
        <v>0</v>
      </c>
      <c r="I22" s="680">
        <v>4</v>
      </c>
      <c r="J22" s="680">
        <v>146.23000000000002</v>
      </c>
      <c r="K22" s="702">
        <v>1</v>
      </c>
      <c r="L22" s="680">
        <v>4</v>
      </c>
      <c r="M22" s="681">
        <v>146.23000000000002</v>
      </c>
    </row>
    <row r="23" spans="1:13" ht="14.4" customHeight="1" x14ac:dyDescent="0.3">
      <c r="A23" s="675" t="s">
        <v>497</v>
      </c>
      <c r="B23" s="676" t="s">
        <v>1365</v>
      </c>
      <c r="C23" s="676" t="s">
        <v>1366</v>
      </c>
      <c r="D23" s="676" t="s">
        <v>600</v>
      </c>
      <c r="E23" s="676" t="s">
        <v>1367</v>
      </c>
      <c r="F23" s="680"/>
      <c r="G23" s="680"/>
      <c r="H23" s="702">
        <v>0</v>
      </c>
      <c r="I23" s="680">
        <v>1</v>
      </c>
      <c r="J23" s="680">
        <v>24.93000000000001</v>
      </c>
      <c r="K23" s="702">
        <v>1</v>
      </c>
      <c r="L23" s="680">
        <v>1</v>
      </c>
      <c r="M23" s="681">
        <v>24.93000000000001</v>
      </c>
    </row>
    <row r="24" spans="1:13" ht="14.4" customHeight="1" x14ac:dyDescent="0.3">
      <c r="A24" s="675" t="s">
        <v>497</v>
      </c>
      <c r="B24" s="676" t="s">
        <v>1368</v>
      </c>
      <c r="C24" s="676" t="s">
        <v>1369</v>
      </c>
      <c r="D24" s="676" t="s">
        <v>928</v>
      </c>
      <c r="E24" s="676" t="s">
        <v>1364</v>
      </c>
      <c r="F24" s="680"/>
      <c r="G24" s="680"/>
      <c r="H24" s="702">
        <v>0</v>
      </c>
      <c r="I24" s="680">
        <v>6</v>
      </c>
      <c r="J24" s="680">
        <v>518.90000000000009</v>
      </c>
      <c r="K24" s="702">
        <v>1</v>
      </c>
      <c r="L24" s="680">
        <v>6</v>
      </c>
      <c r="M24" s="681">
        <v>518.90000000000009</v>
      </c>
    </row>
    <row r="25" spans="1:13" ht="14.4" customHeight="1" x14ac:dyDescent="0.3">
      <c r="A25" s="675" t="s">
        <v>497</v>
      </c>
      <c r="B25" s="676" t="s">
        <v>1368</v>
      </c>
      <c r="C25" s="676" t="s">
        <v>1370</v>
      </c>
      <c r="D25" s="676" t="s">
        <v>928</v>
      </c>
      <c r="E25" s="676" t="s">
        <v>1371</v>
      </c>
      <c r="F25" s="680"/>
      <c r="G25" s="680"/>
      <c r="H25" s="702">
        <v>0</v>
      </c>
      <c r="I25" s="680">
        <v>2</v>
      </c>
      <c r="J25" s="680">
        <v>444.86000000000007</v>
      </c>
      <c r="K25" s="702">
        <v>1</v>
      </c>
      <c r="L25" s="680">
        <v>2</v>
      </c>
      <c r="M25" s="681">
        <v>444.86000000000007</v>
      </c>
    </row>
    <row r="26" spans="1:13" ht="14.4" customHeight="1" x14ac:dyDescent="0.3">
      <c r="A26" s="675" t="s">
        <v>497</v>
      </c>
      <c r="B26" s="676" t="s">
        <v>1368</v>
      </c>
      <c r="C26" s="676" t="s">
        <v>1372</v>
      </c>
      <c r="D26" s="676" t="s">
        <v>933</v>
      </c>
      <c r="E26" s="676" t="s">
        <v>1373</v>
      </c>
      <c r="F26" s="680"/>
      <c r="G26" s="680"/>
      <c r="H26" s="702">
        <v>0</v>
      </c>
      <c r="I26" s="680">
        <v>1</v>
      </c>
      <c r="J26" s="680">
        <v>162.79</v>
      </c>
      <c r="K26" s="702">
        <v>1</v>
      </c>
      <c r="L26" s="680">
        <v>1</v>
      </c>
      <c r="M26" s="681">
        <v>162.79</v>
      </c>
    </row>
    <row r="27" spans="1:13" ht="14.4" customHeight="1" x14ac:dyDescent="0.3">
      <c r="A27" s="675" t="s">
        <v>497</v>
      </c>
      <c r="B27" s="676" t="s">
        <v>1368</v>
      </c>
      <c r="C27" s="676" t="s">
        <v>1374</v>
      </c>
      <c r="D27" s="676" t="s">
        <v>933</v>
      </c>
      <c r="E27" s="676" t="s">
        <v>1375</v>
      </c>
      <c r="F27" s="680"/>
      <c r="G27" s="680"/>
      <c r="H27" s="702">
        <v>0</v>
      </c>
      <c r="I27" s="680">
        <v>1</v>
      </c>
      <c r="J27" s="680">
        <v>368.25</v>
      </c>
      <c r="K27" s="702">
        <v>1</v>
      </c>
      <c r="L27" s="680">
        <v>1</v>
      </c>
      <c r="M27" s="681">
        <v>368.25</v>
      </c>
    </row>
    <row r="28" spans="1:13" ht="14.4" customHeight="1" x14ac:dyDescent="0.3">
      <c r="A28" s="675" t="s">
        <v>497</v>
      </c>
      <c r="B28" s="676" t="s">
        <v>1376</v>
      </c>
      <c r="C28" s="676" t="s">
        <v>1377</v>
      </c>
      <c r="D28" s="676" t="s">
        <v>945</v>
      </c>
      <c r="E28" s="676" t="s">
        <v>1378</v>
      </c>
      <c r="F28" s="680">
        <v>3</v>
      </c>
      <c r="G28" s="680">
        <v>325.64999999999986</v>
      </c>
      <c r="H28" s="702">
        <v>1</v>
      </c>
      <c r="I28" s="680"/>
      <c r="J28" s="680"/>
      <c r="K28" s="702">
        <v>0</v>
      </c>
      <c r="L28" s="680">
        <v>3</v>
      </c>
      <c r="M28" s="681">
        <v>325.64999999999986</v>
      </c>
    </row>
    <row r="29" spans="1:13" ht="14.4" customHeight="1" x14ac:dyDescent="0.3">
      <c r="A29" s="675" t="s">
        <v>497</v>
      </c>
      <c r="B29" s="676" t="s">
        <v>1379</v>
      </c>
      <c r="C29" s="676" t="s">
        <v>1380</v>
      </c>
      <c r="D29" s="676" t="s">
        <v>1381</v>
      </c>
      <c r="E29" s="676" t="s">
        <v>1382</v>
      </c>
      <c r="F29" s="680"/>
      <c r="G29" s="680"/>
      <c r="H29" s="702">
        <v>0</v>
      </c>
      <c r="I29" s="680">
        <v>3</v>
      </c>
      <c r="J29" s="680">
        <v>350.5212913977382</v>
      </c>
      <c r="K29" s="702">
        <v>1</v>
      </c>
      <c r="L29" s="680">
        <v>3</v>
      </c>
      <c r="M29" s="681">
        <v>350.5212913977382</v>
      </c>
    </row>
    <row r="30" spans="1:13" ht="14.4" customHeight="1" x14ac:dyDescent="0.3">
      <c r="A30" s="675" t="s">
        <v>497</v>
      </c>
      <c r="B30" s="676" t="s">
        <v>1379</v>
      </c>
      <c r="C30" s="676" t="s">
        <v>1383</v>
      </c>
      <c r="D30" s="676" t="s">
        <v>1384</v>
      </c>
      <c r="E30" s="676" t="s">
        <v>1385</v>
      </c>
      <c r="F30" s="680"/>
      <c r="G30" s="680"/>
      <c r="H30" s="702">
        <v>0</v>
      </c>
      <c r="I30" s="680">
        <v>1</v>
      </c>
      <c r="J30" s="680">
        <v>131.74023096151893</v>
      </c>
      <c r="K30" s="702">
        <v>1</v>
      </c>
      <c r="L30" s="680">
        <v>1</v>
      </c>
      <c r="M30" s="681">
        <v>131.74023096151893</v>
      </c>
    </row>
    <row r="31" spans="1:13" ht="14.4" customHeight="1" x14ac:dyDescent="0.3">
      <c r="A31" s="675" t="s">
        <v>497</v>
      </c>
      <c r="B31" s="676" t="s">
        <v>1386</v>
      </c>
      <c r="C31" s="676" t="s">
        <v>1387</v>
      </c>
      <c r="D31" s="676" t="s">
        <v>1388</v>
      </c>
      <c r="E31" s="676" t="s">
        <v>1389</v>
      </c>
      <c r="F31" s="680"/>
      <c r="G31" s="680"/>
      <c r="H31" s="702">
        <v>0</v>
      </c>
      <c r="I31" s="680">
        <v>1</v>
      </c>
      <c r="J31" s="680">
        <v>185.26</v>
      </c>
      <c r="K31" s="702">
        <v>1</v>
      </c>
      <c r="L31" s="680">
        <v>1</v>
      </c>
      <c r="M31" s="681">
        <v>185.26</v>
      </c>
    </row>
    <row r="32" spans="1:13" ht="14.4" customHeight="1" x14ac:dyDescent="0.3">
      <c r="A32" s="675" t="s">
        <v>497</v>
      </c>
      <c r="B32" s="676" t="s">
        <v>1390</v>
      </c>
      <c r="C32" s="676" t="s">
        <v>1391</v>
      </c>
      <c r="D32" s="676" t="s">
        <v>1392</v>
      </c>
      <c r="E32" s="676" t="s">
        <v>1393</v>
      </c>
      <c r="F32" s="680">
        <v>1</v>
      </c>
      <c r="G32" s="680">
        <v>65.38</v>
      </c>
      <c r="H32" s="702">
        <v>1</v>
      </c>
      <c r="I32" s="680"/>
      <c r="J32" s="680"/>
      <c r="K32" s="702">
        <v>0</v>
      </c>
      <c r="L32" s="680">
        <v>1</v>
      </c>
      <c r="M32" s="681">
        <v>65.38</v>
      </c>
    </row>
    <row r="33" spans="1:13" ht="14.4" customHeight="1" x14ac:dyDescent="0.3">
      <c r="A33" s="675" t="s">
        <v>497</v>
      </c>
      <c r="B33" s="676" t="s">
        <v>1394</v>
      </c>
      <c r="C33" s="676" t="s">
        <v>1395</v>
      </c>
      <c r="D33" s="676" t="s">
        <v>1396</v>
      </c>
      <c r="E33" s="676" t="s">
        <v>1375</v>
      </c>
      <c r="F33" s="680"/>
      <c r="G33" s="680"/>
      <c r="H33" s="702">
        <v>0</v>
      </c>
      <c r="I33" s="680">
        <v>1</v>
      </c>
      <c r="J33" s="680">
        <v>76.789999999999992</v>
      </c>
      <c r="K33" s="702">
        <v>1</v>
      </c>
      <c r="L33" s="680">
        <v>1</v>
      </c>
      <c r="M33" s="681">
        <v>76.789999999999992</v>
      </c>
    </row>
    <row r="34" spans="1:13" ht="14.4" customHeight="1" x14ac:dyDescent="0.3">
      <c r="A34" s="675" t="s">
        <v>497</v>
      </c>
      <c r="B34" s="676" t="s">
        <v>1397</v>
      </c>
      <c r="C34" s="676" t="s">
        <v>1398</v>
      </c>
      <c r="D34" s="676" t="s">
        <v>1399</v>
      </c>
      <c r="E34" s="676" t="s">
        <v>1400</v>
      </c>
      <c r="F34" s="680"/>
      <c r="G34" s="680"/>
      <c r="H34" s="702">
        <v>0</v>
      </c>
      <c r="I34" s="680">
        <v>2</v>
      </c>
      <c r="J34" s="680">
        <v>214.17999999999995</v>
      </c>
      <c r="K34" s="702">
        <v>1</v>
      </c>
      <c r="L34" s="680">
        <v>2</v>
      </c>
      <c r="M34" s="681">
        <v>214.17999999999995</v>
      </c>
    </row>
    <row r="35" spans="1:13" ht="14.4" customHeight="1" x14ac:dyDescent="0.3">
      <c r="A35" s="675" t="s">
        <v>497</v>
      </c>
      <c r="B35" s="676" t="s">
        <v>1401</v>
      </c>
      <c r="C35" s="676" t="s">
        <v>1402</v>
      </c>
      <c r="D35" s="676" t="s">
        <v>1403</v>
      </c>
      <c r="E35" s="676" t="s">
        <v>1404</v>
      </c>
      <c r="F35" s="680"/>
      <c r="G35" s="680"/>
      <c r="H35" s="702">
        <v>0</v>
      </c>
      <c r="I35" s="680">
        <v>84</v>
      </c>
      <c r="J35" s="680">
        <v>115500</v>
      </c>
      <c r="K35" s="702">
        <v>1</v>
      </c>
      <c r="L35" s="680">
        <v>84</v>
      </c>
      <c r="M35" s="681">
        <v>115500</v>
      </c>
    </row>
    <row r="36" spans="1:13" ht="14.4" customHeight="1" x14ac:dyDescent="0.3">
      <c r="A36" s="675" t="s">
        <v>497</v>
      </c>
      <c r="B36" s="676" t="s">
        <v>1405</v>
      </c>
      <c r="C36" s="676" t="s">
        <v>1406</v>
      </c>
      <c r="D36" s="676" t="s">
        <v>979</v>
      </c>
      <c r="E36" s="676" t="s">
        <v>1407</v>
      </c>
      <c r="F36" s="680"/>
      <c r="G36" s="680"/>
      <c r="H36" s="702">
        <v>0</v>
      </c>
      <c r="I36" s="680">
        <v>3</v>
      </c>
      <c r="J36" s="680">
        <v>430.41</v>
      </c>
      <c r="K36" s="702">
        <v>1</v>
      </c>
      <c r="L36" s="680">
        <v>3</v>
      </c>
      <c r="M36" s="681">
        <v>430.41</v>
      </c>
    </row>
    <row r="37" spans="1:13" ht="14.4" customHeight="1" x14ac:dyDescent="0.3">
      <c r="A37" s="675" t="s">
        <v>497</v>
      </c>
      <c r="B37" s="676" t="s">
        <v>1405</v>
      </c>
      <c r="C37" s="676" t="s">
        <v>1408</v>
      </c>
      <c r="D37" s="676" t="s">
        <v>979</v>
      </c>
      <c r="E37" s="676" t="s">
        <v>1409</v>
      </c>
      <c r="F37" s="680"/>
      <c r="G37" s="680"/>
      <c r="H37" s="702">
        <v>0</v>
      </c>
      <c r="I37" s="680">
        <v>6</v>
      </c>
      <c r="J37" s="680">
        <v>208.49597350811172</v>
      </c>
      <c r="K37" s="702">
        <v>1</v>
      </c>
      <c r="L37" s="680">
        <v>6</v>
      </c>
      <c r="M37" s="681">
        <v>208.49597350811172</v>
      </c>
    </row>
    <row r="38" spans="1:13" ht="14.4" customHeight="1" x14ac:dyDescent="0.3">
      <c r="A38" s="675" t="s">
        <v>497</v>
      </c>
      <c r="B38" s="676" t="s">
        <v>1410</v>
      </c>
      <c r="C38" s="676" t="s">
        <v>1411</v>
      </c>
      <c r="D38" s="676" t="s">
        <v>1412</v>
      </c>
      <c r="E38" s="676" t="s">
        <v>1413</v>
      </c>
      <c r="F38" s="680"/>
      <c r="G38" s="680"/>
      <c r="H38" s="702">
        <v>0</v>
      </c>
      <c r="I38" s="680">
        <v>1</v>
      </c>
      <c r="J38" s="680">
        <v>128.92000000000002</v>
      </c>
      <c r="K38" s="702">
        <v>1</v>
      </c>
      <c r="L38" s="680">
        <v>1</v>
      </c>
      <c r="M38" s="681">
        <v>128.92000000000002</v>
      </c>
    </row>
    <row r="39" spans="1:13" ht="14.4" customHeight="1" x14ac:dyDescent="0.3">
      <c r="A39" s="675" t="s">
        <v>497</v>
      </c>
      <c r="B39" s="676" t="s">
        <v>1410</v>
      </c>
      <c r="C39" s="676" t="s">
        <v>1414</v>
      </c>
      <c r="D39" s="676" t="s">
        <v>825</v>
      </c>
      <c r="E39" s="676" t="s">
        <v>1415</v>
      </c>
      <c r="F39" s="680"/>
      <c r="G39" s="680"/>
      <c r="H39" s="702">
        <v>0</v>
      </c>
      <c r="I39" s="680">
        <v>1</v>
      </c>
      <c r="J39" s="680">
        <v>98.799999999999926</v>
      </c>
      <c r="K39" s="702">
        <v>1</v>
      </c>
      <c r="L39" s="680">
        <v>1</v>
      </c>
      <c r="M39" s="681">
        <v>98.799999999999926</v>
      </c>
    </row>
    <row r="40" spans="1:13" ht="14.4" customHeight="1" x14ac:dyDescent="0.3">
      <c r="A40" s="675" t="s">
        <v>497</v>
      </c>
      <c r="B40" s="676" t="s">
        <v>1410</v>
      </c>
      <c r="C40" s="676" t="s">
        <v>1416</v>
      </c>
      <c r="D40" s="676" t="s">
        <v>827</v>
      </c>
      <c r="E40" s="676" t="s">
        <v>1417</v>
      </c>
      <c r="F40" s="680"/>
      <c r="G40" s="680"/>
      <c r="H40" s="702">
        <v>0</v>
      </c>
      <c r="I40" s="680">
        <v>1</v>
      </c>
      <c r="J40" s="680">
        <v>49.720000000000027</v>
      </c>
      <c r="K40" s="702">
        <v>1</v>
      </c>
      <c r="L40" s="680">
        <v>1</v>
      </c>
      <c r="M40" s="681">
        <v>49.720000000000027</v>
      </c>
    </row>
    <row r="41" spans="1:13" ht="14.4" customHeight="1" x14ac:dyDescent="0.3">
      <c r="A41" s="675" t="s">
        <v>497</v>
      </c>
      <c r="B41" s="676" t="s">
        <v>1410</v>
      </c>
      <c r="C41" s="676" t="s">
        <v>1418</v>
      </c>
      <c r="D41" s="676" t="s">
        <v>823</v>
      </c>
      <c r="E41" s="676" t="s">
        <v>1419</v>
      </c>
      <c r="F41" s="680"/>
      <c r="G41" s="680"/>
      <c r="H41" s="702">
        <v>0</v>
      </c>
      <c r="I41" s="680">
        <v>6</v>
      </c>
      <c r="J41" s="680">
        <v>378.65999999999997</v>
      </c>
      <c r="K41" s="702">
        <v>1</v>
      </c>
      <c r="L41" s="680">
        <v>6</v>
      </c>
      <c r="M41" s="681">
        <v>378.65999999999997</v>
      </c>
    </row>
    <row r="42" spans="1:13" ht="14.4" customHeight="1" x14ac:dyDescent="0.3">
      <c r="A42" s="675" t="s">
        <v>497</v>
      </c>
      <c r="B42" s="676" t="s">
        <v>1420</v>
      </c>
      <c r="C42" s="676" t="s">
        <v>1421</v>
      </c>
      <c r="D42" s="676" t="s">
        <v>1422</v>
      </c>
      <c r="E42" s="676" t="s">
        <v>1423</v>
      </c>
      <c r="F42" s="680"/>
      <c r="G42" s="680"/>
      <c r="H42" s="702">
        <v>0</v>
      </c>
      <c r="I42" s="680">
        <v>59</v>
      </c>
      <c r="J42" s="680">
        <v>730462.99462560331</v>
      </c>
      <c r="K42" s="702">
        <v>1</v>
      </c>
      <c r="L42" s="680">
        <v>59</v>
      </c>
      <c r="M42" s="681">
        <v>730462.99462560331</v>
      </c>
    </row>
    <row r="43" spans="1:13" ht="14.4" customHeight="1" x14ac:dyDescent="0.3">
      <c r="A43" s="675" t="s">
        <v>497</v>
      </c>
      <c r="B43" s="676" t="s">
        <v>1424</v>
      </c>
      <c r="C43" s="676" t="s">
        <v>1425</v>
      </c>
      <c r="D43" s="676" t="s">
        <v>1426</v>
      </c>
      <c r="E43" s="676" t="s">
        <v>1427</v>
      </c>
      <c r="F43" s="680"/>
      <c r="G43" s="680"/>
      <c r="H43" s="702">
        <v>0</v>
      </c>
      <c r="I43" s="680">
        <v>96.399999999999991</v>
      </c>
      <c r="J43" s="680">
        <v>44419.32</v>
      </c>
      <c r="K43" s="702">
        <v>1</v>
      </c>
      <c r="L43" s="680">
        <v>96.399999999999991</v>
      </c>
      <c r="M43" s="681">
        <v>44419.32</v>
      </c>
    </row>
    <row r="44" spans="1:13" ht="14.4" customHeight="1" x14ac:dyDescent="0.3">
      <c r="A44" s="675" t="s">
        <v>497</v>
      </c>
      <c r="B44" s="676" t="s">
        <v>1428</v>
      </c>
      <c r="C44" s="676" t="s">
        <v>1429</v>
      </c>
      <c r="D44" s="676" t="s">
        <v>1430</v>
      </c>
      <c r="E44" s="676" t="s">
        <v>1431</v>
      </c>
      <c r="F44" s="680">
        <v>1</v>
      </c>
      <c r="G44" s="680">
        <v>126.95</v>
      </c>
      <c r="H44" s="702">
        <v>1</v>
      </c>
      <c r="I44" s="680"/>
      <c r="J44" s="680"/>
      <c r="K44" s="702">
        <v>0</v>
      </c>
      <c r="L44" s="680">
        <v>1</v>
      </c>
      <c r="M44" s="681">
        <v>126.95</v>
      </c>
    </row>
    <row r="45" spans="1:13" ht="14.4" customHeight="1" x14ac:dyDescent="0.3">
      <c r="A45" s="675" t="s">
        <v>497</v>
      </c>
      <c r="B45" s="676" t="s">
        <v>1432</v>
      </c>
      <c r="C45" s="676" t="s">
        <v>1433</v>
      </c>
      <c r="D45" s="676" t="s">
        <v>1434</v>
      </c>
      <c r="E45" s="676" t="s">
        <v>1435</v>
      </c>
      <c r="F45" s="680">
        <v>104</v>
      </c>
      <c r="G45" s="680">
        <v>2767.44</v>
      </c>
      <c r="H45" s="702">
        <v>1</v>
      </c>
      <c r="I45" s="680"/>
      <c r="J45" s="680"/>
      <c r="K45" s="702">
        <v>0</v>
      </c>
      <c r="L45" s="680">
        <v>104</v>
      </c>
      <c r="M45" s="681">
        <v>2767.44</v>
      </c>
    </row>
    <row r="46" spans="1:13" ht="14.4" customHeight="1" x14ac:dyDescent="0.3">
      <c r="A46" s="675" t="s">
        <v>497</v>
      </c>
      <c r="B46" s="676" t="s">
        <v>1432</v>
      </c>
      <c r="C46" s="676" t="s">
        <v>1436</v>
      </c>
      <c r="D46" s="676" t="s">
        <v>1437</v>
      </c>
      <c r="E46" s="676" t="s">
        <v>1438</v>
      </c>
      <c r="F46" s="680">
        <v>5.7</v>
      </c>
      <c r="G46" s="680">
        <v>1801.3710000000003</v>
      </c>
      <c r="H46" s="702">
        <v>1</v>
      </c>
      <c r="I46" s="680"/>
      <c r="J46" s="680"/>
      <c r="K46" s="702">
        <v>0</v>
      </c>
      <c r="L46" s="680">
        <v>5.7</v>
      </c>
      <c r="M46" s="681">
        <v>1801.3710000000003</v>
      </c>
    </row>
    <row r="47" spans="1:13" ht="14.4" customHeight="1" x14ac:dyDescent="0.3">
      <c r="A47" s="675" t="s">
        <v>497</v>
      </c>
      <c r="B47" s="676" t="s">
        <v>1439</v>
      </c>
      <c r="C47" s="676" t="s">
        <v>1440</v>
      </c>
      <c r="D47" s="676" t="s">
        <v>1441</v>
      </c>
      <c r="E47" s="676" t="s">
        <v>1442</v>
      </c>
      <c r="F47" s="680"/>
      <c r="G47" s="680"/>
      <c r="H47" s="702">
        <v>0</v>
      </c>
      <c r="I47" s="680">
        <v>82.4</v>
      </c>
      <c r="J47" s="680">
        <v>77263.09199999999</v>
      </c>
      <c r="K47" s="702">
        <v>1</v>
      </c>
      <c r="L47" s="680">
        <v>82.4</v>
      </c>
      <c r="M47" s="681">
        <v>77263.09199999999</v>
      </c>
    </row>
    <row r="48" spans="1:13" ht="14.4" customHeight="1" x14ac:dyDescent="0.3">
      <c r="A48" s="675" t="s">
        <v>497</v>
      </c>
      <c r="B48" s="676" t="s">
        <v>1443</v>
      </c>
      <c r="C48" s="676" t="s">
        <v>1444</v>
      </c>
      <c r="D48" s="676" t="s">
        <v>583</v>
      </c>
      <c r="E48" s="676" t="s">
        <v>1445</v>
      </c>
      <c r="F48" s="680"/>
      <c r="G48" s="680"/>
      <c r="H48" s="702">
        <v>0</v>
      </c>
      <c r="I48" s="680">
        <v>18</v>
      </c>
      <c r="J48" s="680">
        <v>4177.5599999999995</v>
      </c>
      <c r="K48" s="702">
        <v>1</v>
      </c>
      <c r="L48" s="680">
        <v>18</v>
      </c>
      <c r="M48" s="681">
        <v>4177.5599999999995</v>
      </c>
    </row>
    <row r="49" spans="1:13" ht="14.4" customHeight="1" x14ac:dyDescent="0.3">
      <c r="A49" s="675" t="s">
        <v>497</v>
      </c>
      <c r="B49" s="676" t="s">
        <v>1446</v>
      </c>
      <c r="C49" s="676" t="s">
        <v>1447</v>
      </c>
      <c r="D49" s="676" t="s">
        <v>1448</v>
      </c>
      <c r="E49" s="676" t="s">
        <v>1449</v>
      </c>
      <c r="F49" s="680"/>
      <c r="G49" s="680"/>
      <c r="H49" s="702">
        <v>0</v>
      </c>
      <c r="I49" s="680">
        <v>1</v>
      </c>
      <c r="J49" s="680">
        <v>78.339999999999989</v>
      </c>
      <c r="K49" s="702">
        <v>1</v>
      </c>
      <c r="L49" s="680">
        <v>1</v>
      </c>
      <c r="M49" s="681">
        <v>78.339999999999989</v>
      </c>
    </row>
    <row r="50" spans="1:13" ht="14.4" customHeight="1" x14ac:dyDescent="0.3">
      <c r="A50" s="675" t="s">
        <v>497</v>
      </c>
      <c r="B50" s="676" t="s">
        <v>1450</v>
      </c>
      <c r="C50" s="676" t="s">
        <v>1451</v>
      </c>
      <c r="D50" s="676" t="s">
        <v>1452</v>
      </c>
      <c r="E50" s="676" t="s">
        <v>1453</v>
      </c>
      <c r="F50" s="680"/>
      <c r="G50" s="680"/>
      <c r="H50" s="702">
        <v>0</v>
      </c>
      <c r="I50" s="680">
        <v>2.0999999999999996</v>
      </c>
      <c r="J50" s="680">
        <v>323.50999999999993</v>
      </c>
      <c r="K50" s="702">
        <v>1</v>
      </c>
      <c r="L50" s="680">
        <v>2.0999999999999996</v>
      </c>
      <c r="M50" s="681">
        <v>323.50999999999993</v>
      </c>
    </row>
    <row r="51" spans="1:13" ht="14.4" customHeight="1" x14ac:dyDescent="0.3">
      <c r="A51" s="675" t="s">
        <v>497</v>
      </c>
      <c r="B51" s="676" t="s">
        <v>1450</v>
      </c>
      <c r="C51" s="676" t="s">
        <v>1454</v>
      </c>
      <c r="D51" s="676" t="s">
        <v>1452</v>
      </c>
      <c r="E51" s="676" t="s">
        <v>1455</v>
      </c>
      <c r="F51" s="680"/>
      <c r="G51" s="680"/>
      <c r="H51" s="702">
        <v>0</v>
      </c>
      <c r="I51" s="680">
        <v>8.6999999999999993</v>
      </c>
      <c r="J51" s="680">
        <v>2293.5</v>
      </c>
      <c r="K51" s="702">
        <v>1</v>
      </c>
      <c r="L51" s="680">
        <v>8.6999999999999993</v>
      </c>
      <c r="M51" s="681">
        <v>2293.5</v>
      </c>
    </row>
    <row r="52" spans="1:13" ht="14.4" customHeight="1" x14ac:dyDescent="0.3">
      <c r="A52" s="675" t="s">
        <v>497</v>
      </c>
      <c r="B52" s="676" t="s">
        <v>1456</v>
      </c>
      <c r="C52" s="676" t="s">
        <v>1457</v>
      </c>
      <c r="D52" s="676" t="s">
        <v>1458</v>
      </c>
      <c r="E52" s="676" t="s">
        <v>1459</v>
      </c>
      <c r="F52" s="680"/>
      <c r="G52" s="680"/>
      <c r="H52" s="702">
        <v>0</v>
      </c>
      <c r="I52" s="680">
        <v>10.4</v>
      </c>
      <c r="J52" s="680">
        <v>5908.2479999999996</v>
      </c>
      <c r="K52" s="702">
        <v>1</v>
      </c>
      <c r="L52" s="680">
        <v>10.4</v>
      </c>
      <c r="M52" s="681">
        <v>5908.2479999999996</v>
      </c>
    </row>
    <row r="53" spans="1:13" ht="14.4" customHeight="1" x14ac:dyDescent="0.3">
      <c r="A53" s="675" t="s">
        <v>497</v>
      </c>
      <c r="B53" s="676" t="s">
        <v>1460</v>
      </c>
      <c r="C53" s="676" t="s">
        <v>1461</v>
      </c>
      <c r="D53" s="676" t="s">
        <v>1154</v>
      </c>
      <c r="E53" s="676" t="s">
        <v>1462</v>
      </c>
      <c r="F53" s="680"/>
      <c r="G53" s="680"/>
      <c r="H53" s="702">
        <v>0</v>
      </c>
      <c r="I53" s="680">
        <v>3.5</v>
      </c>
      <c r="J53" s="680">
        <v>1130.57</v>
      </c>
      <c r="K53" s="702">
        <v>1</v>
      </c>
      <c r="L53" s="680">
        <v>3.5</v>
      </c>
      <c r="M53" s="681">
        <v>1130.57</v>
      </c>
    </row>
    <row r="54" spans="1:13" ht="14.4" customHeight="1" x14ac:dyDescent="0.3">
      <c r="A54" s="675" t="s">
        <v>497</v>
      </c>
      <c r="B54" s="676" t="s">
        <v>1463</v>
      </c>
      <c r="C54" s="676" t="s">
        <v>1464</v>
      </c>
      <c r="D54" s="676" t="s">
        <v>1214</v>
      </c>
      <c r="E54" s="676" t="s">
        <v>1465</v>
      </c>
      <c r="F54" s="680">
        <v>0.2</v>
      </c>
      <c r="G54" s="680">
        <v>103.4</v>
      </c>
      <c r="H54" s="702">
        <v>1</v>
      </c>
      <c r="I54" s="680"/>
      <c r="J54" s="680"/>
      <c r="K54" s="702">
        <v>0</v>
      </c>
      <c r="L54" s="680">
        <v>0.2</v>
      </c>
      <c r="M54" s="681">
        <v>103.4</v>
      </c>
    </row>
    <row r="55" spans="1:13" ht="14.4" customHeight="1" x14ac:dyDescent="0.3">
      <c r="A55" s="675" t="s">
        <v>497</v>
      </c>
      <c r="B55" s="676" t="s">
        <v>1466</v>
      </c>
      <c r="C55" s="676" t="s">
        <v>1467</v>
      </c>
      <c r="D55" s="676" t="s">
        <v>1468</v>
      </c>
      <c r="E55" s="676" t="s">
        <v>1469</v>
      </c>
      <c r="F55" s="680"/>
      <c r="G55" s="680"/>
      <c r="H55" s="702">
        <v>0</v>
      </c>
      <c r="I55" s="680">
        <v>30</v>
      </c>
      <c r="J55" s="680">
        <v>1052.2</v>
      </c>
      <c r="K55" s="702">
        <v>1</v>
      </c>
      <c r="L55" s="680">
        <v>30</v>
      </c>
      <c r="M55" s="681">
        <v>1052.2</v>
      </c>
    </row>
    <row r="56" spans="1:13" ht="14.4" customHeight="1" x14ac:dyDescent="0.3">
      <c r="A56" s="675" t="s">
        <v>497</v>
      </c>
      <c r="B56" s="676" t="s">
        <v>1466</v>
      </c>
      <c r="C56" s="676" t="s">
        <v>1470</v>
      </c>
      <c r="D56" s="676" t="s">
        <v>1468</v>
      </c>
      <c r="E56" s="676" t="s">
        <v>1471</v>
      </c>
      <c r="F56" s="680"/>
      <c r="G56" s="680"/>
      <c r="H56" s="702">
        <v>0</v>
      </c>
      <c r="I56" s="680">
        <v>140</v>
      </c>
      <c r="J56" s="680">
        <v>7435.4000000000015</v>
      </c>
      <c r="K56" s="702">
        <v>1</v>
      </c>
      <c r="L56" s="680">
        <v>140</v>
      </c>
      <c r="M56" s="681">
        <v>7435.4000000000015</v>
      </c>
    </row>
    <row r="57" spans="1:13" ht="14.4" customHeight="1" x14ac:dyDescent="0.3">
      <c r="A57" s="675" t="s">
        <v>497</v>
      </c>
      <c r="B57" s="676" t="s">
        <v>1472</v>
      </c>
      <c r="C57" s="676" t="s">
        <v>1473</v>
      </c>
      <c r="D57" s="676" t="s">
        <v>1474</v>
      </c>
      <c r="E57" s="676" t="s">
        <v>1475</v>
      </c>
      <c r="F57" s="680">
        <v>5</v>
      </c>
      <c r="G57" s="680">
        <v>1912.1999999999998</v>
      </c>
      <c r="H57" s="702">
        <v>1</v>
      </c>
      <c r="I57" s="680"/>
      <c r="J57" s="680"/>
      <c r="K57" s="702">
        <v>0</v>
      </c>
      <c r="L57" s="680">
        <v>5</v>
      </c>
      <c r="M57" s="681">
        <v>1912.1999999999998</v>
      </c>
    </row>
    <row r="58" spans="1:13" ht="14.4" customHeight="1" x14ac:dyDescent="0.3">
      <c r="A58" s="675" t="s">
        <v>497</v>
      </c>
      <c r="B58" s="676" t="s">
        <v>1472</v>
      </c>
      <c r="C58" s="676" t="s">
        <v>1476</v>
      </c>
      <c r="D58" s="676" t="s">
        <v>1477</v>
      </c>
      <c r="E58" s="676" t="s">
        <v>1478</v>
      </c>
      <c r="F58" s="680"/>
      <c r="G58" s="680"/>
      <c r="H58" s="702">
        <v>0</v>
      </c>
      <c r="I58" s="680">
        <v>1026</v>
      </c>
      <c r="J58" s="680">
        <v>27868.375537135442</v>
      </c>
      <c r="K58" s="702">
        <v>1</v>
      </c>
      <c r="L58" s="680">
        <v>1026</v>
      </c>
      <c r="M58" s="681">
        <v>27868.375537135442</v>
      </c>
    </row>
    <row r="59" spans="1:13" ht="14.4" customHeight="1" x14ac:dyDescent="0.3">
      <c r="A59" s="675" t="s">
        <v>497</v>
      </c>
      <c r="B59" s="676" t="s">
        <v>1479</v>
      </c>
      <c r="C59" s="676" t="s">
        <v>1480</v>
      </c>
      <c r="D59" s="676" t="s">
        <v>1233</v>
      </c>
      <c r="E59" s="676" t="s">
        <v>1481</v>
      </c>
      <c r="F59" s="680"/>
      <c r="G59" s="680"/>
      <c r="H59" s="702">
        <v>0</v>
      </c>
      <c r="I59" s="680">
        <v>2.1999999999999997</v>
      </c>
      <c r="J59" s="680">
        <v>3276.6869999999999</v>
      </c>
      <c r="K59" s="702">
        <v>1</v>
      </c>
      <c r="L59" s="680">
        <v>2.1999999999999997</v>
      </c>
      <c r="M59" s="681">
        <v>3276.6869999999999</v>
      </c>
    </row>
    <row r="60" spans="1:13" ht="14.4" customHeight="1" x14ac:dyDescent="0.3">
      <c r="A60" s="675" t="s">
        <v>497</v>
      </c>
      <c r="B60" s="676" t="s">
        <v>1482</v>
      </c>
      <c r="C60" s="676" t="s">
        <v>1483</v>
      </c>
      <c r="D60" s="676" t="s">
        <v>1484</v>
      </c>
      <c r="E60" s="676" t="s">
        <v>1485</v>
      </c>
      <c r="F60" s="680"/>
      <c r="G60" s="680"/>
      <c r="H60" s="702">
        <v>0</v>
      </c>
      <c r="I60" s="680">
        <v>30.3</v>
      </c>
      <c r="J60" s="680">
        <v>4684.3500000000004</v>
      </c>
      <c r="K60" s="702">
        <v>1</v>
      </c>
      <c r="L60" s="680">
        <v>30.3</v>
      </c>
      <c r="M60" s="681">
        <v>4684.3500000000004</v>
      </c>
    </row>
    <row r="61" spans="1:13" ht="14.4" customHeight="1" x14ac:dyDescent="0.3">
      <c r="A61" s="675" t="s">
        <v>497</v>
      </c>
      <c r="B61" s="676" t="s">
        <v>1482</v>
      </c>
      <c r="C61" s="676" t="s">
        <v>1486</v>
      </c>
      <c r="D61" s="676" t="s">
        <v>1484</v>
      </c>
      <c r="E61" s="676" t="s">
        <v>1487</v>
      </c>
      <c r="F61" s="680"/>
      <c r="G61" s="680"/>
      <c r="H61" s="702">
        <v>0</v>
      </c>
      <c r="I61" s="680">
        <v>26.4</v>
      </c>
      <c r="J61" s="680">
        <v>7972.7999999999993</v>
      </c>
      <c r="K61" s="702">
        <v>1</v>
      </c>
      <c r="L61" s="680">
        <v>26.4</v>
      </c>
      <c r="M61" s="681">
        <v>7972.7999999999993</v>
      </c>
    </row>
    <row r="62" spans="1:13" ht="14.4" customHeight="1" x14ac:dyDescent="0.3">
      <c r="A62" s="675" t="s">
        <v>497</v>
      </c>
      <c r="B62" s="676" t="s">
        <v>1488</v>
      </c>
      <c r="C62" s="676" t="s">
        <v>1489</v>
      </c>
      <c r="D62" s="676" t="s">
        <v>1490</v>
      </c>
      <c r="E62" s="676" t="s">
        <v>1246</v>
      </c>
      <c r="F62" s="680"/>
      <c r="G62" s="680"/>
      <c r="H62" s="702">
        <v>0</v>
      </c>
      <c r="I62" s="680">
        <v>30</v>
      </c>
      <c r="J62" s="680">
        <v>14803.8</v>
      </c>
      <c r="K62" s="702">
        <v>1</v>
      </c>
      <c r="L62" s="680">
        <v>30</v>
      </c>
      <c r="M62" s="681">
        <v>14803.8</v>
      </c>
    </row>
    <row r="63" spans="1:13" ht="14.4" customHeight="1" x14ac:dyDescent="0.3">
      <c r="A63" s="675" t="s">
        <v>497</v>
      </c>
      <c r="B63" s="676" t="s">
        <v>1488</v>
      </c>
      <c r="C63" s="676" t="s">
        <v>1491</v>
      </c>
      <c r="D63" s="676" t="s">
        <v>1245</v>
      </c>
      <c r="E63" s="676" t="s">
        <v>1246</v>
      </c>
      <c r="F63" s="680"/>
      <c r="G63" s="680"/>
      <c r="H63" s="702">
        <v>0</v>
      </c>
      <c r="I63" s="680">
        <v>12</v>
      </c>
      <c r="J63" s="680">
        <v>2626.8</v>
      </c>
      <c r="K63" s="702">
        <v>1</v>
      </c>
      <c r="L63" s="680">
        <v>12</v>
      </c>
      <c r="M63" s="681">
        <v>2626.8</v>
      </c>
    </row>
    <row r="64" spans="1:13" ht="14.4" customHeight="1" x14ac:dyDescent="0.3">
      <c r="A64" s="675" t="s">
        <v>497</v>
      </c>
      <c r="B64" s="676" t="s">
        <v>1492</v>
      </c>
      <c r="C64" s="676" t="s">
        <v>1493</v>
      </c>
      <c r="D64" s="676" t="s">
        <v>755</v>
      </c>
      <c r="E64" s="676" t="s">
        <v>1494</v>
      </c>
      <c r="F64" s="680"/>
      <c r="G64" s="680"/>
      <c r="H64" s="702">
        <v>0</v>
      </c>
      <c r="I64" s="680">
        <v>3</v>
      </c>
      <c r="J64" s="680">
        <v>1771.3199999999997</v>
      </c>
      <c r="K64" s="702">
        <v>1</v>
      </c>
      <c r="L64" s="680">
        <v>3</v>
      </c>
      <c r="M64" s="681">
        <v>1771.3199999999997</v>
      </c>
    </row>
    <row r="65" spans="1:13" ht="14.4" customHeight="1" x14ac:dyDescent="0.3">
      <c r="A65" s="675" t="s">
        <v>497</v>
      </c>
      <c r="B65" s="676" t="s">
        <v>1495</v>
      </c>
      <c r="C65" s="676" t="s">
        <v>1496</v>
      </c>
      <c r="D65" s="676" t="s">
        <v>635</v>
      </c>
      <c r="E65" s="676" t="s">
        <v>1497</v>
      </c>
      <c r="F65" s="680"/>
      <c r="G65" s="680"/>
      <c r="H65" s="702">
        <v>0</v>
      </c>
      <c r="I65" s="680">
        <v>3</v>
      </c>
      <c r="J65" s="680">
        <v>1589.4900000000002</v>
      </c>
      <c r="K65" s="702">
        <v>1</v>
      </c>
      <c r="L65" s="680">
        <v>3</v>
      </c>
      <c r="M65" s="681">
        <v>1589.4900000000002</v>
      </c>
    </row>
    <row r="66" spans="1:13" ht="14.4" customHeight="1" x14ac:dyDescent="0.3">
      <c r="A66" s="675" t="s">
        <v>497</v>
      </c>
      <c r="B66" s="676" t="s">
        <v>1498</v>
      </c>
      <c r="C66" s="676" t="s">
        <v>1499</v>
      </c>
      <c r="D66" s="676" t="s">
        <v>563</v>
      </c>
      <c r="E66" s="676" t="s">
        <v>1500</v>
      </c>
      <c r="F66" s="680"/>
      <c r="G66" s="680"/>
      <c r="H66" s="702">
        <v>0</v>
      </c>
      <c r="I66" s="680">
        <v>1</v>
      </c>
      <c r="J66" s="680">
        <v>104.34999999999998</v>
      </c>
      <c r="K66" s="702">
        <v>1</v>
      </c>
      <c r="L66" s="680">
        <v>1</v>
      </c>
      <c r="M66" s="681">
        <v>104.34999999999998</v>
      </c>
    </row>
    <row r="67" spans="1:13" ht="14.4" customHeight="1" x14ac:dyDescent="0.3">
      <c r="A67" s="675" t="s">
        <v>497</v>
      </c>
      <c r="B67" s="676" t="s">
        <v>1498</v>
      </c>
      <c r="C67" s="676" t="s">
        <v>1501</v>
      </c>
      <c r="D67" s="676" t="s">
        <v>563</v>
      </c>
      <c r="E67" s="676" t="s">
        <v>1500</v>
      </c>
      <c r="F67" s="680">
        <v>1</v>
      </c>
      <c r="G67" s="680">
        <v>103.31999999999998</v>
      </c>
      <c r="H67" s="702">
        <v>1</v>
      </c>
      <c r="I67" s="680"/>
      <c r="J67" s="680"/>
      <c r="K67" s="702">
        <v>0</v>
      </c>
      <c r="L67" s="680">
        <v>1</v>
      </c>
      <c r="M67" s="681">
        <v>103.31999999999998</v>
      </c>
    </row>
    <row r="68" spans="1:13" ht="14.4" customHeight="1" x14ac:dyDescent="0.3">
      <c r="A68" s="675" t="s">
        <v>497</v>
      </c>
      <c r="B68" s="676" t="s">
        <v>1498</v>
      </c>
      <c r="C68" s="676" t="s">
        <v>1502</v>
      </c>
      <c r="D68" s="676" t="s">
        <v>887</v>
      </c>
      <c r="E68" s="676" t="s">
        <v>1503</v>
      </c>
      <c r="F68" s="680">
        <v>1</v>
      </c>
      <c r="G68" s="680">
        <v>88.20999999999998</v>
      </c>
      <c r="H68" s="702">
        <v>1</v>
      </c>
      <c r="I68" s="680"/>
      <c r="J68" s="680"/>
      <c r="K68" s="702">
        <v>0</v>
      </c>
      <c r="L68" s="680">
        <v>1</v>
      </c>
      <c r="M68" s="681">
        <v>88.20999999999998</v>
      </c>
    </row>
    <row r="69" spans="1:13" ht="14.4" customHeight="1" x14ac:dyDescent="0.3">
      <c r="A69" s="675" t="s">
        <v>497</v>
      </c>
      <c r="B69" s="676" t="s">
        <v>1504</v>
      </c>
      <c r="C69" s="676" t="s">
        <v>1505</v>
      </c>
      <c r="D69" s="676" t="s">
        <v>1506</v>
      </c>
      <c r="E69" s="676" t="s">
        <v>1507</v>
      </c>
      <c r="F69" s="680"/>
      <c r="G69" s="680"/>
      <c r="H69" s="702">
        <v>0</v>
      </c>
      <c r="I69" s="680">
        <v>1</v>
      </c>
      <c r="J69" s="680">
        <v>457.14</v>
      </c>
      <c r="K69" s="702">
        <v>1</v>
      </c>
      <c r="L69" s="680">
        <v>1</v>
      </c>
      <c r="M69" s="681">
        <v>457.14</v>
      </c>
    </row>
    <row r="70" spans="1:13" ht="14.4" customHeight="1" x14ac:dyDescent="0.3">
      <c r="A70" s="675" t="s">
        <v>497</v>
      </c>
      <c r="B70" s="676" t="s">
        <v>1504</v>
      </c>
      <c r="C70" s="676" t="s">
        <v>1508</v>
      </c>
      <c r="D70" s="676" t="s">
        <v>1506</v>
      </c>
      <c r="E70" s="676" t="s">
        <v>1438</v>
      </c>
      <c r="F70" s="680"/>
      <c r="G70" s="680"/>
      <c r="H70" s="702">
        <v>0</v>
      </c>
      <c r="I70" s="680">
        <v>1</v>
      </c>
      <c r="J70" s="680">
        <v>529.84000000000015</v>
      </c>
      <c r="K70" s="702">
        <v>1</v>
      </c>
      <c r="L70" s="680">
        <v>1</v>
      </c>
      <c r="M70" s="681">
        <v>529.84000000000015</v>
      </c>
    </row>
    <row r="71" spans="1:13" ht="14.4" customHeight="1" x14ac:dyDescent="0.3">
      <c r="A71" s="675" t="s">
        <v>497</v>
      </c>
      <c r="B71" s="676" t="s">
        <v>1509</v>
      </c>
      <c r="C71" s="676" t="s">
        <v>1510</v>
      </c>
      <c r="D71" s="676" t="s">
        <v>1511</v>
      </c>
      <c r="E71" s="676" t="s">
        <v>1512</v>
      </c>
      <c r="F71" s="680"/>
      <c r="G71" s="680"/>
      <c r="H71" s="702">
        <v>0</v>
      </c>
      <c r="I71" s="680">
        <v>70</v>
      </c>
      <c r="J71" s="680">
        <v>47978.007832337244</v>
      </c>
      <c r="K71" s="702">
        <v>1</v>
      </c>
      <c r="L71" s="680">
        <v>70</v>
      </c>
      <c r="M71" s="681">
        <v>47978.007832337244</v>
      </c>
    </row>
    <row r="72" spans="1:13" ht="14.4" customHeight="1" x14ac:dyDescent="0.3">
      <c r="A72" s="675" t="s">
        <v>497</v>
      </c>
      <c r="B72" s="676" t="s">
        <v>1509</v>
      </c>
      <c r="C72" s="676" t="s">
        <v>1513</v>
      </c>
      <c r="D72" s="676" t="s">
        <v>1514</v>
      </c>
      <c r="E72" s="676" t="s">
        <v>1515</v>
      </c>
      <c r="F72" s="680">
        <v>90</v>
      </c>
      <c r="G72" s="680">
        <v>12937.18</v>
      </c>
      <c r="H72" s="702">
        <v>1</v>
      </c>
      <c r="I72" s="680"/>
      <c r="J72" s="680"/>
      <c r="K72" s="702">
        <v>0</v>
      </c>
      <c r="L72" s="680">
        <v>90</v>
      </c>
      <c r="M72" s="681">
        <v>12937.18</v>
      </c>
    </row>
    <row r="73" spans="1:13" ht="14.4" customHeight="1" x14ac:dyDescent="0.3">
      <c r="A73" s="675" t="s">
        <v>497</v>
      </c>
      <c r="B73" s="676" t="s">
        <v>1516</v>
      </c>
      <c r="C73" s="676" t="s">
        <v>1517</v>
      </c>
      <c r="D73" s="676" t="s">
        <v>1518</v>
      </c>
      <c r="E73" s="676" t="s">
        <v>1519</v>
      </c>
      <c r="F73" s="680"/>
      <c r="G73" s="680"/>
      <c r="H73" s="702">
        <v>0</v>
      </c>
      <c r="I73" s="680">
        <v>51</v>
      </c>
      <c r="J73" s="680">
        <v>27573.144144742793</v>
      </c>
      <c r="K73" s="702">
        <v>1</v>
      </c>
      <c r="L73" s="680">
        <v>51</v>
      </c>
      <c r="M73" s="681">
        <v>27573.144144742793</v>
      </c>
    </row>
    <row r="74" spans="1:13" ht="14.4" customHeight="1" x14ac:dyDescent="0.3">
      <c r="A74" s="675" t="s">
        <v>497</v>
      </c>
      <c r="B74" s="676" t="s">
        <v>1516</v>
      </c>
      <c r="C74" s="676" t="s">
        <v>1520</v>
      </c>
      <c r="D74" s="676" t="s">
        <v>1518</v>
      </c>
      <c r="E74" s="676" t="s">
        <v>1521</v>
      </c>
      <c r="F74" s="680"/>
      <c r="G74" s="680"/>
      <c r="H74" s="702">
        <v>0</v>
      </c>
      <c r="I74" s="680">
        <v>3</v>
      </c>
      <c r="J74" s="680">
        <v>330</v>
      </c>
      <c r="K74" s="702">
        <v>1</v>
      </c>
      <c r="L74" s="680">
        <v>3</v>
      </c>
      <c r="M74" s="681">
        <v>330</v>
      </c>
    </row>
    <row r="75" spans="1:13" ht="14.4" customHeight="1" x14ac:dyDescent="0.3">
      <c r="A75" s="675" t="s">
        <v>497</v>
      </c>
      <c r="B75" s="676" t="s">
        <v>1516</v>
      </c>
      <c r="C75" s="676" t="s">
        <v>1522</v>
      </c>
      <c r="D75" s="676" t="s">
        <v>1518</v>
      </c>
      <c r="E75" s="676" t="s">
        <v>1523</v>
      </c>
      <c r="F75" s="680"/>
      <c r="G75" s="680"/>
      <c r="H75" s="702">
        <v>0</v>
      </c>
      <c r="I75" s="680">
        <v>47</v>
      </c>
      <c r="J75" s="680">
        <v>35661.660000000003</v>
      </c>
      <c r="K75" s="702">
        <v>1</v>
      </c>
      <c r="L75" s="680">
        <v>47</v>
      </c>
      <c r="M75" s="681">
        <v>35661.660000000003</v>
      </c>
    </row>
    <row r="76" spans="1:13" ht="14.4" customHeight="1" x14ac:dyDescent="0.3">
      <c r="A76" s="675" t="s">
        <v>497</v>
      </c>
      <c r="B76" s="676" t="s">
        <v>1524</v>
      </c>
      <c r="C76" s="676" t="s">
        <v>1525</v>
      </c>
      <c r="D76" s="676" t="s">
        <v>1526</v>
      </c>
      <c r="E76" s="676" t="s">
        <v>1527</v>
      </c>
      <c r="F76" s="680"/>
      <c r="G76" s="680"/>
      <c r="H76" s="702">
        <v>0</v>
      </c>
      <c r="I76" s="680">
        <v>6</v>
      </c>
      <c r="J76" s="680">
        <v>256.42041962467636</v>
      </c>
      <c r="K76" s="702">
        <v>1</v>
      </c>
      <c r="L76" s="680">
        <v>6</v>
      </c>
      <c r="M76" s="681">
        <v>256.42041962467636</v>
      </c>
    </row>
    <row r="77" spans="1:13" ht="14.4" customHeight="1" x14ac:dyDescent="0.3">
      <c r="A77" s="675" t="s">
        <v>497</v>
      </c>
      <c r="B77" s="676" t="s">
        <v>1524</v>
      </c>
      <c r="C77" s="676" t="s">
        <v>1528</v>
      </c>
      <c r="D77" s="676" t="s">
        <v>1529</v>
      </c>
      <c r="E77" s="676" t="s">
        <v>1530</v>
      </c>
      <c r="F77" s="680"/>
      <c r="G77" s="680"/>
      <c r="H77" s="702">
        <v>0</v>
      </c>
      <c r="I77" s="680">
        <v>198</v>
      </c>
      <c r="J77" s="680">
        <v>10700.639947748727</v>
      </c>
      <c r="K77" s="702">
        <v>1</v>
      </c>
      <c r="L77" s="680">
        <v>198</v>
      </c>
      <c r="M77" s="681">
        <v>10700.639947748727</v>
      </c>
    </row>
    <row r="78" spans="1:13" ht="14.4" customHeight="1" x14ac:dyDescent="0.3">
      <c r="A78" s="675" t="s">
        <v>497</v>
      </c>
      <c r="B78" s="676" t="s">
        <v>1531</v>
      </c>
      <c r="C78" s="676" t="s">
        <v>1532</v>
      </c>
      <c r="D78" s="676" t="s">
        <v>1533</v>
      </c>
      <c r="E78" s="676" t="s">
        <v>1534</v>
      </c>
      <c r="F78" s="680"/>
      <c r="G78" s="680"/>
      <c r="H78" s="702">
        <v>0</v>
      </c>
      <c r="I78" s="680">
        <v>15</v>
      </c>
      <c r="J78" s="680">
        <v>4478.76</v>
      </c>
      <c r="K78" s="702">
        <v>1</v>
      </c>
      <c r="L78" s="680">
        <v>15</v>
      </c>
      <c r="M78" s="681">
        <v>4478.76</v>
      </c>
    </row>
    <row r="79" spans="1:13" ht="14.4" customHeight="1" x14ac:dyDescent="0.3">
      <c r="A79" s="675" t="s">
        <v>497</v>
      </c>
      <c r="B79" s="676" t="s">
        <v>1535</v>
      </c>
      <c r="C79" s="676" t="s">
        <v>1536</v>
      </c>
      <c r="D79" s="676" t="s">
        <v>640</v>
      </c>
      <c r="E79" s="676" t="s">
        <v>1537</v>
      </c>
      <c r="F79" s="680"/>
      <c r="G79" s="680"/>
      <c r="H79" s="702">
        <v>0</v>
      </c>
      <c r="I79" s="680">
        <v>6</v>
      </c>
      <c r="J79" s="680">
        <v>5761.5000000000009</v>
      </c>
      <c r="K79" s="702">
        <v>1</v>
      </c>
      <c r="L79" s="680">
        <v>6</v>
      </c>
      <c r="M79" s="681">
        <v>5761.5000000000009</v>
      </c>
    </row>
    <row r="80" spans="1:13" ht="14.4" customHeight="1" x14ac:dyDescent="0.3">
      <c r="A80" s="675" t="s">
        <v>497</v>
      </c>
      <c r="B80" s="676" t="s">
        <v>1538</v>
      </c>
      <c r="C80" s="676" t="s">
        <v>1539</v>
      </c>
      <c r="D80" s="676" t="s">
        <v>1540</v>
      </c>
      <c r="E80" s="676" t="s">
        <v>1541</v>
      </c>
      <c r="F80" s="680">
        <v>1</v>
      </c>
      <c r="G80" s="680">
        <v>107.45000000000003</v>
      </c>
      <c r="H80" s="702">
        <v>1</v>
      </c>
      <c r="I80" s="680"/>
      <c r="J80" s="680"/>
      <c r="K80" s="702">
        <v>0</v>
      </c>
      <c r="L80" s="680">
        <v>1</v>
      </c>
      <c r="M80" s="681">
        <v>107.45000000000003</v>
      </c>
    </row>
    <row r="81" spans="1:13" ht="14.4" customHeight="1" x14ac:dyDescent="0.3">
      <c r="A81" s="675" t="s">
        <v>497</v>
      </c>
      <c r="B81" s="676" t="s">
        <v>1538</v>
      </c>
      <c r="C81" s="676" t="s">
        <v>1542</v>
      </c>
      <c r="D81" s="676" t="s">
        <v>1540</v>
      </c>
      <c r="E81" s="676" t="s">
        <v>1543</v>
      </c>
      <c r="F81" s="680">
        <v>1</v>
      </c>
      <c r="G81" s="680">
        <v>465.10999999999996</v>
      </c>
      <c r="H81" s="702">
        <v>1</v>
      </c>
      <c r="I81" s="680"/>
      <c r="J81" s="680"/>
      <c r="K81" s="702">
        <v>0</v>
      </c>
      <c r="L81" s="680">
        <v>1</v>
      </c>
      <c r="M81" s="681">
        <v>465.10999999999996</v>
      </c>
    </row>
    <row r="82" spans="1:13" ht="14.4" customHeight="1" x14ac:dyDescent="0.3">
      <c r="A82" s="675" t="s">
        <v>497</v>
      </c>
      <c r="B82" s="676" t="s">
        <v>1538</v>
      </c>
      <c r="C82" s="676" t="s">
        <v>1544</v>
      </c>
      <c r="D82" s="676" t="s">
        <v>1540</v>
      </c>
      <c r="E82" s="676" t="s">
        <v>1545</v>
      </c>
      <c r="F82" s="680">
        <v>2</v>
      </c>
      <c r="G82" s="680">
        <v>507.2200000000002</v>
      </c>
      <c r="H82" s="702">
        <v>1</v>
      </c>
      <c r="I82" s="680"/>
      <c r="J82" s="680"/>
      <c r="K82" s="702">
        <v>0</v>
      </c>
      <c r="L82" s="680">
        <v>2</v>
      </c>
      <c r="M82" s="681">
        <v>507.2200000000002</v>
      </c>
    </row>
    <row r="83" spans="1:13" ht="14.4" customHeight="1" x14ac:dyDescent="0.3">
      <c r="A83" s="675" t="s">
        <v>497</v>
      </c>
      <c r="B83" s="676" t="s">
        <v>1546</v>
      </c>
      <c r="C83" s="676" t="s">
        <v>1547</v>
      </c>
      <c r="D83" s="676" t="s">
        <v>1548</v>
      </c>
      <c r="E83" s="676" t="s">
        <v>1549</v>
      </c>
      <c r="F83" s="680"/>
      <c r="G83" s="680"/>
      <c r="H83" s="702">
        <v>0</v>
      </c>
      <c r="I83" s="680">
        <v>1</v>
      </c>
      <c r="J83" s="680">
        <v>356.95</v>
      </c>
      <c r="K83" s="702">
        <v>1</v>
      </c>
      <c r="L83" s="680">
        <v>1</v>
      </c>
      <c r="M83" s="681">
        <v>356.95</v>
      </c>
    </row>
    <row r="84" spans="1:13" ht="14.4" customHeight="1" x14ac:dyDescent="0.3">
      <c r="A84" s="675" t="s">
        <v>497</v>
      </c>
      <c r="B84" s="676" t="s">
        <v>1550</v>
      </c>
      <c r="C84" s="676" t="s">
        <v>1551</v>
      </c>
      <c r="D84" s="676" t="s">
        <v>1056</v>
      </c>
      <c r="E84" s="676" t="s">
        <v>1552</v>
      </c>
      <c r="F84" s="680">
        <v>1</v>
      </c>
      <c r="G84" s="680">
        <v>61.239999999999995</v>
      </c>
      <c r="H84" s="702">
        <v>1</v>
      </c>
      <c r="I84" s="680"/>
      <c r="J84" s="680"/>
      <c r="K84" s="702">
        <v>0</v>
      </c>
      <c r="L84" s="680">
        <v>1</v>
      </c>
      <c r="M84" s="681">
        <v>61.239999999999995</v>
      </c>
    </row>
    <row r="85" spans="1:13" ht="14.4" customHeight="1" x14ac:dyDescent="0.3">
      <c r="A85" s="675" t="s">
        <v>497</v>
      </c>
      <c r="B85" s="676" t="s">
        <v>1553</v>
      </c>
      <c r="C85" s="676" t="s">
        <v>1554</v>
      </c>
      <c r="D85" s="676" t="s">
        <v>1555</v>
      </c>
      <c r="E85" s="676" t="s">
        <v>1556</v>
      </c>
      <c r="F85" s="680"/>
      <c r="G85" s="680"/>
      <c r="H85" s="702">
        <v>0</v>
      </c>
      <c r="I85" s="680">
        <v>2</v>
      </c>
      <c r="J85" s="680">
        <v>98.74</v>
      </c>
      <c r="K85" s="702">
        <v>1</v>
      </c>
      <c r="L85" s="680">
        <v>2</v>
      </c>
      <c r="M85" s="681">
        <v>98.74</v>
      </c>
    </row>
    <row r="86" spans="1:13" ht="14.4" customHeight="1" x14ac:dyDescent="0.3">
      <c r="A86" s="675" t="s">
        <v>497</v>
      </c>
      <c r="B86" s="676" t="s">
        <v>1553</v>
      </c>
      <c r="C86" s="676" t="s">
        <v>1557</v>
      </c>
      <c r="D86" s="676" t="s">
        <v>1555</v>
      </c>
      <c r="E86" s="676" t="s">
        <v>1558</v>
      </c>
      <c r="F86" s="680"/>
      <c r="G86" s="680"/>
      <c r="H86" s="702">
        <v>0</v>
      </c>
      <c r="I86" s="680">
        <v>8</v>
      </c>
      <c r="J86" s="680">
        <v>538.56012407183016</v>
      </c>
      <c r="K86" s="702">
        <v>1</v>
      </c>
      <c r="L86" s="680">
        <v>8</v>
      </c>
      <c r="M86" s="681">
        <v>538.56012407183016</v>
      </c>
    </row>
    <row r="87" spans="1:13" ht="14.4" customHeight="1" x14ac:dyDescent="0.3">
      <c r="A87" s="675" t="s">
        <v>497</v>
      </c>
      <c r="B87" s="676" t="s">
        <v>1553</v>
      </c>
      <c r="C87" s="676" t="s">
        <v>1559</v>
      </c>
      <c r="D87" s="676" t="s">
        <v>1555</v>
      </c>
      <c r="E87" s="676" t="s">
        <v>1560</v>
      </c>
      <c r="F87" s="680"/>
      <c r="G87" s="680"/>
      <c r="H87" s="702">
        <v>0</v>
      </c>
      <c r="I87" s="680">
        <v>7</v>
      </c>
      <c r="J87" s="680">
        <v>667.59000683327088</v>
      </c>
      <c r="K87" s="702">
        <v>1</v>
      </c>
      <c r="L87" s="680">
        <v>7</v>
      </c>
      <c r="M87" s="681">
        <v>667.59000683327088</v>
      </c>
    </row>
    <row r="88" spans="1:13" ht="14.4" customHeight="1" x14ac:dyDescent="0.3">
      <c r="A88" s="675" t="s">
        <v>497</v>
      </c>
      <c r="B88" s="676" t="s">
        <v>1553</v>
      </c>
      <c r="C88" s="676" t="s">
        <v>1561</v>
      </c>
      <c r="D88" s="676" t="s">
        <v>1555</v>
      </c>
      <c r="E88" s="676" t="s">
        <v>1562</v>
      </c>
      <c r="F88" s="680"/>
      <c r="G88" s="680"/>
      <c r="H88" s="702">
        <v>0</v>
      </c>
      <c r="I88" s="680">
        <v>11</v>
      </c>
      <c r="J88" s="680">
        <v>3640.8907383214064</v>
      </c>
      <c r="K88" s="702">
        <v>1</v>
      </c>
      <c r="L88" s="680">
        <v>11</v>
      </c>
      <c r="M88" s="681">
        <v>3640.8907383214064</v>
      </c>
    </row>
    <row r="89" spans="1:13" ht="14.4" customHeight="1" x14ac:dyDescent="0.3">
      <c r="A89" s="675" t="s">
        <v>497</v>
      </c>
      <c r="B89" s="676" t="s">
        <v>1553</v>
      </c>
      <c r="C89" s="676" t="s">
        <v>1563</v>
      </c>
      <c r="D89" s="676" t="s">
        <v>1564</v>
      </c>
      <c r="E89" s="676" t="s">
        <v>1565</v>
      </c>
      <c r="F89" s="680">
        <v>10</v>
      </c>
      <c r="G89" s="680">
        <v>4958.3900000000003</v>
      </c>
      <c r="H89" s="702">
        <v>1</v>
      </c>
      <c r="I89" s="680"/>
      <c r="J89" s="680"/>
      <c r="K89" s="702">
        <v>0</v>
      </c>
      <c r="L89" s="680">
        <v>10</v>
      </c>
      <c r="M89" s="681">
        <v>4958.3900000000003</v>
      </c>
    </row>
    <row r="90" spans="1:13" ht="14.4" customHeight="1" x14ac:dyDescent="0.3">
      <c r="A90" s="675" t="s">
        <v>497</v>
      </c>
      <c r="B90" s="676" t="s">
        <v>1566</v>
      </c>
      <c r="C90" s="676" t="s">
        <v>1567</v>
      </c>
      <c r="D90" s="676" t="s">
        <v>1062</v>
      </c>
      <c r="E90" s="676" t="s">
        <v>1568</v>
      </c>
      <c r="F90" s="680"/>
      <c r="G90" s="680"/>
      <c r="H90" s="702">
        <v>0</v>
      </c>
      <c r="I90" s="680">
        <v>5</v>
      </c>
      <c r="J90" s="680">
        <v>110.32000000000004</v>
      </c>
      <c r="K90" s="702">
        <v>1</v>
      </c>
      <c r="L90" s="680">
        <v>5</v>
      </c>
      <c r="M90" s="681">
        <v>110.32000000000004</v>
      </c>
    </row>
    <row r="91" spans="1:13" ht="14.4" customHeight="1" x14ac:dyDescent="0.3">
      <c r="A91" s="675" t="s">
        <v>497</v>
      </c>
      <c r="B91" s="676" t="s">
        <v>1566</v>
      </c>
      <c r="C91" s="676" t="s">
        <v>1569</v>
      </c>
      <c r="D91" s="676" t="s">
        <v>1062</v>
      </c>
      <c r="E91" s="676" t="s">
        <v>1570</v>
      </c>
      <c r="F91" s="680"/>
      <c r="G91" s="680"/>
      <c r="H91" s="702">
        <v>0</v>
      </c>
      <c r="I91" s="680">
        <v>1</v>
      </c>
      <c r="J91" s="680">
        <v>45.49</v>
      </c>
      <c r="K91" s="702">
        <v>1</v>
      </c>
      <c r="L91" s="680">
        <v>1</v>
      </c>
      <c r="M91" s="681">
        <v>45.49</v>
      </c>
    </row>
    <row r="92" spans="1:13" ht="14.4" customHeight="1" x14ac:dyDescent="0.3">
      <c r="A92" s="675" t="s">
        <v>497</v>
      </c>
      <c r="B92" s="676" t="s">
        <v>1571</v>
      </c>
      <c r="C92" s="676" t="s">
        <v>1572</v>
      </c>
      <c r="D92" s="676" t="s">
        <v>612</v>
      </c>
      <c r="E92" s="676" t="s">
        <v>1373</v>
      </c>
      <c r="F92" s="680"/>
      <c r="G92" s="680"/>
      <c r="H92" s="702">
        <v>0</v>
      </c>
      <c r="I92" s="680">
        <v>3</v>
      </c>
      <c r="J92" s="680">
        <v>59.92</v>
      </c>
      <c r="K92" s="702">
        <v>1</v>
      </c>
      <c r="L92" s="680">
        <v>3</v>
      </c>
      <c r="M92" s="681">
        <v>59.92</v>
      </c>
    </row>
    <row r="93" spans="1:13" ht="14.4" customHeight="1" x14ac:dyDescent="0.3">
      <c r="A93" s="675" t="s">
        <v>497</v>
      </c>
      <c r="B93" s="676" t="s">
        <v>1571</v>
      </c>
      <c r="C93" s="676" t="s">
        <v>1573</v>
      </c>
      <c r="D93" s="676" t="s">
        <v>614</v>
      </c>
      <c r="E93" s="676" t="s">
        <v>1400</v>
      </c>
      <c r="F93" s="680"/>
      <c r="G93" s="680"/>
      <c r="H93" s="702">
        <v>0</v>
      </c>
      <c r="I93" s="680">
        <v>4</v>
      </c>
      <c r="J93" s="680">
        <v>109.44</v>
      </c>
      <c r="K93" s="702">
        <v>1</v>
      </c>
      <c r="L93" s="680">
        <v>4</v>
      </c>
      <c r="M93" s="681">
        <v>109.44</v>
      </c>
    </row>
    <row r="94" spans="1:13" ht="14.4" customHeight="1" x14ac:dyDescent="0.3">
      <c r="A94" s="675" t="s">
        <v>497</v>
      </c>
      <c r="B94" s="676" t="s">
        <v>1574</v>
      </c>
      <c r="C94" s="676" t="s">
        <v>1575</v>
      </c>
      <c r="D94" s="676" t="s">
        <v>1576</v>
      </c>
      <c r="E94" s="676" t="s">
        <v>1393</v>
      </c>
      <c r="F94" s="680"/>
      <c r="G94" s="680"/>
      <c r="H94" s="702">
        <v>0</v>
      </c>
      <c r="I94" s="680">
        <v>1</v>
      </c>
      <c r="J94" s="680">
        <v>184.78999999999988</v>
      </c>
      <c r="K94" s="702">
        <v>1</v>
      </c>
      <c r="L94" s="680">
        <v>1</v>
      </c>
      <c r="M94" s="681">
        <v>184.78999999999988</v>
      </c>
    </row>
    <row r="95" spans="1:13" ht="14.4" customHeight="1" x14ac:dyDescent="0.3">
      <c r="A95" s="675" t="s">
        <v>497</v>
      </c>
      <c r="B95" s="676" t="s">
        <v>1577</v>
      </c>
      <c r="C95" s="676" t="s">
        <v>1578</v>
      </c>
      <c r="D95" s="676" t="s">
        <v>1579</v>
      </c>
      <c r="E95" s="676" t="s">
        <v>1580</v>
      </c>
      <c r="F95" s="680"/>
      <c r="G95" s="680"/>
      <c r="H95" s="702">
        <v>0</v>
      </c>
      <c r="I95" s="680">
        <v>1</v>
      </c>
      <c r="J95" s="680">
        <v>139.47000000000003</v>
      </c>
      <c r="K95" s="702">
        <v>1</v>
      </c>
      <c r="L95" s="680">
        <v>1</v>
      </c>
      <c r="M95" s="681">
        <v>139.47000000000003</v>
      </c>
    </row>
    <row r="96" spans="1:13" ht="14.4" customHeight="1" x14ac:dyDescent="0.3">
      <c r="A96" s="675" t="s">
        <v>497</v>
      </c>
      <c r="B96" s="676" t="s">
        <v>1581</v>
      </c>
      <c r="C96" s="676" t="s">
        <v>1582</v>
      </c>
      <c r="D96" s="676" t="s">
        <v>1583</v>
      </c>
      <c r="E96" s="676" t="s">
        <v>1584</v>
      </c>
      <c r="F96" s="680">
        <v>1</v>
      </c>
      <c r="G96" s="680">
        <v>74.590000000000018</v>
      </c>
      <c r="H96" s="702">
        <v>1</v>
      </c>
      <c r="I96" s="680"/>
      <c r="J96" s="680"/>
      <c r="K96" s="702">
        <v>0</v>
      </c>
      <c r="L96" s="680">
        <v>1</v>
      </c>
      <c r="M96" s="681">
        <v>74.590000000000018</v>
      </c>
    </row>
    <row r="97" spans="1:13" ht="14.4" customHeight="1" x14ac:dyDescent="0.3">
      <c r="A97" s="675" t="s">
        <v>497</v>
      </c>
      <c r="B97" s="676" t="s">
        <v>1585</v>
      </c>
      <c r="C97" s="676" t="s">
        <v>1586</v>
      </c>
      <c r="D97" s="676" t="s">
        <v>1587</v>
      </c>
      <c r="E97" s="676" t="s">
        <v>1588</v>
      </c>
      <c r="F97" s="680"/>
      <c r="G97" s="680"/>
      <c r="H97" s="702">
        <v>0</v>
      </c>
      <c r="I97" s="680">
        <v>45</v>
      </c>
      <c r="J97" s="680">
        <v>3654.5300000000007</v>
      </c>
      <c r="K97" s="702">
        <v>1</v>
      </c>
      <c r="L97" s="680">
        <v>45</v>
      </c>
      <c r="M97" s="681">
        <v>3654.5300000000007</v>
      </c>
    </row>
    <row r="98" spans="1:13" ht="14.4" customHeight="1" x14ac:dyDescent="0.3">
      <c r="A98" s="675" t="s">
        <v>497</v>
      </c>
      <c r="B98" s="676" t="s">
        <v>1589</v>
      </c>
      <c r="C98" s="676" t="s">
        <v>1590</v>
      </c>
      <c r="D98" s="676" t="s">
        <v>1591</v>
      </c>
      <c r="E98" s="676" t="s">
        <v>1592</v>
      </c>
      <c r="F98" s="680"/>
      <c r="G98" s="680"/>
      <c r="H98" s="702">
        <v>0</v>
      </c>
      <c r="I98" s="680">
        <v>2</v>
      </c>
      <c r="J98" s="680">
        <v>1360.2</v>
      </c>
      <c r="K98" s="702">
        <v>1</v>
      </c>
      <c r="L98" s="680">
        <v>2</v>
      </c>
      <c r="M98" s="681">
        <v>1360.2</v>
      </c>
    </row>
    <row r="99" spans="1:13" ht="14.4" customHeight="1" x14ac:dyDescent="0.3">
      <c r="A99" s="675" t="s">
        <v>497</v>
      </c>
      <c r="B99" s="676" t="s">
        <v>1589</v>
      </c>
      <c r="C99" s="676" t="s">
        <v>1593</v>
      </c>
      <c r="D99" s="676" t="s">
        <v>1594</v>
      </c>
      <c r="E99" s="676" t="s">
        <v>1595</v>
      </c>
      <c r="F99" s="680"/>
      <c r="G99" s="680"/>
      <c r="H99" s="702">
        <v>0</v>
      </c>
      <c r="I99" s="680">
        <v>1</v>
      </c>
      <c r="J99" s="680">
        <v>680.26</v>
      </c>
      <c r="K99" s="702">
        <v>1</v>
      </c>
      <c r="L99" s="680">
        <v>1</v>
      </c>
      <c r="M99" s="681">
        <v>680.26</v>
      </c>
    </row>
    <row r="100" spans="1:13" ht="14.4" customHeight="1" x14ac:dyDescent="0.3">
      <c r="A100" s="675" t="s">
        <v>497</v>
      </c>
      <c r="B100" s="676" t="s">
        <v>1596</v>
      </c>
      <c r="C100" s="676" t="s">
        <v>1597</v>
      </c>
      <c r="D100" s="676" t="s">
        <v>1598</v>
      </c>
      <c r="E100" s="676" t="s">
        <v>1599</v>
      </c>
      <c r="F100" s="680"/>
      <c r="G100" s="680"/>
      <c r="H100" s="702">
        <v>0</v>
      </c>
      <c r="I100" s="680">
        <v>1</v>
      </c>
      <c r="J100" s="680">
        <v>653.04</v>
      </c>
      <c r="K100" s="702">
        <v>1</v>
      </c>
      <c r="L100" s="680">
        <v>1</v>
      </c>
      <c r="M100" s="681">
        <v>653.04</v>
      </c>
    </row>
    <row r="101" spans="1:13" ht="14.4" customHeight="1" x14ac:dyDescent="0.3">
      <c r="A101" s="675" t="s">
        <v>497</v>
      </c>
      <c r="B101" s="676" t="s">
        <v>1600</v>
      </c>
      <c r="C101" s="676" t="s">
        <v>1601</v>
      </c>
      <c r="D101" s="676" t="s">
        <v>1058</v>
      </c>
      <c r="E101" s="676" t="s">
        <v>1373</v>
      </c>
      <c r="F101" s="680"/>
      <c r="G101" s="680"/>
      <c r="H101" s="702">
        <v>0</v>
      </c>
      <c r="I101" s="680">
        <v>1</v>
      </c>
      <c r="J101" s="680">
        <v>30.019999999999996</v>
      </c>
      <c r="K101" s="702">
        <v>1</v>
      </c>
      <c r="L101" s="680">
        <v>1</v>
      </c>
      <c r="M101" s="681">
        <v>30.019999999999996</v>
      </c>
    </row>
    <row r="102" spans="1:13" ht="14.4" customHeight="1" x14ac:dyDescent="0.3">
      <c r="A102" s="675" t="s">
        <v>497</v>
      </c>
      <c r="B102" s="676" t="s">
        <v>1602</v>
      </c>
      <c r="C102" s="676" t="s">
        <v>1603</v>
      </c>
      <c r="D102" s="676" t="s">
        <v>1098</v>
      </c>
      <c r="E102" s="676" t="s">
        <v>1099</v>
      </c>
      <c r="F102" s="680"/>
      <c r="G102" s="680"/>
      <c r="H102" s="702">
        <v>0</v>
      </c>
      <c r="I102" s="680">
        <v>2</v>
      </c>
      <c r="J102" s="680">
        <v>331.73000000000008</v>
      </c>
      <c r="K102" s="702">
        <v>1</v>
      </c>
      <c r="L102" s="680">
        <v>2</v>
      </c>
      <c r="M102" s="681">
        <v>331.73000000000008</v>
      </c>
    </row>
    <row r="103" spans="1:13" ht="14.4" customHeight="1" x14ac:dyDescent="0.3">
      <c r="A103" s="675" t="s">
        <v>497</v>
      </c>
      <c r="B103" s="676" t="s">
        <v>1602</v>
      </c>
      <c r="C103" s="676" t="s">
        <v>1604</v>
      </c>
      <c r="D103" s="676" t="s">
        <v>1101</v>
      </c>
      <c r="E103" s="676" t="s">
        <v>1097</v>
      </c>
      <c r="F103" s="680"/>
      <c r="G103" s="680"/>
      <c r="H103" s="702">
        <v>0</v>
      </c>
      <c r="I103" s="680">
        <v>27</v>
      </c>
      <c r="J103" s="680">
        <v>1104.8399999999999</v>
      </c>
      <c r="K103" s="702">
        <v>1</v>
      </c>
      <c r="L103" s="680">
        <v>27</v>
      </c>
      <c r="M103" s="681">
        <v>1104.8399999999999</v>
      </c>
    </row>
    <row r="104" spans="1:13" ht="14.4" customHeight="1" x14ac:dyDescent="0.3">
      <c r="A104" s="675" t="s">
        <v>497</v>
      </c>
      <c r="B104" s="676" t="s">
        <v>1602</v>
      </c>
      <c r="C104" s="676" t="s">
        <v>1605</v>
      </c>
      <c r="D104" s="676" t="s">
        <v>1102</v>
      </c>
      <c r="E104" s="676" t="s">
        <v>1097</v>
      </c>
      <c r="F104" s="680"/>
      <c r="G104" s="680"/>
      <c r="H104" s="702">
        <v>0</v>
      </c>
      <c r="I104" s="680">
        <v>65</v>
      </c>
      <c r="J104" s="680">
        <v>2659.8</v>
      </c>
      <c r="K104" s="702">
        <v>1</v>
      </c>
      <c r="L104" s="680">
        <v>65</v>
      </c>
      <c r="M104" s="681">
        <v>2659.8</v>
      </c>
    </row>
    <row r="105" spans="1:13" ht="14.4" customHeight="1" x14ac:dyDescent="0.3">
      <c r="A105" s="675" t="s">
        <v>497</v>
      </c>
      <c r="B105" s="676" t="s">
        <v>1602</v>
      </c>
      <c r="C105" s="676" t="s">
        <v>1606</v>
      </c>
      <c r="D105" s="676" t="s">
        <v>1098</v>
      </c>
      <c r="E105" s="676" t="s">
        <v>1097</v>
      </c>
      <c r="F105" s="680"/>
      <c r="G105" s="680"/>
      <c r="H105" s="702">
        <v>0</v>
      </c>
      <c r="I105" s="680">
        <v>8</v>
      </c>
      <c r="J105" s="680">
        <v>329.44</v>
      </c>
      <c r="K105" s="702">
        <v>1</v>
      </c>
      <c r="L105" s="680">
        <v>8</v>
      </c>
      <c r="M105" s="681">
        <v>329.44</v>
      </c>
    </row>
    <row r="106" spans="1:13" ht="14.4" customHeight="1" x14ac:dyDescent="0.3">
      <c r="A106" s="675" t="s">
        <v>497</v>
      </c>
      <c r="B106" s="676" t="s">
        <v>1602</v>
      </c>
      <c r="C106" s="676" t="s">
        <v>1607</v>
      </c>
      <c r="D106" s="676" t="s">
        <v>1608</v>
      </c>
      <c r="E106" s="676" t="s">
        <v>1097</v>
      </c>
      <c r="F106" s="680"/>
      <c r="G106" s="680"/>
      <c r="H106" s="702">
        <v>0</v>
      </c>
      <c r="I106" s="680">
        <v>8</v>
      </c>
      <c r="J106" s="680">
        <v>329.43999999999994</v>
      </c>
      <c r="K106" s="702">
        <v>1</v>
      </c>
      <c r="L106" s="680">
        <v>8</v>
      </c>
      <c r="M106" s="681">
        <v>329.43999999999994</v>
      </c>
    </row>
    <row r="107" spans="1:13" ht="14.4" customHeight="1" x14ac:dyDescent="0.3">
      <c r="A107" s="675" t="s">
        <v>497</v>
      </c>
      <c r="B107" s="676" t="s">
        <v>1602</v>
      </c>
      <c r="C107" s="676" t="s">
        <v>1609</v>
      </c>
      <c r="D107" s="676" t="s">
        <v>1124</v>
      </c>
      <c r="E107" s="676" t="s">
        <v>1610</v>
      </c>
      <c r="F107" s="680"/>
      <c r="G107" s="680"/>
      <c r="H107" s="702">
        <v>0</v>
      </c>
      <c r="I107" s="680">
        <v>16</v>
      </c>
      <c r="J107" s="680">
        <v>4723.3600000000006</v>
      </c>
      <c r="K107" s="702">
        <v>1</v>
      </c>
      <c r="L107" s="680">
        <v>16</v>
      </c>
      <c r="M107" s="681">
        <v>4723.3600000000006</v>
      </c>
    </row>
    <row r="108" spans="1:13" ht="14.4" customHeight="1" x14ac:dyDescent="0.3">
      <c r="A108" s="675" t="s">
        <v>497</v>
      </c>
      <c r="B108" s="676" t="s">
        <v>1602</v>
      </c>
      <c r="C108" s="676" t="s">
        <v>1611</v>
      </c>
      <c r="D108" s="676" t="s">
        <v>1129</v>
      </c>
      <c r="E108" s="676" t="s">
        <v>1610</v>
      </c>
      <c r="F108" s="680"/>
      <c r="G108" s="680"/>
      <c r="H108" s="702">
        <v>0</v>
      </c>
      <c r="I108" s="680">
        <v>16</v>
      </c>
      <c r="J108" s="680">
        <v>2503.8400000000006</v>
      </c>
      <c r="K108" s="702">
        <v>1</v>
      </c>
      <c r="L108" s="680">
        <v>16</v>
      </c>
      <c r="M108" s="681">
        <v>2503.8400000000006</v>
      </c>
    </row>
    <row r="109" spans="1:13" ht="14.4" customHeight="1" x14ac:dyDescent="0.3">
      <c r="A109" s="675" t="s">
        <v>497</v>
      </c>
      <c r="B109" s="676" t="s">
        <v>1602</v>
      </c>
      <c r="C109" s="676" t="s">
        <v>1612</v>
      </c>
      <c r="D109" s="676" t="s">
        <v>1110</v>
      </c>
      <c r="E109" s="676" t="s">
        <v>1613</v>
      </c>
      <c r="F109" s="680"/>
      <c r="G109" s="680"/>
      <c r="H109" s="702">
        <v>0</v>
      </c>
      <c r="I109" s="680">
        <v>7</v>
      </c>
      <c r="J109" s="680">
        <v>783.64963651221535</v>
      </c>
      <c r="K109" s="702">
        <v>1</v>
      </c>
      <c r="L109" s="680">
        <v>7</v>
      </c>
      <c r="M109" s="681">
        <v>783.64963651221535</v>
      </c>
    </row>
    <row r="110" spans="1:13" ht="14.4" customHeight="1" x14ac:dyDescent="0.3">
      <c r="A110" s="675" t="s">
        <v>497</v>
      </c>
      <c r="B110" s="676" t="s">
        <v>1602</v>
      </c>
      <c r="C110" s="676" t="s">
        <v>1614</v>
      </c>
      <c r="D110" s="676" t="s">
        <v>1115</v>
      </c>
      <c r="E110" s="676" t="s">
        <v>1613</v>
      </c>
      <c r="F110" s="680"/>
      <c r="G110" s="680"/>
      <c r="H110" s="702">
        <v>0</v>
      </c>
      <c r="I110" s="680">
        <v>6</v>
      </c>
      <c r="J110" s="680">
        <v>671.7003507988336</v>
      </c>
      <c r="K110" s="702">
        <v>1</v>
      </c>
      <c r="L110" s="680">
        <v>6</v>
      </c>
      <c r="M110" s="681">
        <v>671.7003507988336</v>
      </c>
    </row>
    <row r="111" spans="1:13" ht="14.4" customHeight="1" x14ac:dyDescent="0.3">
      <c r="A111" s="675" t="s">
        <v>497</v>
      </c>
      <c r="B111" s="676" t="s">
        <v>1602</v>
      </c>
      <c r="C111" s="676" t="s">
        <v>1615</v>
      </c>
      <c r="D111" s="676" t="s">
        <v>1112</v>
      </c>
      <c r="E111" s="676" t="s">
        <v>1613</v>
      </c>
      <c r="F111" s="680"/>
      <c r="G111" s="680"/>
      <c r="H111" s="702">
        <v>0</v>
      </c>
      <c r="I111" s="680">
        <v>4</v>
      </c>
      <c r="J111" s="680">
        <v>447.8</v>
      </c>
      <c r="K111" s="702">
        <v>1</v>
      </c>
      <c r="L111" s="680">
        <v>4</v>
      </c>
      <c r="M111" s="681">
        <v>447.8</v>
      </c>
    </row>
    <row r="112" spans="1:13" ht="14.4" customHeight="1" x14ac:dyDescent="0.3">
      <c r="A112" s="675" t="s">
        <v>497</v>
      </c>
      <c r="B112" s="676" t="s">
        <v>1602</v>
      </c>
      <c r="C112" s="676" t="s">
        <v>1616</v>
      </c>
      <c r="D112" s="676" t="s">
        <v>1617</v>
      </c>
      <c r="E112" s="676" t="s">
        <v>1613</v>
      </c>
      <c r="F112" s="680"/>
      <c r="G112" s="680"/>
      <c r="H112" s="702">
        <v>0</v>
      </c>
      <c r="I112" s="680">
        <v>2</v>
      </c>
      <c r="J112" s="680">
        <v>223.90000000000006</v>
      </c>
      <c r="K112" s="702">
        <v>1</v>
      </c>
      <c r="L112" s="680">
        <v>2</v>
      </c>
      <c r="M112" s="681">
        <v>223.90000000000006</v>
      </c>
    </row>
    <row r="113" spans="1:13" ht="14.4" customHeight="1" x14ac:dyDescent="0.3">
      <c r="A113" s="675" t="s">
        <v>497</v>
      </c>
      <c r="B113" s="676" t="s">
        <v>1602</v>
      </c>
      <c r="C113" s="676" t="s">
        <v>1618</v>
      </c>
      <c r="D113" s="676" t="s">
        <v>1120</v>
      </c>
      <c r="E113" s="676" t="s">
        <v>1099</v>
      </c>
      <c r="F113" s="680"/>
      <c r="G113" s="680"/>
      <c r="H113" s="702">
        <v>0</v>
      </c>
      <c r="I113" s="680">
        <v>9</v>
      </c>
      <c r="J113" s="680">
        <v>1104.2099999999998</v>
      </c>
      <c r="K113" s="702">
        <v>1</v>
      </c>
      <c r="L113" s="680">
        <v>9</v>
      </c>
      <c r="M113" s="681">
        <v>1104.2099999999998</v>
      </c>
    </row>
    <row r="114" spans="1:13" ht="14.4" customHeight="1" x14ac:dyDescent="0.3">
      <c r="A114" s="675" t="s">
        <v>497</v>
      </c>
      <c r="B114" s="676" t="s">
        <v>1602</v>
      </c>
      <c r="C114" s="676" t="s">
        <v>1619</v>
      </c>
      <c r="D114" s="676" t="s">
        <v>1118</v>
      </c>
      <c r="E114" s="676" t="s">
        <v>1099</v>
      </c>
      <c r="F114" s="680"/>
      <c r="G114" s="680"/>
      <c r="H114" s="702">
        <v>0</v>
      </c>
      <c r="I114" s="680">
        <v>7</v>
      </c>
      <c r="J114" s="680">
        <v>858.83</v>
      </c>
      <c r="K114" s="702">
        <v>1</v>
      </c>
      <c r="L114" s="680">
        <v>7</v>
      </c>
      <c r="M114" s="681">
        <v>858.83</v>
      </c>
    </row>
    <row r="115" spans="1:13" ht="14.4" customHeight="1" x14ac:dyDescent="0.3">
      <c r="A115" s="675" t="s">
        <v>497</v>
      </c>
      <c r="B115" s="676" t="s">
        <v>1602</v>
      </c>
      <c r="C115" s="676" t="s">
        <v>1620</v>
      </c>
      <c r="D115" s="676" t="s">
        <v>1117</v>
      </c>
      <c r="E115" s="676" t="s">
        <v>1099</v>
      </c>
      <c r="F115" s="680"/>
      <c r="G115" s="680"/>
      <c r="H115" s="702">
        <v>0</v>
      </c>
      <c r="I115" s="680">
        <v>4</v>
      </c>
      <c r="J115" s="680">
        <v>519.88000000000011</v>
      </c>
      <c r="K115" s="702">
        <v>1</v>
      </c>
      <c r="L115" s="680">
        <v>4</v>
      </c>
      <c r="M115" s="681">
        <v>519.88000000000011</v>
      </c>
    </row>
    <row r="116" spans="1:13" ht="14.4" customHeight="1" x14ac:dyDescent="0.3">
      <c r="A116" s="675" t="s">
        <v>497</v>
      </c>
      <c r="B116" s="676" t="s">
        <v>1602</v>
      </c>
      <c r="C116" s="676" t="s">
        <v>1621</v>
      </c>
      <c r="D116" s="676" t="s">
        <v>1116</v>
      </c>
      <c r="E116" s="676" t="s">
        <v>1099</v>
      </c>
      <c r="F116" s="680"/>
      <c r="G116" s="680"/>
      <c r="H116" s="702">
        <v>0</v>
      </c>
      <c r="I116" s="680">
        <v>11</v>
      </c>
      <c r="J116" s="680">
        <v>1429.67</v>
      </c>
      <c r="K116" s="702">
        <v>1</v>
      </c>
      <c r="L116" s="680">
        <v>11</v>
      </c>
      <c r="M116" s="681">
        <v>1429.67</v>
      </c>
    </row>
    <row r="117" spans="1:13" ht="14.4" customHeight="1" thickBot="1" x14ac:dyDescent="0.35">
      <c r="A117" s="682" t="s">
        <v>497</v>
      </c>
      <c r="B117" s="683" t="s">
        <v>1602</v>
      </c>
      <c r="C117" s="683" t="s">
        <v>1622</v>
      </c>
      <c r="D117" s="683" t="s">
        <v>1119</v>
      </c>
      <c r="E117" s="683" t="s">
        <v>1097</v>
      </c>
      <c r="F117" s="687"/>
      <c r="G117" s="687"/>
      <c r="H117" s="695">
        <v>0</v>
      </c>
      <c r="I117" s="687">
        <v>4</v>
      </c>
      <c r="J117" s="687">
        <v>122.67999999999998</v>
      </c>
      <c r="K117" s="695">
        <v>1</v>
      </c>
      <c r="L117" s="687">
        <v>4</v>
      </c>
      <c r="M117" s="688">
        <v>122.67999999999998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20" customWidth="1"/>
    <col min="2" max="2" width="5.44140625" style="310" bestFit="1" customWidth="1"/>
    <col min="3" max="3" width="6.109375" style="310" bestFit="1" customWidth="1"/>
    <col min="4" max="4" width="7.44140625" style="310" bestFit="1" customWidth="1"/>
    <col min="5" max="5" width="6.21875" style="310" bestFit="1" customWidth="1"/>
    <col min="6" max="6" width="6.33203125" style="313" bestFit="1" customWidth="1"/>
    <col min="7" max="7" width="6.109375" style="313" bestFit="1" customWidth="1"/>
    <col min="8" max="8" width="7.44140625" style="313" bestFit="1" customWidth="1"/>
    <col min="9" max="9" width="6.21875" style="313" bestFit="1" customWidth="1"/>
    <col min="10" max="10" width="5.44140625" style="310" bestFit="1" customWidth="1"/>
    <col min="11" max="11" width="6.109375" style="310" bestFit="1" customWidth="1"/>
    <col min="12" max="12" width="7.44140625" style="310" bestFit="1" customWidth="1"/>
    <col min="13" max="13" width="6.21875" style="310" bestFit="1" customWidth="1"/>
    <col min="14" max="14" width="5.33203125" style="313" bestFit="1" customWidth="1"/>
    <col min="15" max="15" width="6.109375" style="313" bestFit="1" customWidth="1"/>
    <col min="16" max="16" width="7.44140625" style="313" bestFit="1" customWidth="1"/>
    <col min="17" max="17" width="6.21875" style="313" bestFit="1" customWidth="1"/>
    <col min="18" max="16384" width="8.88671875" style="231"/>
  </cols>
  <sheetData>
    <row r="1" spans="1:17" ht="18.600000000000001" customHeight="1" thickBot="1" x14ac:dyDescent="0.4">
      <c r="A1" s="535" t="s">
        <v>226</v>
      </c>
      <c r="B1" s="535"/>
      <c r="C1" s="535"/>
      <c r="D1" s="535"/>
      <c r="E1" s="535"/>
      <c r="F1" s="497"/>
      <c r="G1" s="497"/>
      <c r="H1" s="497"/>
      <c r="I1" s="497"/>
      <c r="J1" s="528"/>
      <c r="K1" s="528"/>
      <c r="L1" s="528"/>
      <c r="M1" s="528"/>
      <c r="N1" s="528"/>
      <c r="O1" s="528"/>
      <c r="P1" s="528"/>
      <c r="Q1" s="528"/>
    </row>
    <row r="2" spans="1:17" ht="14.4" customHeight="1" thickBot="1" x14ac:dyDescent="0.35">
      <c r="A2" s="351" t="s">
        <v>288</v>
      </c>
      <c r="B2" s="317"/>
      <c r="C2" s="317"/>
      <c r="D2" s="317"/>
      <c r="E2" s="317"/>
    </row>
    <row r="3" spans="1:17" ht="14.4" customHeight="1" thickBot="1" x14ac:dyDescent="0.35">
      <c r="A3" s="409" t="s">
        <v>3</v>
      </c>
      <c r="B3" s="413">
        <f>SUM(B6:B1048576)</f>
        <v>1599</v>
      </c>
      <c r="C3" s="414">
        <f>SUM(C6:C1048576)</f>
        <v>595</v>
      </c>
      <c r="D3" s="414">
        <f>SUM(D6:D1048576)</f>
        <v>1015</v>
      </c>
      <c r="E3" s="415">
        <f>SUM(E6:E1048576)</f>
        <v>0</v>
      </c>
      <c r="F3" s="412">
        <f>IF(SUM($B3:$E3)=0,"",B3/SUM($B3:$E3))</f>
        <v>0.4982860704269243</v>
      </c>
      <c r="G3" s="410">
        <f t="shared" ref="G3:I3" si="0">IF(SUM($B3:$E3)=0,"",C3/SUM($B3:$E3))</f>
        <v>0.18541601745091929</v>
      </c>
      <c r="H3" s="410">
        <f t="shared" si="0"/>
        <v>0.31629791212215641</v>
      </c>
      <c r="I3" s="411">
        <f t="shared" si="0"/>
        <v>0</v>
      </c>
      <c r="J3" s="414">
        <f>SUM(J6:J1048576)</f>
        <v>105</v>
      </c>
      <c r="K3" s="414">
        <f>SUM(K6:K1048576)</f>
        <v>226</v>
      </c>
      <c r="L3" s="414">
        <f>SUM(L6:L1048576)</f>
        <v>1015</v>
      </c>
      <c r="M3" s="415">
        <f>SUM(M6:M1048576)</f>
        <v>0</v>
      </c>
      <c r="N3" s="412">
        <f>IF(SUM($J3:$M3)=0,"",J3/SUM($J3:$M3))</f>
        <v>7.8008915304606241E-2</v>
      </c>
      <c r="O3" s="410">
        <f t="shared" ref="O3:Q3" si="1">IF(SUM($J3:$M3)=0,"",K3/SUM($J3:$M3))</f>
        <v>0.16790490341753342</v>
      </c>
      <c r="P3" s="410">
        <f t="shared" si="1"/>
        <v>0.75408618127786031</v>
      </c>
      <c r="Q3" s="411">
        <f t="shared" si="1"/>
        <v>0</v>
      </c>
    </row>
    <row r="4" spans="1:17" ht="14.4" customHeight="1" thickBot="1" x14ac:dyDescent="0.35">
      <c r="A4" s="408"/>
      <c r="B4" s="548" t="s">
        <v>228</v>
      </c>
      <c r="C4" s="549"/>
      <c r="D4" s="549"/>
      <c r="E4" s="550"/>
      <c r="F4" s="545" t="s">
        <v>233</v>
      </c>
      <c r="G4" s="546"/>
      <c r="H4" s="546"/>
      <c r="I4" s="547"/>
      <c r="J4" s="548" t="s">
        <v>234</v>
      </c>
      <c r="K4" s="549"/>
      <c r="L4" s="549"/>
      <c r="M4" s="550"/>
      <c r="N4" s="545" t="s">
        <v>235</v>
      </c>
      <c r="O4" s="546"/>
      <c r="P4" s="546"/>
      <c r="Q4" s="547"/>
    </row>
    <row r="5" spans="1:17" ht="14.4" customHeight="1" thickBot="1" x14ac:dyDescent="0.35">
      <c r="A5" s="712" t="s">
        <v>227</v>
      </c>
      <c r="B5" s="713" t="s">
        <v>229</v>
      </c>
      <c r="C5" s="713" t="s">
        <v>230</v>
      </c>
      <c r="D5" s="713" t="s">
        <v>231</v>
      </c>
      <c r="E5" s="714" t="s">
        <v>232</v>
      </c>
      <c r="F5" s="715" t="s">
        <v>229</v>
      </c>
      <c r="G5" s="716" t="s">
        <v>230</v>
      </c>
      <c r="H5" s="716" t="s">
        <v>231</v>
      </c>
      <c r="I5" s="717" t="s">
        <v>232</v>
      </c>
      <c r="J5" s="713" t="s">
        <v>229</v>
      </c>
      <c r="K5" s="713" t="s">
        <v>230</v>
      </c>
      <c r="L5" s="713" t="s">
        <v>231</v>
      </c>
      <c r="M5" s="714" t="s">
        <v>232</v>
      </c>
      <c r="N5" s="715" t="s">
        <v>229</v>
      </c>
      <c r="O5" s="716" t="s">
        <v>230</v>
      </c>
      <c r="P5" s="716" t="s">
        <v>231</v>
      </c>
      <c r="Q5" s="717" t="s">
        <v>232</v>
      </c>
    </row>
    <row r="6" spans="1:17" ht="14.4" customHeight="1" x14ac:dyDescent="0.3">
      <c r="A6" s="720" t="s">
        <v>1624</v>
      </c>
      <c r="B6" s="724"/>
      <c r="C6" s="673"/>
      <c r="D6" s="673"/>
      <c r="E6" s="674"/>
      <c r="F6" s="722"/>
      <c r="G6" s="694"/>
      <c r="H6" s="694"/>
      <c r="I6" s="726"/>
      <c r="J6" s="724"/>
      <c r="K6" s="673"/>
      <c r="L6" s="673"/>
      <c r="M6" s="674"/>
      <c r="N6" s="722"/>
      <c r="O6" s="694"/>
      <c r="P6" s="694"/>
      <c r="Q6" s="718"/>
    </row>
    <row r="7" spans="1:17" ht="14.4" customHeight="1" thickBot="1" x14ac:dyDescent="0.35">
      <c r="A7" s="721" t="s">
        <v>1625</v>
      </c>
      <c r="B7" s="725">
        <v>1599</v>
      </c>
      <c r="C7" s="687">
        <v>595</v>
      </c>
      <c r="D7" s="687">
        <v>1015</v>
      </c>
      <c r="E7" s="688"/>
      <c r="F7" s="723">
        <v>0.4982860704269243</v>
      </c>
      <c r="G7" s="695">
        <v>0.18541601745091929</v>
      </c>
      <c r="H7" s="695">
        <v>0.31629791212215641</v>
      </c>
      <c r="I7" s="727">
        <v>0</v>
      </c>
      <c r="J7" s="725">
        <v>105</v>
      </c>
      <c r="K7" s="687">
        <v>226</v>
      </c>
      <c r="L7" s="687">
        <v>1015</v>
      </c>
      <c r="M7" s="688"/>
      <c r="N7" s="723">
        <v>7.8008915304606241E-2</v>
      </c>
      <c r="O7" s="695">
        <v>0.16790490341753342</v>
      </c>
      <c r="P7" s="695">
        <v>0.75408618127786031</v>
      </c>
      <c r="Q7" s="71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26" t="s">
        <v>159</v>
      </c>
      <c r="B1" s="527"/>
      <c r="C1" s="527"/>
      <c r="D1" s="527"/>
      <c r="E1" s="527"/>
      <c r="F1" s="527"/>
      <c r="G1" s="497"/>
      <c r="H1" s="528"/>
      <c r="I1" s="528"/>
    </row>
    <row r="2" spans="1:10" ht="14.4" customHeight="1" thickBot="1" x14ac:dyDescent="0.35">
      <c r="A2" s="351" t="s">
        <v>288</v>
      </c>
      <c r="B2" s="309"/>
      <c r="C2" s="309"/>
      <c r="D2" s="309"/>
      <c r="E2" s="309"/>
      <c r="F2" s="309"/>
    </row>
    <row r="3" spans="1:10" ht="14.4" customHeight="1" thickBot="1" x14ac:dyDescent="0.35">
      <c r="A3" s="351"/>
      <c r="B3" s="452"/>
      <c r="C3" s="395">
        <v>2015</v>
      </c>
      <c r="D3" s="396">
        <v>2016</v>
      </c>
      <c r="E3" s="11"/>
      <c r="F3" s="505">
        <v>2017</v>
      </c>
      <c r="G3" s="523"/>
      <c r="H3" s="523"/>
      <c r="I3" s="506"/>
    </row>
    <row r="4" spans="1:10" ht="14.4" customHeight="1" thickBot="1" x14ac:dyDescent="0.35">
      <c r="A4" s="400" t="s">
        <v>0</v>
      </c>
      <c r="B4" s="401" t="s">
        <v>224</v>
      </c>
      <c r="C4" s="524" t="s">
        <v>81</v>
      </c>
      <c r="D4" s="525"/>
      <c r="E4" s="402"/>
      <c r="F4" s="397" t="s">
        <v>81</v>
      </c>
      <c r="G4" s="398" t="s">
        <v>82</v>
      </c>
      <c r="H4" s="398" t="s">
        <v>56</v>
      </c>
      <c r="I4" s="399" t="s">
        <v>83</v>
      </c>
    </row>
    <row r="5" spans="1:10" ht="14.4" customHeight="1" x14ac:dyDescent="0.3">
      <c r="A5" s="655" t="s">
        <v>484</v>
      </c>
      <c r="B5" s="656" t="s">
        <v>485</v>
      </c>
      <c r="C5" s="657" t="s">
        <v>486</v>
      </c>
      <c r="D5" s="657" t="s">
        <v>486</v>
      </c>
      <c r="E5" s="657"/>
      <c r="F5" s="657" t="s">
        <v>486</v>
      </c>
      <c r="G5" s="657" t="s">
        <v>486</v>
      </c>
      <c r="H5" s="657" t="s">
        <v>486</v>
      </c>
      <c r="I5" s="658" t="s">
        <v>486</v>
      </c>
      <c r="J5" s="659" t="s">
        <v>61</v>
      </c>
    </row>
    <row r="6" spans="1:10" ht="14.4" customHeight="1" x14ac:dyDescent="0.3">
      <c r="A6" s="655" t="s">
        <v>484</v>
      </c>
      <c r="B6" s="656" t="s">
        <v>1626</v>
      </c>
      <c r="C6" s="657">
        <v>213.06233</v>
      </c>
      <c r="D6" s="657">
        <v>203.43225000000001</v>
      </c>
      <c r="E6" s="657"/>
      <c r="F6" s="657">
        <v>224.01862</v>
      </c>
      <c r="G6" s="657">
        <v>260.18903125000003</v>
      </c>
      <c r="H6" s="657">
        <v>-36.170411250000029</v>
      </c>
      <c r="I6" s="658">
        <v>0.86098410422518523</v>
      </c>
      <c r="J6" s="659" t="s">
        <v>1</v>
      </c>
    </row>
    <row r="7" spans="1:10" ht="14.4" customHeight="1" x14ac:dyDescent="0.3">
      <c r="A7" s="655" t="s">
        <v>484</v>
      </c>
      <c r="B7" s="656" t="s">
        <v>1627</v>
      </c>
      <c r="C7" s="657">
        <v>0.55162999999999995</v>
      </c>
      <c r="D7" s="657">
        <v>0</v>
      </c>
      <c r="E7" s="657"/>
      <c r="F7" s="657">
        <v>0.14349999999999999</v>
      </c>
      <c r="G7" s="657">
        <v>0.5</v>
      </c>
      <c r="H7" s="657">
        <v>-0.35650000000000004</v>
      </c>
      <c r="I7" s="658">
        <v>0.28699999999999998</v>
      </c>
      <c r="J7" s="659" t="s">
        <v>1</v>
      </c>
    </row>
    <row r="8" spans="1:10" ht="14.4" customHeight="1" x14ac:dyDescent="0.3">
      <c r="A8" s="655" t="s">
        <v>484</v>
      </c>
      <c r="B8" s="656" t="s">
        <v>1628</v>
      </c>
      <c r="C8" s="657">
        <v>190.44251</v>
      </c>
      <c r="D8" s="657">
        <v>230.95709999999985</v>
      </c>
      <c r="E8" s="657"/>
      <c r="F8" s="657">
        <v>227.06777000000002</v>
      </c>
      <c r="G8" s="657">
        <v>278.17615625000002</v>
      </c>
      <c r="H8" s="657">
        <v>-51.108386249999995</v>
      </c>
      <c r="I8" s="658">
        <v>0.8162733034384575</v>
      </c>
      <c r="J8" s="659" t="s">
        <v>1</v>
      </c>
    </row>
    <row r="9" spans="1:10" ht="14.4" customHeight="1" x14ac:dyDescent="0.3">
      <c r="A9" s="655" t="s">
        <v>484</v>
      </c>
      <c r="B9" s="656" t="s">
        <v>1629</v>
      </c>
      <c r="C9" s="657">
        <v>1070.9081899999996</v>
      </c>
      <c r="D9" s="657">
        <v>1134.3902599999999</v>
      </c>
      <c r="E9" s="657"/>
      <c r="F9" s="657">
        <v>1406.5223899999996</v>
      </c>
      <c r="G9" s="657">
        <v>1232.8244999999999</v>
      </c>
      <c r="H9" s="657">
        <v>173.69788999999969</v>
      </c>
      <c r="I9" s="658">
        <v>1.1408942554272727</v>
      </c>
      <c r="J9" s="659" t="s">
        <v>1</v>
      </c>
    </row>
    <row r="10" spans="1:10" ht="14.4" customHeight="1" x14ac:dyDescent="0.3">
      <c r="A10" s="655" t="s">
        <v>484</v>
      </c>
      <c r="B10" s="656" t="s">
        <v>1630</v>
      </c>
      <c r="C10" s="657">
        <v>51.840960000000003</v>
      </c>
      <c r="D10" s="657">
        <v>74.38682</v>
      </c>
      <c r="E10" s="657"/>
      <c r="F10" s="657">
        <v>116.45312</v>
      </c>
      <c r="G10" s="657">
        <v>102.60076562499999</v>
      </c>
      <c r="H10" s="657">
        <v>13.852354375000004</v>
      </c>
      <c r="I10" s="658">
        <v>1.1350121930437593</v>
      </c>
      <c r="J10" s="659" t="s">
        <v>1</v>
      </c>
    </row>
    <row r="11" spans="1:10" ht="14.4" customHeight="1" x14ac:dyDescent="0.3">
      <c r="A11" s="655" t="s">
        <v>484</v>
      </c>
      <c r="B11" s="656" t="s">
        <v>1631</v>
      </c>
      <c r="C11" s="657">
        <v>17.863939999999999</v>
      </c>
      <c r="D11" s="657">
        <v>7.0171200000000011</v>
      </c>
      <c r="E11" s="657"/>
      <c r="F11" s="657">
        <v>11.378700000000002</v>
      </c>
      <c r="G11" s="657">
        <v>15.2257529296875</v>
      </c>
      <c r="H11" s="657">
        <v>-3.8470529296874982</v>
      </c>
      <c r="I11" s="658">
        <v>0.7473324999129316</v>
      </c>
      <c r="J11" s="659" t="s">
        <v>1</v>
      </c>
    </row>
    <row r="12" spans="1:10" ht="14.4" customHeight="1" x14ac:dyDescent="0.3">
      <c r="A12" s="655" t="s">
        <v>484</v>
      </c>
      <c r="B12" s="656" t="s">
        <v>1632</v>
      </c>
      <c r="C12" s="657">
        <v>17.367440000000002</v>
      </c>
      <c r="D12" s="657">
        <v>15.359950000000001</v>
      </c>
      <c r="E12" s="657"/>
      <c r="F12" s="657">
        <v>14.10943</v>
      </c>
      <c r="G12" s="657">
        <v>30.131335937500001</v>
      </c>
      <c r="H12" s="657">
        <v>-16.021905937500001</v>
      </c>
      <c r="I12" s="658">
        <v>0.46826433548338248</v>
      </c>
      <c r="J12" s="659" t="s">
        <v>1</v>
      </c>
    </row>
    <row r="13" spans="1:10" ht="14.4" customHeight="1" x14ac:dyDescent="0.3">
      <c r="A13" s="655" t="s">
        <v>484</v>
      </c>
      <c r="B13" s="656" t="s">
        <v>1633</v>
      </c>
      <c r="C13" s="657">
        <v>107.15859999999999</v>
      </c>
      <c r="D13" s="657">
        <v>104.21875999999997</v>
      </c>
      <c r="E13" s="657"/>
      <c r="F13" s="657">
        <v>130.83416</v>
      </c>
      <c r="G13" s="657">
        <v>182.38304687499999</v>
      </c>
      <c r="H13" s="657">
        <v>-51.548886874999994</v>
      </c>
      <c r="I13" s="658">
        <v>0.71735921864311158</v>
      </c>
      <c r="J13" s="659" t="s">
        <v>1</v>
      </c>
    </row>
    <row r="14" spans="1:10" ht="14.4" customHeight="1" x14ac:dyDescent="0.3">
      <c r="A14" s="655" t="s">
        <v>484</v>
      </c>
      <c r="B14" s="656" t="s">
        <v>1634</v>
      </c>
      <c r="C14" s="657">
        <v>116.69393000000001</v>
      </c>
      <c r="D14" s="657">
        <v>77.376000000000005</v>
      </c>
      <c r="E14" s="657"/>
      <c r="F14" s="657">
        <v>102.1789</v>
      </c>
      <c r="G14" s="657">
        <v>104.96675</v>
      </c>
      <c r="H14" s="657">
        <v>-2.7878500000000059</v>
      </c>
      <c r="I14" s="658">
        <v>0.97344063715414642</v>
      </c>
      <c r="J14" s="659" t="s">
        <v>1</v>
      </c>
    </row>
    <row r="15" spans="1:10" ht="14.4" customHeight="1" x14ac:dyDescent="0.3">
      <c r="A15" s="655" t="s">
        <v>484</v>
      </c>
      <c r="B15" s="656" t="s">
        <v>1635</v>
      </c>
      <c r="C15" s="657">
        <v>71.767930000000007</v>
      </c>
      <c r="D15" s="657">
        <v>104.03948999999999</v>
      </c>
      <c r="E15" s="657"/>
      <c r="F15" s="657">
        <v>122.88469000000002</v>
      </c>
      <c r="G15" s="657">
        <v>137.52059374999999</v>
      </c>
      <c r="H15" s="657">
        <v>-14.635903749999969</v>
      </c>
      <c r="I15" s="658">
        <v>0.89357300349788538</v>
      </c>
      <c r="J15" s="659" t="s">
        <v>1</v>
      </c>
    </row>
    <row r="16" spans="1:10" ht="14.4" customHeight="1" x14ac:dyDescent="0.3">
      <c r="A16" s="655" t="s">
        <v>484</v>
      </c>
      <c r="B16" s="656" t="s">
        <v>1636</v>
      </c>
      <c r="C16" s="657">
        <v>1.41018</v>
      </c>
      <c r="D16" s="657">
        <v>2.0035299999999996</v>
      </c>
      <c r="E16" s="657"/>
      <c r="F16" s="657">
        <v>0.37239999999999995</v>
      </c>
      <c r="G16" s="657">
        <v>4.3470610351562504</v>
      </c>
      <c r="H16" s="657">
        <v>-3.9746610351562506</v>
      </c>
      <c r="I16" s="658">
        <v>8.5667074142338206E-2</v>
      </c>
      <c r="J16" s="659" t="s">
        <v>1</v>
      </c>
    </row>
    <row r="17" spans="1:10" ht="14.4" customHeight="1" x14ac:dyDescent="0.3">
      <c r="A17" s="655" t="s">
        <v>484</v>
      </c>
      <c r="B17" s="656" t="s">
        <v>495</v>
      </c>
      <c r="C17" s="657">
        <v>1859.0676399999995</v>
      </c>
      <c r="D17" s="657">
        <v>1953.1812799999996</v>
      </c>
      <c r="E17" s="657"/>
      <c r="F17" s="657">
        <v>2355.9636799999994</v>
      </c>
      <c r="G17" s="657">
        <v>2348.8649936523439</v>
      </c>
      <c r="H17" s="657">
        <v>7.09868634765553</v>
      </c>
      <c r="I17" s="658">
        <v>1.0030221772502206</v>
      </c>
      <c r="J17" s="659" t="s">
        <v>496</v>
      </c>
    </row>
    <row r="19" spans="1:10" ht="14.4" customHeight="1" x14ac:dyDescent="0.3">
      <c r="A19" s="655" t="s">
        <v>484</v>
      </c>
      <c r="B19" s="656" t="s">
        <v>485</v>
      </c>
      <c r="C19" s="657" t="s">
        <v>486</v>
      </c>
      <c r="D19" s="657" t="s">
        <v>486</v>
      </c>
      <c r="E19" s="657"/>
      <c r="F19" s="657" t="s">
        <v>486</v>
      </c>
      <c r="G19" s="657" t="s">
        <v>486</v>
      </c>
      <c r="H19" s="657" t="s">
        <v>486</v>
      </c>
      <c r="I19" s="658" t="s">
        <v>486</v>
      </c>
      <c r="J19" s="659" t="s">
        <v>61</v>
      </c>
    </row>
    <row r="20" spans="1:10" ht="14.4" customHeight="1" x14ac:dyDescent="0.3">
      <c r="A20" s="655" t="s">
        <v>497</v>
      </c>
      <c r="B20" s="656" t="s">
        <v>498</v>
      </c>
      <c r="C20" s="657" t="s">
        <v>486</v>
      </c>
      <c r="D20" s="657" t="s">
        <v>486</v>
      </c>
      <c r="E20" s="657"/>
      <c r="F20" s="657" t="s">
        <v>486</v>
      </c>
      <c r="G20" s="657" t="s">
        <v>486</v>
      </c>
      <c r="H20" s="657" t="s">
        <v>486</v>
      </c>
      <c r="I20" s="658" t="s">
        <v>486</v>
      </c>
      <c r="J20" s="659" t="s">
        <v>0</v>
      </c>
    </row>
    <row r="21" spans="1:10" ht="14.4" customHeight="1" x14ac:dyDescent="0.3">
      <c r="A21" s="655" t="s">
        <v>497</v>
      </c>
      <c r="B21" s="656" t="s">
        <v>1626</v>
      </c>
      <c r="C21" s="657">
        <v>213.06233</v>
      </c>
      <c r="D21" s="657">
        <v>203.43225000000001</v>
      </c>
      <c r="E21" s="657"/>
      <c r="F21" s="657">
        <v>224.01862</v>
      </c>
      <c r="G21" s="657">
        <v>260</v>
      </c>
      <c r="H21" s="657">
        <v>-35.981380000000001</v>
      </c>
      <c r="I21" s="658">
        <v>0.8616100769230769</v>
      </c>
      <c r="J21" s="659" t="s">
        <v>1</v>
      </c>
    </row>
    <row r="22" spans="1:10" ht="14.4" customHeight="1" x14ac:dyDescent="0.3">
      <c r="A22" s="655" t="s">
        <v>497</v>
      </c>
      <c r="B22" s="656" t="s">
        <v>1627</v>
      </c>
      <c r="C22" s="657">
        <v>0.55162999999999995</v>
      </c>
      <c r="D22" s="657">
        <v>0</v>
      </c>
      <c r="E22" s="657"/>
      <c r="F22" s="657">
        <v>0.14349999999999999</v>
      </c>
      <c r="G22" s="657">
        <v>1</v>
      </c>
      <c r="H22" s="657">
        <v>-0.85650000000000004</v>
      </c>
      <c r="I22" s="658">
        <v>0.14349999999999999</v>
      </c>
      <c r="J22" s="659" t="s">
        <v>1</v>
      </c>
    </row>
    <row r="23" spans="1:10" ht="14.4" customHeight="1" x14ac:dyDescent="0.3">
      <c r="A23" s="655" t="s">
        <v>497</v>
      </c>
      <c r="B23" s="656" t="s">
        <v>1628</v>
      </c>
      <c r="C23" s="657">
        <v>190.44251</v>
      </c>
      <c r="D23" s="657">
        <v>230.95709999999985</v>
      </c>
      <c r="E23" s="657"/>
      <c r="F23" s="657">
        <v>227.06777000000002</v>
      </c>
      <c r="G23" s="657">
        <v>278</v>
      </c>
      <c r="H23" s="657">
        <v>-50.932229999999976</v>
      </c>
      <c r="I23" s="658">
        <v>0.81679053956834546</v>
      </c>
      <c r="J23" s="659" t="s">
        <v>1</v>
      </c>
    </row>
    <row r="24" spans="1:10" ht="14.4" customHeight="1" x14ac:dyDescent="0.3">
      <c r="A24" s="655" t="s">
        <v>497</v>
      </c>
      <c r="B24" s="656" t="s">
        <v>1629</v>
      </c>
      <c r="C24" s="657">
        <v>1070.9081899999996</v>
      </c>
      <c r="D24" s="657">
        <v>1134.3902599999999</v>
      </c>
      <c r="E24" s="657"/>
      <c r="F24" s="657">
        <v>1406.5223899999996</v>
      </c>
      <c r="G24" s="657">
        <v>1233</v>
      </c>
      <c r="H24" s="657">
        <v>173.52238999999963</v>
      </c>
      <c r="I24" s="658">
        <v>1.1407318653690184</v>
      </c>
      <c r="J24" s="659" t="s">
        <v>1</v>
      </c>
    </row>
    <row r="25" spans="1:10" ht="14.4" customHeight="1" x14ac:dyDescent="0.3">
      <c r="A25" s="655" t="s">
        <v>497</v>
      </c>
      <c r="B25" s="656" t="s">
        <v>1630</v>
      </c>
      <c r="C25" s="657">
        <v>51.840960000000003</v>
      </c>
      <c r="D25" s="657">
        <v>74.38682</v>
      </c>
      <c r="E25" s="657"/>
      <c r="F25" s="657">
        <v>116.45312</v>
      </c>
      <c r="G25" s="657">
        <v>103</v>
      </c>
      <c r="H25" s="657">
        <v>13.453119999999998</v>
      </c>
      <c r="I25" s="658">
        <v>1.1306128155339805</v>
      </c>
      <c r="J25" s="659" t="s">
        <v>1</v>
      </c>
    </row>
    <row r="26" spans="1:10" ht="14.4" customHeight="1" x14ac:dyDescent="0.3">
      <c r="A26" s="655" t="s">
        <v>497</v>
      </c>
      <c r="B26" s="656" t="s">
        <v>1631</v>
      </c>
      <c r="C26" s="657">
        <v>17.863939999999999</v>
      </c>
      <c r="D26" s="657">
        <v>7.0171200000000011</v>
      </c>
      <c r="E26" s="657"/>
      <c r="F26" s="657">
        <v>11.378700000000002</v>
      </c>
      <c r="G26" s="657">
        <v>15</v>
      </c>
      <c r="H26" s="657">
        <v>-3.621299999999998</v>
      </c>
      <c r="I26" s="658">
        <v>0.75858000000000014</v>
      </c>
      <c r="J26" s="659" t="s">
        <v>1</v>
      </c>
    </row>
    <row r="27" spans="1:10" ht="14.4" customHeight="1" x14ac:dyDescent="0.3">
      <c r="A27" s="655" t="s">
        <v>497</v>
      </c>
      <c r="B27" s="656" t="s">
        <v>1632</v>
      </c>
      <c r="C27" s="657">
        <v>17.367440000000002</v>
      </c>
      <c r="D27" s="657">
        <v>15.359950000000001</v>
      </c>
      <c r="E27" s="657"/>
      <c r="F27" s="657">
        <v>14.10943</v>
      </c>
      <c r="G27" s="657">
        <v>30</v>
      </c>
      <c r="H27" s="657">
        <v>-15.89057</v>
      </c>
      <c r="I27" s="658">
        <v>0.47031433333333333</v>
      </c>
      <c r="J27" s="659" t="s">
        <v>1</v>
      </c>
    </row>
    <row r="28" spans="1:10" ht="14.4" customHeight="1" x14ac:dyDescent="0.3">
      <c r="A28" s="655" t="s">
        <v>497</v>
      </c>
      <c r="B28" s="656" t="s">
        <v>1633</v>
      </c>
      <c r="C28" s="657">
        <v>107.15859999999999</v>
      </c>
      <c r="D28" s="657">
        <v>104.21875999999997</v>
      </c>
      <c r="E28" s="657"/>
      <c r="F28" s="657">
        <v>130.83416</v>
      </c>
      <c r="G28" s="657">
        <v>182</v>
      </c>
      <c r="H28" s="657">
        <v>-51.165840000000003</v>
      </c>
      <c r="I28" s="658">
        <v>0.71886901098901101</v>
      </c>
      <c r="J28" s="659" t="s">
        <v>1</v>
      </c>
    </row>
    <row r="29" spans="1:10" ht="14.4" customHeight="1" x14ac:dyDescent="0.3">
      <c r="A29" s="655" t="s">
        <v>497</v>
      </c>
      <c r="B29" s="656" t="s">
        <v>1634</v>
      </c>
      <c r="C29" s="657">
        <v>116.69393000000001</v>
      </c>
      <c r="D29" s="657">
        <v>77.376000000000005</v>
      </c>
      <c r="E29" s="657"/>
      <c r="F29" s="657">
        <v>102.1789</v>
      </c>
      <c r="G29" s="657">
        <v>105</v>
      </c>
      <c r="H29" s="657">
        <v>-2.8211000000000013</v>
      </c>
      <c r="I29" s="658">
        <v>0.97313238095238097</v>
      </c>
      <c r="J29" s="659" t="s">
        <v>1</v>
      </c>
    </row>
    <row r="30" spans="1:10" ht="14.4" customHeight="1" x14ac:dyDescent="0.3">
      <c r="A30" s="655" t="s">
        <v>497</v>
      </c>
      <c r="B30" s="656" t="s">
        <v>1635</v>
      </c>
      <c r="C30" s="657">
        <v>71.767930000000007</v>
      </c>
      <c r="D30" s="657">
        <v>104.03948999999999</v>
      </c>
      <c r="E30" s="657"/>
      <c r="F30" s="657">
        <v>122.88469000000002</v>
      </c>
      <c r="G30" s="657">
        <v>138</v>
      </c>
      <c r="H30" s="657">
        <v>-15.11530999999998</v>
      </c>
      <c r="I30" s="658">
        <v>0.89046876811594222</v>
      </c>
      <c r="J30" s="659" t="s">
        <v>1</v>
      </c>
    </row>
    <row r="31" spans="1:10" ht="14.4" customHeight="1" x14ac:dyDescent="0.3">
      <c r="A31" s="655" t="s">
        <v>497</v>
      </c>
      <c r="B31" s="656" t="s">
        <v>1636</v>
      </c>
      <c r="C31" s="657">
        <v>1.41018</v>
      </c>
      <c r="D31" s="657">
        <v>2.0035299999999996</v>
      </c>
      <c r="E31" s="657"/>
      <c r="F31" s="657">
        <v>0.37239999999999995</v>
      </c>
      <c r="G31" s="657">
        <v>4</v>
      </c>
      <c r="H31" s="657">
        <v>-3.6276000000000002</v>
      </c>
      <c r="I31" s="658">
        <v>9.3099999999999988E-2</v>
      </c>
      <c r="J31" s="659" t="s">
        <v>1</v>
      </c>
    </row>
    <row r="32" spans="1:10" ht="14.4" customHeight="1" x14ac:dyDescent="0.3">
      <c r="A32" s="655" t="s">
        <v>497</v>
      </c>
      <c r="B32" s="656" t="s">
        <v>499</v>
      </c>
      <c r="C32" s="657">
        <v>1859.0676399999995</v>
      </c>
      <c r="D32" s="657">
        <v>1953.1812799999996</v>
      </c>
      <c r="E32" s="657"/>
      <c r="F32" s="657">
        <v>2355.9636799999994</v>
      </c>
      <c r="G32" s="657">
        <v>2349</v>
      </c>
      <c r="H32" s="657">
        <v>6.9636799999993855</v>
      </c>
      <c r="I32" s="658">
        <v>1.002964529587058</v>
      </c>
      <c r="J32" s="659" t="s">
        <v>500</v>
      </c>
    </row>
    <row r="33" spans="1:10" ht="14.4" customHeight="1" x14ac:dyDescent="0.3">
      <c r="A33" s="655" t="s">
        <v>486</v>
      </c>
      <c r="B33" s="656" t="s">
        <v>486</v>
      </c>
      <c r="C33" s="657" t="s">
        <v>486</v>
      </c>
      <c r="D33" s="657" t="s">
        <v>486</v>
      </c>
      <c r="E33" s="657"/>
      <c r="F33" s="657" t="s">
        <v>486</v>
      </c>
      <c r="G33" s="657" t="s">
        <v>486</v>
      </c>
      <c r="H33" s="657" t="s">
        <v>486</v>
      </c>
      <c r="I33" s="658" t="s">
        <v>486</v>
      </c>
      <c r="J33" s="659" t="s">
        <v>501</v>
      </c>
    </row>
    <row r="34" spans="1:10" ht="14.4" customHeight="1" x14ac:dyDescent="0.3">
      <c r="A34" s="655" t="s">
        <v>484</v>
      </c>
      <c r="B34" s="656" t="s">
        <v>495</v>
      </c>
      <c r="C34" s="657">
        <v>1859.0676399999995</v>
      </c>
      <c r="D34" s="657">
        <v>1953.1812799999996</v>
      </c>
      <c r="E34" s="657"/>
      <c r="F34" s="657">
        <v>2355.9636799999994</v>
      </c>
      <c r="G34" s="657">
        <v>2349</v>
      </c>
      <c r="H34" s="657">
        <v>6.9636799999993855</v>
      </c>
      <c r="I34" s="658">
        <v>1.002964529587058</v>
      </c>
      <c r="J34" s="659" t="s">
        <v>496</v>
      </c>
    </row>
  </sheetData>
  <mergeCells count="3">
    <mergeCell ref="A1:I1"/>
    <mergeCell ref="F3:I3"/>
    <mergeCell ref="C4:D4"/>
  </mergeCells>
  <conditionalFormatting sqref="F18 F35:F65537">
    <cfRule type="cellIs" dxfId="45" priority="18" stopIfTrue="1" operator="greaterThan">
      <formula>1</formula>
    </cfRule>
  </conditionalFormatting>
  <conditionalFormatting sqref="H5:H17">
    <cfRule type="expression" dxfId="44" priority="14">
      <formula>$H5&gt;0</formula>
    </cfRule>
  </conditionalFormatting>
  <conditionalFormatting sqref="I5:I17">
    <cfRule type="expression" dxfId="43" priority="15">
      <formula>$I5&gt;1</formula>
    </cfRule>
  </conditionalFormatting>
  <conditionalFormatting sqref="B5:B17">
    <cfRule type="expression" dxfId="42" priority="11">
      <formula>OR($J5="NS",$J5="SumaNS",$J5="Účet")</formula>
    </cfRule>
  </conditionalFormatting>
  <conditionalFormatting sqref="F5:I17 B5:D17">
    <cfRule type="expression" dxfId="41" priority="17">
      <formula>AND($J5&lt;&gt;"",$J5&lt;&gt;"mezeraKL")</formula>
    </cfRule>
  </conditionalFormatting>
  <conditionalFormatting sqref="B5:D17 F5:I17">
    <cfRule type="expression" dxfId="40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39" priority="13">
      <formula>OR($J5="SumaNS",$J5="NS")</formula>
    </cfRule>
  </conditionalFormatting>
  <conditionalFormatting sqref="A5:A17">
    <cfRule type="expression" dxfId="38" priority="9">
      <formula>AND($J5&lt;&gt;"mezeraKL",$J5&lt;&gt;"")</formula>
    </cfRule>
  </conditionalFormatting>
  <conditionalFormatting sqref="A5:A17">
    <cfRule type="expression" dxfId="37" priority="10">
      <formula>AND($J5&lt;&gt;"",$J5&lt;&gt;"mezeraKL")</formula>
    </cfRule>
  </conditionalFormatting>
  <conditionalFormatting sqref="H19:H34">
    <cfRule type="expression" dxfId="36" priority="6">
      <formula>$H19&gt;0</formula>
    </cfRule>
  </conditionalFormatting>
  <conditionalFormatting sqref="A19:A34">
    <cfRule type="expression" dxfId="35" priority="5">
      <formula>AND($J19&lt;&gt;"mezeraKL",$J19&lt;&gt;"")</formula>
    </cfRule>
  </conditionalFormatting>
  <conditionalFormatting sqref="I19:I34">
    <cfRule type="expression" dxfId="34" priority="7">
      <formula>$I19&gt;1</formula>
    </cfRule>
  </conditionalFormatting>
  <conditionalFormatting sqref="B19:B34">
    <cfRule type="expression" dxfId="33" priority="4">
      <formula>OR($J19="NS",$J19="SumaNS",$J19="Účet")</formula>
    </cfRule>
  </conditionalFormatting>
  <conditionalFormatting sqref="A19:D34 F19:I34">
    <cfRule type="expression" dxfId="32" priority="8">
      <formula>AND($J19&lt;&gt;"",$J19&lt;&gt;"mezeraKL")</formula>
    </cfRule>
  </conditionalFormatting>
  <conditionalFormatting sqref="B19:D34 F19:I34">
    <cfRule type="expression" dxfId="31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34 F19:I34">
    <cfRule type="expression" dxfId="30" priority="2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9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312" bestFit="1" customWidth="1"/>
    <col min="6" max="6" width="18.77734375" style="316" customWidth="1"/>
    <col min="7" max="7" width="12.44140625" style="312" hidden="1" customWidth="1" outlineLevel="1"/>
    <col min="8" max="8" width="25.77734375" style="312" customWidth="1" collapsed="1"/>
    <col min="9" max="9" width="7.77734375" style="310" customWidth="1"/>
    <col min="10" max="10" width="10" style="310" customWidth="1"/>
    <col min="11" max="11" width="11.109375" style="310" customWidth="1"/>
    <col min="12" max="16384" width="8.88671875" style="231"/>
  </cols>
  <sheetData>
    <row r="1" spans="1:11" ht="18.600000000000001" customHeight="1" thickBot="1" x14ac:dyDescent="0.4">
      <c r="A1" s="533" t="s">
        <v>2239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</row>
    <row r="2" spans="1:11" ht="14.4" customHeight="1" thickBot="1" x14ac:dyDescent="0.35">
      <c r="A2" s="351" t="s">
        <v>288</v>
      </c>
      <c r="B2" s="66"/>
      <c r="C2" s="314"/>
      <c r="D2" s="314"/>
      <c r="E2" s="314"/>
      <c r="F2" s="314"/>
      <c r="G2" s="314"/>
      <c r="H2" s="314"/>
      <c r="I2" s="315"/>
      <c r="J2" s="315"/>
      <c r="K2" s="315"/>
    </row>
    <row r="3" spans="1:11" ht="14.4" customHeight="1" thickBot="1" x14ac:dyDescent="0.35">
      <c r="A3" s="66"/>
      <c r="B3" s="66"/>
      <c r="C3" s="529"/>
      <c r="D3" s="530"/>
      <c r="E3" s="530"/>
      <c r="F3" s="530"/>
      <c r="G3" s="530"/>
      <c r="H3" s="244" t="s">
        <v>142</v>
      </c>
      <c r="I3" s="188">
        <f>IF(J3&lt;&gt;0,K3/J3,0)</f>
        <v>5.3030534251217931</v>
      </c>
      <c r="J3" s="188">
        <f>SUBTOTAL(9,J5:J1048576)</f>
        <v>444265.5</v>
      </c>
      <c r="K3" s="189">
        <f>SUBTOTAL(9,K5:K1048576)</f>
        <v>2355963.681438446</v>
      </c>
    </row>
    <row r="4" spans="1:11" s="311" customFormat="1" ht="14.4" customHeight="1" thickBot="1" x14ac:dyDescent="0.35">
      <c r="A4" s="660" t="s">
        <v>4</v>
      </c>
      <c r="B4" s="661" t="s">
        <v>5</v>
      </c>
      <c r="C4" s="661" t="s">
        <v>0</v>
      </c>
      <c r="D4" s="661" t="s">
        <v>6</v>
      </c>
      <c r="E4" s="661" t="s">
        <v>7</v>
      </c>
      <c r="F4" s="661" t="s">
        <v>1</v>
      </c>
      <c r="G4" s="661" t="s">
        <v>77</v>
      </c>
      <c r="H4" s="663" t="s">
        <v>11</v>
      </c>
      <c r="I4" s="664" t="s">
        <v>165</v>
      </c>
      <c r="J4" s="664" t="s">
        <v>13</v>
      </c>
      <c r="K4" s="665" t="s">
        <v>176</v>
      </c>
    </row>
    <row r="5" spans="1:11" ht="14.4" customHeight="1" x14ac:dyDescent="0.3">
      <c r="A5" s="668" t="s">
        <v>484</v>
      </c>
      <c r="B5" s="669" t="s">
        <v>485</v>
      </c>
      <c r="C5" s="670" t="s">
        <v>497</v>
      </c>
      <c r="D5" s="671" t="s">
        <v>498</v>
      </c>
      <c r="E5" s="670" t="s">
        <v>1637</v>
      </c>
      <c r="F5" s="671" t="s">
        <v>1638</v>
      </c>
      <c r="G5" s="670" t="s">
        <v>1639</v>
      </c>
      <c r="H5" s="670" t="s">
        <v>1640</v>
      </c>
      <c r="I5" s="673">
        <v>5445</v>
      </c>
      <c r="J5" s="673">
        <v>3</v>
      </c>
      <c r="K5" s="674">
        <v>16335</v>
      </c>
    </row>
    <row r="6" spans="1:11" ht="14.4" customHeight="1" x14ac:dyDescent="0.3">
      <c r="A6" s="675" t="s">
        <v>484</v>
      </c>
      <c r="B6" s="676" t="s">
        <v>485</v>
      </c>
      <c r="C6" s="677" t="s">
        <v>497</v>
      </c>
      <c r="D6" s="678" t="s">
        <v>498</v>
      </c>
      <c r="E6" s="677" t="s">
        <v>1637</v>
      </c>
      <c r="F6" s="678" t="s">
        <v>1638</v>
      </c>
      <c r="G6" s="677" t="s">
        <v>1641</v>
      </c>
      <c r="H6" s="677" t="s">
        <v>1642</v>
      </c>
      <c r="I6" s="680">
        <v>5445</v>
      </c>
      <c r="J6" s="680">
        <v>2</v>
      </c>
      <c r="K6" s="681">
        <v>10890</v>
      </c>
    </row>
    <row r="7" spans="1:11" ht="14.4" customHeight="1" x14ac:dyDescent="0.3">
      <c r="A7" s="675" t="s">
        <v>484</v>
      </c>
      <c r="B7" s="676" t="s">
        <v>485</v>
      </c>
      <c r="C7" s="677" t="s">
        <v>497</v>
      </c>
      <c r="D7" s="678" t="s">
        <v>498</v>
      </c>
      <c r="E7" s="677" t="s">
        <v>1637</v>
      </c>
      <c r="F7" s="678" t="s">
        <v>1638</v>
      </c>
      <c r="G7" s="677" t="s">
        <v>1643</v>
      </c>
      <c r="H7" s="677" t="s">
        <v>1644</v>
      </c>
      <c r="I7" s="680">
        <v>5445</v>
      </c>
      <c r="J7" s="680">
        <v>2</v>
      </c>
      <c r="K7" s="681">
        <v>10890</v>
      </c>
    </row>
    <row r="8" spans="1:11" ht="14.4" customHeight="1" x14ac:dyDescent="0.3">
      <c r="A8" s="675" t="s">
        <v>484</v>
      </c>
      <c r="B8" s="676" t="s">
        <v>485</v>
      </c>
      <c r="C8" s="677" t="s">
        <v>497</v>
      </c>
      <c r="D8" s="678" t="s">
        <v>498</v>
      </c>
      <c r="E8" s="677" t="s">
        <v>1637</v>
      </c>
      <c r="F8" s="678" t="s">
        <v>1638</v>
      </c>
      <c r="G8" s="677" t="s">
        <v>1645</v>
      </c>
      <c r="H8" s="677" t="s">
        <v>1646</v>
      </c>
      <c r="I8" s="680">
        <v>5445</v>
      </c>
      <c r="J8" s="680">
        <v>1</v>
      </c>
      <c r="K8" s="681">
        <v>5445</v>
      </c>
    </row>
    <row r="9" spans="1:11" ht="14.4" customHeight="1" x14ac:dyDescent="0.3">
      <c r="A9" s="675" t="s">
        <v>484</v>
      </c>
      <c r="B9" s="676" t="s">
        <v>485</v>
      </c>
      <c r="C9" s="677" t="s">
        <v>497</v>
      </c>
      <c r="D9" s="678" t="s">
        <v>498</v>
      </c>
      <c r="E9" s="677" t="s">
        <v>1637</v>
      </c>
      <c r="F9" s="678" t="s">
        <v>1638</v>
      </c>
      <c r="G9" s="677" t="s">
        <v>1647</v>
      </c>
      <c r="H9" s="677" t="s">
        <v>1648</v>
      </c>
      <c r="I9" s="680">
        <v>147.18621995713977</v>
      </c>
      <c r="J9" s="680">
        <v>90</v>
      </c>
      <c r="K9" s="681">
        <v>13246.699829101563</v>
      </c>
    </row>
    <row r="10" spans="1:11" ht="14.4" customHeight="1" x14ac:dyDescent="0.3">
      <c r="A10" s="675" t="s">
        <v>484</v>
      </c>
      <c r="B10" s="676" t="s">
        <v>485</v>
      </c>
      <c r="C10" s="677" t="s">
        <v>497</v>
      </c>
      <c r="D10" s="678" t="s">
        <v>498</v>
      </c>
      <c r="E10" s="677" t="s">
        <v>1637</v>
      </c>
      <c r="F10" s="678" t="s">
        <v>1638</v>
      </c>
      <c r="G10" s="677" t="s">
        <v>1649</v>
      </c>
      <c r="H10" s="677" t="s">
        <v>1650</v>
      </c>
      <c r="I10" s="680">
        <v>139.44000244140625</v>
      </c>
      <c r="J10" s="680">
        <v>20</v>
      </c>
      <c r="K10" s="681">
        <v>2788.760009765625</v>
      </c>
    </row>
    <row r="11" spans="1:11" ht="14.4" customHeight="1" x14ac:dyDescent="0.3">
      <c r="A11" s="675" t="s">
        <v>484</v>
      </c>
      <c r="B11" s="676" t="s">
        <v>485</v>
      </c>
      <c r="C11" s="677" t="s">
        <v>497</v>
      </c>
      <c r="D11" s="678" t="s">
        <v>498</v>
      </c>
      <c r="E11" s="677" t="s">
        <v>1637</v>
      </c>
      <c r="F11" s="678" t="s">
        <v>1638</v>
      </c>
      <c r="G11" s="677" t="s">
        <v>1651</v>
      </c>
      <c r="H11" s="677" t="s">
        <v>1652</v>
      </c>
      <c r="I11" s="680">
        <v>147.17599487304687</v>
      </c>
      <c r="J11" s="680">
        <v>90</v>
      </c>
      <c r="K11" s="681">
        <v>13245.979858398438</v>
      </c>
    </row>
    <row r="12" spans="1:11" ht="14.4" customHeight="1" x14ac:dyDescent="0.3">
      <c r="A12" s="675" t="s">
        <v>484</v>
      </c>
      <c r="B12" s="676" t="s">
        <v>485</v>
      </c>
      <c r="C12" s="677" t="s">
        <v>497</v>
      </c>
      <c r="D12" s="678" t="s">
        <v>498</v>
      </c>
      <c r="E12" s="677" t="s">
        <v>1637</v>
      </c>
      <c r="F12" s="678" t="s">
        <v>1638</v>
      </c>
      <c r="G12" s="677" t="s">
        <v>1653</v>
      </c>
      <c r="H12" s="677" t="s">
        <v>1654</v>
      </c>
      <c r="I12" s="680">
        <v>139.44000244140625</v>
      </c>
      <c r="J12" s="680">
        <v>20</v>
      </c>
      <c r="K12" s="681">
        <v>2788.760009765625</v>
      </c>
    </row>
    <row r="13" spans="1:11" ht="14.4" customHeight="1" x14ac:dyDescent="0.3">
      <c r="A13" s="675" t="s">
        <v>484</v>
      </c>
      <c r="B13" s="676" t="s">
        <v>485</v>
      </c>
      <c r="C13" s="677" t="s">
        <v>497</v>
      </c>
      <c r="D13" s="678" t="s">
        <v>498</v>
      </c>
      <c r="E13" s="677" t="s">
        <v>1637</v>
      </c>
      <c r="F13" s="678" t="s">
        <v>1638</v>
      </c>
      <c r="G13" s="677" t="s">
        <v>1655</v>
      </c>
      <c r="H13" s="677" t="s">
        <v>1656</v>
      </c>
      <c r="I13" s="680">
        <v>34606</v>
      </c>
      <c r="J13" s="680">
        <v>1</v>
      </c>
      <c r="K13" s="681">
        <v>34606</v>
      </c>
    </row>
    <row r="14" spans="1:11" ht="14.4" customHeight="1" x14ac:dyDescent="0.3">
      <c r="A14" s="675" t="s">
        <v>484</v>
      </c>
      <c r="B14" s="676" t="s">
        <v>485</v>
      </c>
      <c r="C14" s="677" t="s">
        <v>497</v>
      </c>
      <c r="D14" s="678" t="s">
        <v>498</v>
      </c>
      <c r="E14" s="677" t="s">
        <v>1637</v>
      </c>
      <c r="F14" s="678" t="s">
        <v>1638</v>
      </c>
      <c r="G14" s="677" t="s">
        <v>1657</v>
      </c>
      <c r="H14" s="677" t="s">
        <v>1658</v>
      </c>
      <c r="I14" s="680">
        <v>152.46000671386719</v>
      </c>
      <c r="J14" s="680">
        <v>22</v>
      </c>
      <c r="K14" s="681">
        <v>3354.1200561523437</v>
      </c>
    </row>
    <row r="15" spans="1:11" ht="14.4" customHeight="1" x14ac:dyDescent="0.3">
      <c r="A15" s="675" t="s">
        <v>484</v>
      </c>
      <c r="B15" s="676" t="s">
        <v>485</v>
      </c>
      <c r="C15" s="677" t="s">
        <v>497</v>
      </c>
      <c r="D15" s="678" t="s">
        <v>498</v>
      </c>
      <c r="E15" s="677" t="s">
        <v>1637</v>
      </c>
      <c r="F15" s="678" t="s">
        <v>1638</v>
      </c>
      <c r="G15" s="677" t="s">
        <v>1659</v>
      </c>
      <c r="H15" s="677" t="s">
        <v>1660</v>
      </c>
      <c r="I15" s="680">
        <v>2277.85009765625</v>
      </c>
      <c r="J15" s="680">
        <v>2</v>
      </c>
      <c r="K15" s="681">
        <v>4555.7001953125</v>
      </c>
    </row>
    <row r="16" spans="1:11" ht="14.4" customHeight="1" x14ac:dyDescent="0.3">
      <c r="A16" s="675" t="s">
        <v>484</v>
      </c>
      <c r="B16" s="676" t="s">
        <v>485</v>
      </c>
      <c r="C16" s="677" t="s">
        <v>497</v>
      </c>
      <c r="D16" s="678" t="s">
        <v>498</v>
      </c>
      <c r="E16" s="677" t="s">
        <v>1637</v>
      </c>
      <c r="F16" s="678" t="s">
        <v>1638</v>
      </c>
      <c r="G16" s="677" t="s">
        <v>1661</v>
      </c>
      <c r="H16" s="677" t="s">
        <v>1662</v>
      </c>
      <c r="I16" s="680">
        <v>2277.85009765625</v>
      </c>
      <c r="J16" s="680">
        <v>1</v>
      </c>
      <c r="K16" s="681">
        <v>2277.85009765625</v>
      </c>
    </row>
    <row r="17" spans="1:11" ht="14.4" customHeight="1" x14ac:dyDescent="0.3">
      <c r="A17" s="675" t="s">
        <v>484</v>
      </c>
      <c r="B17" s="676" t="s">
        <v>485</v>
      </c>
      <c r="C17" s="677" t="s">
        <v>497</v>
      </c>
      <c r="D17" s="678" t="s">
        <v>498</v>
      </c>
      <c r="E17" s="677" t="s">
        <v>1637</v>
      </c>
      <c r="F17" s="678" t="s">
        <v>1638</v>
      </c>
      <c r="G17" s="677" t="s">
        <v>1663</v>
      </c>
      <c r="H17" s="677" t="s">
        <v>1664</v>
      </c>
      <c r="I17" s="680">
        <v>3035.31005859375</v>
      </c>
      <c r="J17" s="680">
        <v>2</v>
      </c>
      <c r="K17" s="681">
        <v>6070.6201171875</v>
      </c>
    </row>
    <row r="18" spans="1:11" ht="14.4" customHeight="1" x14ac:dyDescent="0.3">
      <c r="A18" s="675" t="s">
        <v>484</v>
      </c>
      <c r="B18" s="676" t="s">
        <v>485</v>
      </c>
      <c r="C18" s="677" t="s">
        <v>497</v>
      </c>
      <c r="D18" s="678" t="s">
        <v>498</v>
      </c>
      <c r="E18" s="677" t="s">
        <v>1637</v>
      </c>
      <c r="F18" s="678" t="s">
        <v>1638</v>
      </c>
      <c r="G18" s="677" t="s">
        <v>1665</v>
      </c>
      <c r="H18" s="677" t="s">
        <v>1666</v>
      </c>
      <c r="I18" s="680">
        <v>3035.31005859375</v>
      </c>
      <c r="J18" s="680">
        <v>5</v>
      </c>
      <c r="K18" s="681">
        <v>15176.5498046875</v>
      </c>
    </row>
    <row r="19" spans="1:11" ht="14.4" customHeight="1" x14ac:dyDescent="0.3">
      <c r="A19" s="675" t="s">
        <v>484</v>
      </c>
      <c r="B19" s="676" t="s">
        <v>485</v>
      </c>
      <c r="C19" s="677" t="s">
        <v>497</v>
      </c>
      <c r="D19" s="678" t="s">
        <v>498</v>
      </c>
      <c r="E19" s="677" t="s">
        <v>1637</v>
      </c>
      <c r="F19" s="678" t="s">
        <v>1638</v>
      </c>
      <c r="G19" s="677" t="s">
        <v>1667</v>
      </c>
      <c r="H19" s="677" t="s">
        <v>1668</v>
      </c>
      <c r="I19" s="680">
        <v>9228.1796875</v>
      </c>
      <c r="J19" s="680">
        <v>1</v>
      </c>
      <c r="K19" s="681">
        <v>9228.1796875</v>
      </c>
    </row>
    <row r="20" spans="1:11" ht="14.4" customHeight="1" x14ac:dyDescent="0.3">
      <c r="A20" s="675" t="s">
        <v>484</v>
      </c>
      <c r="B20" s="676" t="s">
        <v>485</v>
      </c>
      <c r="C20" s="677" t="s">
        <v>497</v>
      </c>
      <c r="D20" s="678" t="s">
        <v>498</v>
      </c>
      <c r="E20" s="677" t="s">
        <v>1637</v>
      </c>
      <c r="F20" s="678" t="s">
        <v>1638</v>
      </c>
      <c r="G20" s="677" t="s">
        <v>1669</v>
      </c>
      <c r="H20" s="677" t="s">
        <v>1670</v>
      </c>
      <c r="I20" s="680">
        <v>16187.7197265625</v>
      </c>
      <c r="J20" s="680">
        <v>0.5</v>
      </c>
      <c r="K20" s="681">
        <v>8093.85986328125</v>
      </c>
    </row>
    <row r="21" spans="1:11" ht="14.4" customHeight="1" x14ac:dyDescent="0.3">
      <c r="A21" s="675" t="s">
        <v>484</v>
      </c>
      <c r="B21" s="676" t="s">
        <v>485</v>
      </c>
      <c r="C21" s="677" t="s">
        <v>497</v>
      </c>
      <c r="D21" s="678" t="s">
        <v>498</v>
      </c>
      <c r="E21" s="677" t="s">
        <v>1637</v>
      </c>
      <c r="F21" s="678" t="s">
        <v>1638</v>
      </c>
      <c r="G21" s="677" t="s">
        <v>1671</v>
      </c>
      <c r="H21" s="677" t="s">
        <v>1672</v>
      </c>
      <c r="I21" s="680">
        <v>3130.75</v>
      </c>
      <c r="J21" s="680">
        <v>1</v>
      </c>
      <c r="K21" s="681">
        <v>3130.75</v>
      </c>
    </row>
    <row r="22" spans="1:11" ht="14.4" customHeight="1" x14ac:dyDescent="0.3">
      <c r="A22" s="675" t="s">
        <v>484</v>
      </c>
      <c r="B22" s="676" t="s">
        <v>485</v>
      </c>
      <c r="C22" s="677" t="s">
        <v>497</v>
      </c>
      <c r="D22" s="678" t="s">
        <v>498</v>
      </c>
      <c r="E22" s="677" t="s">
        <v>1637</v>
      </c>
      <c r="F22" s="678" t="s">
        <v>1638</v>
      </c>
      <c r="G22" s="677" t="s">
        <v>1673</v>
      </c>
      <c r="H22" s="677" t="s">
        <v>1674</v>
      </c>
      <c r="I22" s="680">
        <v>213.35000610351562</v>
      </c>
      <c r="J22" s="680">
        <v>21</v>
      </c>
      <c r="K22" s="681">
        <v>4480.2899169921875</v>
      </c>
    </row>
    <row r="23" spans="1:11" ht="14.4" customHeight="1" x14ac:dyDescent="0.3">
      <c r="A23" s="675" t="s">
        <v>484</v>
      </c>
      <c r="B23" s="676" t="s">
        <v>485</v>
      </c>
      <c r="C23" s="677" t="s">
        <v>497</v>
      </c>
      <c r="D23" s="678" t="s">
        <v>498</v>
      </c>
      <c r="E23" s="677" t="s">
        <v>1637</v>
      </c>
      <c r="F23" s="678" t="s">
        <v>1638</v>
      </c>
      <c r="G23" s="677" t="s">
        <v>1675</v>
      </c>
      <c r="H23" s="677" t="s">
        <v>1676</v>
      </c>
      <c r="I23" s="680">
        <v>2722.5</v>
      </c>
      <c r="J23" s="680">
        <v>21</v>
      </c>
      <c r="K23" s="681">
        <v>57172.5</v>
      </c>
    </row>
    <row r="24" spans="1:11" ht="14.4" customHeight="1" x14ac:dyDescent="0.3">
      <c r="A24" s="675" t="s">
        <v>484</v>
      </c>
      <c r="B24" s="676" t="s">
        <v>485</v>
      </c>
      <c r="C24" s="677" t="s">
        <v>497</v>
      </c>
      <c r="D24" s="678" t="s">
        <v>498</v>
      </c>
      <c r="E24" s="677" t="s">
        <v>1637</v>
      </c>
      <c r="F24" s="678" t="s">
        <v>1638</v>
      </c>
      <c r="G24" s="677" t="s">
        <v>1677</v>
      </c>
      <c r="H24" s="677" t="s">
        <v>1678</v>
      </c>
      <c r="I24" s="680">
        <v>121</v>
      </c>
      <c r="J24" s="680">
        <v>2</v>
      </c>
      <c r="K24" s="681">
        <v>242</v>
      </c>
    </row>
    <row r="25" spans="1:11" ht="14.4" customHeight="1" x14ac:dyDescent="0.3">
      <c r="A25" s="675" t="s">
        <v>484</v>
      </c>
      <c r="B25" s="676" t="s">
        <v>485</v>
      </c>
      <c r="C25" s="677" t="s">
        <v>497</v>
      </c>
      <c r="D25" s="678" t="s">
        <v>498</v>
      </c>
      <c r="E25" s="677" t="s">
        <v>1679</v>
      </c>
      <c r="F25" s="678" t="s">
        <v>1680</v>
      </c>
      <c r="G25" s="677" t="s">
        <v>1681</v>
      </c>
      <c r="H25" s="677" t="s">
        <v>1682</v>
      </c>
      <c r="I25" s="680">
        <v>90.629997253417969</v>
      </c>
      <c r="J25" s="680">
        <v>1</v>
      </c>
      <c r="K25" s="681">
        <v>90.629997253417969</v>
      </c>
    </row>
    <row r="26" spans="1:11" ht="14.4" customHeight="1" x14ac:dyDescent="0.3">
      <c r="A26" s="675" t="s">
        <v>484</v>
      </c>
      <c r="B26" s="676" t="s">
        <v>485</v>
      </c>
      <c r="C26" s="677" t="s">
        <v>497</v>
      </c>
      <c r="D26" s="678" t="s">
        <v>498</v>
      </c>
      <c r="E26" s="677" t="s">
        <v>1679</v>
      </c>
      <c r="F26" s="678" t="s">
        <v>1680</v>
      </c>
      <c r="G26" s="677" t="s">
        <v>1683</v>
      </c>
      <c r="H26" s="677" t="s">
        <v>1684</v>
      </c>
      <c r="I26" s="680">
        <v>52.869998931884766</v>
      </c>
      <c r="J26" s="680">
        <v>1</v>
      </c>
      <c r="K26" s="681">
        <v>52.869998931884766</v>
      </c>
    </row>
    <row r="27" spans="1:11" ht="14.4" customHeight="1" x14ac:dyDescent="0.3">
      <c r="A27" s="675" t="s">
        <v>484</v>
      </c>
      <c r="B27" s="676" t="s">
        <v>485</v>
      </c>
      <c r="C27" s="677" t="s">
        <v>497</v>
      </c>
      <c r="D27" s="678" t="s">
        <v>498</v>
      </c>
      <c r="E27" s="677" t="s">
        <v>1685</v>
      </c>
      <c r="F27" s="678" t="s">
        <v>1686</v>
      </c>
      <c r="G27" s="677" t="s">
        <v>1687</v>
      </c>
      <c r="H27" s="677" t="s">
        <v>1688</v>
      </c>
      <c r="I27" s="680">
        <v>5.179999828338623</v>
      </c>
      <c r="J27" s="680">
        <v>300</v>
      </c>
      <c r="K27" s="681">
        <v>1552.5</v>
      </c>
    </row>
    <row r="28" spans="1:11" ht="14.4" customHeight="1" x14ac:dyDescent="0.3">
      <c r="A28" s="675" t="s">
        <v>484</v>
      </c>
      <c r="B28" s="676" t="s">
        <v>485</v>
      </c>
      <c r="C28" s="677" t="s">
        <v>497</v>
      </c>
      <c r="D28" s="678" t="s">
        <v>498</v>
      </c>
      <c r="E28" s="677" t="s">
        <v>1685</v>
      </c>
      <c r="F28" s="678" t="s">
        <v>1686</v>
      </c>
      <c r="G28" s="677" t="s">
        <v>1689</v>
      </c>
      <c r="H28" s="677" t="s">
        <v>1690</v>
      </c>
      <c r="I28" s="680">
        <v>4.1050000190734863</v>
      </c>
      <c r="J28" s="680">
        <v>200</v>
      </c>
      <c r="K28" s="681">
        <v>821</v>
      </c>
    </row>
    <row r="29" spans="1:11" ht="14.4" customHeight="1" x14ac:dyDescent="0.3">
      <c r="A29" s="675" t="s">
        <v>484</v>
      </c>
      <c r="B29" s="676" t="s">
        <v>485</v>
      </c>
      <c r="C29" s="677" t="s">
        <v>497</v>
      </c>
      <c r="D29" s="678" t="s">
        <v>498</v>
      </c>
      <c r="E29" s="677" t="s">
        <v>1685</v>
      </c>
      <c r="F29" s="678" t="s">
        <v>1686</v>
      </c>
      <c r="G29" s="677" t="s">
        <v>1689</v>
      </c>
      <c r="H29" s="677" t="s">
        <v>1691</v>
      </c>
      <c r="I29" s="680">
        <v>4.1066667238871259</v>
      </c>
      <c r="J29" s="680">
        <v>300</v>
      </c>
      <c r="K29" s="681">
        <v>1231.7000122070312</v>
      </c>
    </row>
    <row r="30" spans="1:11" ht="14.4" customHeight="1" x14ac:dyDescent="0.3">
      <c r="A30" s="675" t="s">
        <v>484</v>
      </c>
      <c r="B30" s="676" t="s">
        <v>485</v>
      </c>
      <c r="C30" s="677" t="s">
        <v>497</v>
      </c>
      <c r="D30" s="678" t="s">
        <v>498</v>
      </c>
      <c r="E30" s="677" t="s">
        <v>1685</v>
      </c>
      <c r="F30" s="678" t="s">
        <v>1686</v>
      </c>
      <c r="G30" s="677" t="s">
        <v>1692</v>
      </c>
      <c r="H30" s="677" t="s">
        <v>1693</v>
      </c>
      <c r="I30" s="680">
        <v>6.2399997711181641</v>
      </c>
      <c r="J30" s="680">
        <v>100</v>
      </c>
      <c r="K30" s="681">
        <v>624</v>
      </c>
    </row>
    <row r="31" spans="1:11" ht="14.4" customHeight="1" x14ac:dyDescent="0.3">
      <c r="A31" s="675" t="s">
        <v>484</v>
      </c>
      <c r="B31" s="676" t="s">
        <v>485</v>
      </c>
      <c r="C31" s="677" t="s">
        <v>497</v>
      </c>
      <c r="D31" s="678" t="s">
        <v>498</v>
      </c>
      <c r="E31" s="677" t="s">
        <v>1685</v>
      </c>
      <c r="F31" s="678" t="s">
        <v>1686</v>
      </c>
      <c r="G31" s="677" t="s">
        <v>1694</v>
      </c>
      <c r="H31" s="677" t="s">
        <v>1695</v>
      </c>
      <c r="I31" s="680">
        <v>9.0100002288818359</v>
      </c>
      <c r="J31" s="680">
        <v>140</v>
      </c>
      <c r="K31" s="681">
        <v>1261.4000244140625</v>
      </c>
    </row>
    <row r="32" spans="1:11" ht="14.4" customHeight="1" x14ac:dyDescent="0.3">
      <c r="A32" s="675" t="s">
        <v>484</v>
      </c>
      <c r="B32" s="676" t="s">
        <v>485</v>
      </c>
      <c r="C32" s="677" t="s">
        <v>497</v>
      </c>
      <c r="D32" s="678" t="s">
        <v>498</v>
      </c>
      <c r="E32" s="677" t="s">
        <v>1685</v>
      </c>
      <c r="F32" s="678" t="s">
        <v>1686</v>
      </c>
      <c r="G32" s="677" t="s">
        <v>1694</v>
      </c>
      <c r="H32" s="677" t="s">
        <v>1696</v>
      </c>
      <c r="I32" s="680">
        <v>9.0200004577636719</v>
      </c>
      <c r="J32" s="680">
        <v>280</v>
      </c>
      <c r="K32" s="681">
        <v>2525.60009765625</v>
      </c>
    </row>
    <row r="33" spans="1:11" ht="14.4" customHeight="1" x14ac:dyDescent="0.3">
      <c r="A33" s="675" t="s">
        <v>484</v>
      </c>
      <c r="B33" s="676" t="s">
        <v>485</v>
      </c>
      <c r="C33" s="677" t="s">
        <v>497</v>
      </c>
      <c r="D33" s="678" t="s">
        <v>498</v>
      </c>
      <c r="E33" s="677" t="s">
        <v>1685</v>
      </c>
      <c r="F33" s="678" t="s">
        <v>1686</v>
      </c>
      <c r="G33" s="677" t="s">
        <v>1697</v>
      </c>
      <c r="H33" s="677" t="s">
        <v>1698</v>
      </c>
      <c r="I33" s="680">
        <v>8.5900001525878906</v>
      </c>
      <c r="J33" s="680">
        <v>120</v>
      </c>
      <c r="K33" s="681">
        <v>1030.800048828125</v>
      </c>
    </row>
    <row r="34" spans="1:11" ht="14.4" customHeight="1" x14ac:dyDescent="0.3">
      <c r="A34" s="675" t="s">
        <v>484</v>
      </c>
      <c r="B34" s="676" t="s">
        <v>485</v>
      </c>
      <c r="C34" s="677" t="s">
        <v>497</v>
      </c>
      <c r="D34" s="678" t="s">
        <v>498</v>
      </c>
      <c r="E34" s="677" t="s">
        <v>1685</v>
      </c>
      <c r="F34" s="678" t="s">
        <v>1686</v>
      </c>
      <c r="G34" s="677" t="s">
        <v>1699</v>
      </c>
      <c r="H34" s="677" t="s">
        <v>1700</v>
      </c>
      <c r="I34" s="680">
        <v>13.039999961853027</v>
      </c>
      <c r="J34" s="680">
        <v>140</v>
      </c>
      <c r="K34" s="681">
        <v>1825.5999755859375</v>
      </c>
    </row>
    <row r="35" spans="1:11" ht="14.4" customHeight="1" x14ac:dyDescent="0.3">
      <c r="A35" s="675" t="s">
        <v>484</v>
      </c>
      <c r="B35" s="676" t="s">
        <v>485</v>
      </c>
      <c r="C35" s="677" t="s">
        <v>497</v>
      </c>
      <c r="D35" s="678" t="s">
        <v>498</v>
      </c>
      <c r="E35" s="677" t="s">
        <v>1685</v>
      </c>
      <c r="F35" s="678" t="s">
        <v>1686</v>
      </c>
      <c r="G35" s="677" t="s">
        <v>1699</v>
      </c>
      <c r="H35" s="677" t="s">
        <v>1701</v>
      </c>
      <c r="I35" s="680">
        <v>13.043333371480307</v>
      </c>
      <c r="J35" s="680">
        <v>420</v>
      </c>
      <c r="K35" s="681">
        <v>5478.199951171875</v>
      </c>
    </row>
    <row r="36" spans="1:11" ht="14.4" customHeight="1" x14ac:dyDescent="0.3">
      <c r="A36" s="675" t="s">
        <v>484</v>
      </c>
      <c r="B36" s="676" t="s">
        <v>485</v>
      </c>
      <c r="C36" s="677" t="s">
        <v>497</v>
      </c>
      <c r="D36" s="678" t="s">
        <v>498</v>
      </c>
      <c r="E36" s="677" t="s">
        <v>1685</v>
      </c>
      <c r="F36" s="678" t="s">
        <v>1686</v>
      </c>
      <c r="G36" s="677" t="s">
        <v>1702</v>
      </c>
      <c r="H36" s="677" t="s">
        <v>1703</v>
      </c>
      <c r="I36" s="680">
        <v>0.97000002861022949</v>
      </c>
      <c r="J36" s="680">
        <v>500</v>
      </c>
      <c r="K36" s="681">
        <v>485</v>
      </c>
    </row>
    <row r="37" spans="1:11" ht="14.4" customHeight="1" x14ac:dyDescent="0.3">
      <c r="A37" s="675" t="s">
        <v>484</v>
      </c>
      <c r="B37" s="676" t="s">
        <v>485</v>
      </c>
      <c r="C37" s="677" t="s">
        <v>497</v>
      </c>
      <c r="D37" s="678" t="s">
        <v>498</v>
      </c>
      <c r="E37" s="677" t="s">
        <v>1685</v>
      </c>
      <c r="F37" s="678" t="s">
        <v>1686</v>
      </c>
      <c r="G37" s="677" t="s">
        <v>1704</v>
      </c>
      <c r="H37" s="677" t="s">
        <v>1705</v>
      </c>
      <c r="I37" s="680">
        <v>0.43333333730697632</v>
      </c>
      <c r="J37" s="680">
        <v>20500</v>
      </c>
      <c r="K37" s="681">
        <v>8941.5498046875</v>
      </c>
    </row>
    <row r="38" spans="1:11" ht="14.4" customHeight="1" x14ac:dyDescent="0.3">
      <c r="A38" s="675" t="s">
        <v>484</v>
      </c>
      <c r="B38" s="676" t="s">
        <v>485</v>
      </c>
      <c r="C38" s="677" t="s">
        <v>497</v>
      </c>
      <c r="D38" s="678" t="s">
        <v>498</v>
      </c>
      <c r="E38" s="677" t="s">
        <v>1685</v>
      </c>
      <c r="F38" s="678" t="s">
        <v>1686</v>
      </c>
      <c r="G38" s="677" t="s">
        <v>1706</v>
      </c>
      <c r="H38" s="677" t="s">
        <v>1707</v>
      </c>
      <c r="I38" s="680">
        <v>0.87999999523162842</v>
      </c>
      <c r="J38" s="680">
        <v>8000</v>
      </c>
      <c r="K38" s="681">
        <v>7040</v>
      </c>
    </row>
    <row r="39" spans="1:11" ht="14.4" customHeight="1" x14ac:dyDescent="0.3">
      <c r="A39" s="675" t="s">
        <v>484</v>
      </c>
      <c r="B39" s="676" t="s">
        <v>485</v>
      </c>
      <c r="C39" s="677" t="s">
        <v>497</v>
      </c>
      <c r="D39" s="678" t="s">
        <v>498</v>
      </c>
      <c r="E39" s="677" t="s">
        <v>1685</v>
      </c>
      <c r="F39" s="678" t="s">
        <v>1686</v>
      </c>
      <c r="G39" s="677" t="s">
        <v>1708</v>
      </c>
      <c r="H39" s="677" t="s">
        <v>1709</v>
      </c>
      <c r="I39" s="680">
        <v>0.62000000476837158</v>
      </c>
      <c r="J39" s="680">
        <v>500</v>
      </c>
      <c r="K39" s="681">
        <v>310</v>
      </c>
    </row>
    <row r="40" spans="1:11" ht="14.4" customHeight="1" x14ac:dyDescent="0.3">
      <c r="A40" s="675" t="s">
        <v>484</v>
      </c>
      <c r="B40" s="676" t="s">
        <v>485</v>
      </c>
      <c r="C40" s="677" t="s">
        <v>497</v>
      </c>
      <c r="D40" s="678" t="s">
        <v>498</v>
      </c>
      <c r="E40" s="677" t="s">
        <v>1685</v>
      </c>
      <c r="F40" s="678" t="s">
        <v>1686</v>
      </c>
      <c r="G40" s="677" t="s">
        <v>1710</v>
      </c>
      <c r="H40" s="677" t="s">
        <v>1711</v>
      </c>
      <c r="I40" s="680">
        <v>3.0099999904632568</v>
      </c>
      <c r="J40" s="680">
        <v>4440</v>
      </c>
      <c r="K40" s="681">
        <v>13368</v>
      </c>
    </row>
    <row r="41" spans="1:11" ht="14.4" customHeight="1" x14ac:dyDescent="0.3">
      <c r="A41" s="675" t="s">
        <v>484</v>
      </c>
      <c r="B41" s="676" t="s">
        <v>485</v>
      </c>
      <c r="C41" s="677" t="s">
        <v>497</v>
      </c>
      <c r="D41" s="678" t="s">
        <v>498</v>
      </c>
      <c r="E41" s="677" t="s">
        <v>1685</v>
      </c>
      <c r="F41" s="678" t="s">
        <v>1686</v>
      </c>
      <c r="G41" s="677" t="s">
        <v>1712</v>
      </c>
      <c r="H41" s="677" t="s">
        <v>1713</v>
      </c>
      <c r="I41" s="680">
        <v>1.2899999618530273</v>
      </c>
      <c r="J41" s="680">
        <v>12500</v>
      </c>
      <c r="K41" s="681">
        <v>16125</v>
      </c>
    </row>
    <row r="42" spans="1:11" ht="14.4" customHeight="1" x14ac:dyDescent="0.3">
      <c r="A42" s="675" t="s">
        <v>484</v>
      </c>
      <c r="B42" s="676" t="s">
        <v>485</v>
      </c>
      <c r="C42" s="677" t="s">
        <v>497</v>
      </c>
      <c r="D42" s="678" t="s">
        <v>498</v>
      </c>
      <c r="E42" s="677" t="s">
        <v>1685</v>
      </c>
      <c r="F42" s="678" t="s">
        <v>1686</v>
      </c>
      <c r="G42" s="677" t="s">
        <v>1714</v>
      </c>
      <c r="H42" s="677" t="s">
        <v>1715</v>
      </c>
      <c r="I42" s="680">
        <v>0.43999999761581421</v>
      </c>
      <c r="J42" s="680">
        <v>1000</v>
      </c>
      <c r="K42" s="681">
        <v>440</v>
      </c>
    </row>
    <row r="43" spans="1:11" ht="14.4" customHeight="1" x14ac:dyDescent="0.3">
      <c r="A43" s="675" t="s">
        <v>484</v>
      </c>
      <c r="B43" s="676" t="s">
        <v>485</v>
      </c>
      <c r="C43" s="677" t="s">
        <v>497</v>
      </c>
      <c r="D43" s="678" t="s">
        <v>498</v>
      </c>
      <c r="E43" s="677" t="s">
        <v>1685</v>
      </c>
      <c r="F43" s="678" t="s">
        <v>1686</v>
      </c>
      <c r="G43" s="677" t="s">
        <v>1716</v>
      </c>
      <c r="H43" s="677" t="s">
        <v>1717</v>
      </c>
      <c r="I43" s="680">
        <v>175.6349983215332</v>
      </c>
      <c r="J43" s="680">
        <v>51</v>
      </c>
      <c r="K43" s="681">
        <v>8988.4200439453125</v>
      </c>
    </row>
    <row r="44" spans="1:11" ht="14.4" customHeight="1" x14ac:dyDescent="0.3">
      <c r="A44" s="675" t="s">
        <v>484</v>
      </c>
      <c r="B44" s="676" t="s">
        <v>485</v>
      </c>
      <c r="C44" s="677" t="s">
        <v>497</v>
      </c>
      <c r="D44" s="678" t="s">
        <v>498</v>
      </c>
      <c r="E44" s="677" t="s">
        <v>1685</v>
      </c>
      <c r="F44" s="678" t="s">
        <v>1686</v>
      </c>
      <c r="G44" s="677" t="s">
        <v>1718</v>
      </c>
      <c r="H44" s="677" t="s">
        <v>1719</v>
      </c>
      <c r="I44" s="680">
        <v>86.374000549316406</v>
      </c>
      <c r="J44" s="680">
        <v>50</v>
      </c>
      <c r="K44" s="681">
        <v>4318.6700439453125</v>
      </c>
    </row>
    <row r="45" spans="1:11" ht="14.4" customHeight="1" x14ac:dyDescent="0.3">
      <c r="A45" s="675" t="s">
        <v>484</v>
      </c>
      <c r="B45" s="676" t="s">
        <v>485</v>
      </c>
      <c r="C45" s="677" t="s">
        <v>497</v>
      </c>
      <c r="D45" s="678" t="s">
        <v>498</v>
      </c>
      <c r="E45" s="677" t="s">
        <v>1685</v>
      </c>
      <c r="F45" s="678" t="s">
        <v>1686</v>
      </c>
      <c r="G45" s="677" t="s">
        <v>1720</v>
      </c>
      <c r="H45" s="677" t="s">
        <v>1721</v>
      </c>
      <c r="I45" s="680">
        <v>128.71000671386719</v>
      </c>
      <c r="J45" s="680">
        <v>10</v>
      </c>
      <c r="K45" s="681">
        <v>1287.0799560546875</v>
      </c>
    </row>
    <row r="46" spans="1:11" ht="14.4" customHeight="1" x14ac:dyDescent="0.3">
      <c r="A46" s="675" t="s">
        <v>484</v>
      </c>
      <c r="B46" s="676" t="s">
        <v>485</v>
      </c>
      <c r="C46" s="677" t="s">
        <v>497</v>
      </c>
      <c r="D46" s="678" t="s">
        <v>498</v>
      </c>
      <c r="E46" s="677" t="s">
        <v>1685</v>
      </c>
      <c r="F46" s="678" t="s">
        <v>1686</v>
      </c>
      <c r="G46" s="677" t="s">
        <v>1722</v>
      </c>
      <c r="H46" s="677" t="s">
        <v>1723</v>
      </c>
      <c r="I46" s="680">
        <v>111.55000305175781</v>
      </c>
      <c r="J46" s="680">
        <v>12</v>
      </c>
      <c r="K46" s="681">
        <v>1338.5999755859375</v>
      </c>
    </row>
    <row r="47" spans="1:11" ht="14.4" customHeight="1" x14ac:dyDescent="0.3">
      <c r="A47" s="675" t="s">
        <v>484</v>
      </c>
      <c r="B47" s="676" t="s">
        <v>485</v>
      </c>
      <c r="C47" s="677" t="s">
        <v>497</v>
      </c>
      <c r="D47" s="678" t="s">
        <v>498</v>
      </c>
      <c r="E47" s="677" t="s">
        <v>1685</v>
      </c>
      <c r="F47" s="678" t="s">
        <v>1686</v>
      </c>
      <c r="G47" s="677" t="s">
        <v>1724</v>
      </c>
      <c r="H47" s="677" t="s">
        <v>1725</v>
      </c>
      <c r="I47" s="680">
        <v>775.92999267578125</v>
      </c>
      <c r="J47" s="680">
        <v>5</v>
      </c>
      <c r="K47" s="681">
        <v>3879.6499633789062</v>
      </c>
    </row>
    <row r="48" spans="1:11" ht="14.4" customHeight="1" x14ac:dyDescent="0.3">
      <c r="A48" s="675" t="s">
        <v>484</v>
      </c>
      <c r="B48" s="676" t="s">
        <v>485</v>
      </c>
      <c r="C48" s="677" t="s">
        <v>497</v>
      </c>
      <c r="D48" s="678" t="s">
        <v>498</v>
      </c>
      <c r="E48" s="677" t="s">
        <v>1685</v>
      </c>
      <c r="F48" s="678" t="s">
        <v>1686</v>
      </c>
      <c r="G48" s="677" t="s">
        <v>1724</v>
      </c>
      <c r="H48" s="677" t="s">
        <v>1726</v>
      </c>
      <c r="I48" s="680">
        <v>775.92999267578125</v>
      </c>
      <c r="J48" s="680">
        <v>2</v>
      </c>
      <c r="K48" s="681">
        <v>1551.8599853515625</v>
      </c>
    </row>
    <row r="49" spans="1:11" ht="14.4" customHeight="1" x14ac:dyDescent="0.3">
      <c r="A49" s="675" t="s">
        <v>484</v>
      </c>
      <c r="B49" s="676" t="s">
        <v>485</v>
      </c>
      <c r="C49" s="677" t="s">
        <v>497</v>
      </c>
      <c r="D49" s="678" t="s">
        <v>498</v>
      </c>
      <c r="E49" s="677" t="s">
        <v>1685</v>
      </c>
      <c r="F49" s="678" t="s">
        <v>1686</v>
      </c>
      <c r="G49" s="677" t="s">
        <v>1727</v>
      </c>
      <c r="H49" s="677" t="s">
        <v>1728</v>
      </c>
      <c r="I49" s="680">
        <v>65.25</v>
      </c>
      <c r="J49" s="680">
        <v>10</v>
      </c>
      <c r="K49" s="681">
        <v>652.53997802734375</v>
      </c>
    </row>
    <row r="50" spans="1:11" ht="14.4" customHeight="1" x14ac:dyDescent="0.3">
      <c r="A50" s="675" t="s">
        <v>484</v>
      </c>
      <c r="B50" s="676" t="s">
        <v>485</v>
      </c>
      <c r="C50" s="677" t="s">
        <v>497</v>
      </c>
      <c r="D50" s="678" t="s">
        <v>498</v>
      </c>
      <c r="E50" s="677" t="s">
        <v>1685</v>
      </c>
      <c r="F50" s="678" t="s">
        <v>1686</v>
      </c>
      <c r="G50" s="677" t="s">
        <v>1729</v>
      </c>
      <c r="H50" s="677" t="s">
        <v>1730</v>
      </c>
      <c r="I50" s="680">
        <v>272.44000244140625</v>
      </c>
      <c r="J50" s="680">
        <v>6</v>
      </c>
      <c r="K50" s="681">
        <v>1634.6400146484375</v>
      </c>
    </row>
    <row r="51" spans="1:11" ht="14.4" customHeight="1" x14ac:dyDescent="0.3">
      <c r="A51" s="675" t="s">
        <v>484</v>
      </c>
      <c r="B51" s="676" t="s">
        <v>485</v>
      </c>
      <c r="C51" s="677" t="s">
        <v>497</v>
      </c>
      <c r="D51" s="678" t="s">
        <v>498</v>
      </c>
      <c r="E51" s="677" t="s">
        <v>1685</v>
      </c>
      <c r="F51" s="678" t="s">
        <v>1686</v>
      </c>
      <c r="G51" s="677" t="s">
        <v>1731</v>
      </c>
      <c r="H51" s="677" t="s">
        <v>1732</v>
      </c>
      <c r="I51" s="680">
        <v>85.080001831054687</v>
      </c>
      <c r="J51" s="680">
        <v>12</v>
      </c>
      <c r="K51" s="681">
        <v>1020.9600219726562</v>
      </c>
    </row>
    <row r="52" spans="1:11" ht="14.4" customHeight="1" x14ac:dyDescent="0.3">
      <c r="A52" s="675" t="s">
        <v>484</v>
      </c>
      <c r="B52" s="676" t="s">
        <v>485</v>
      </c>
      <c r="C52" s="677" t="s">
        <v>497</v>
      </c>
      <c r="D52" s="678" t="s">
        <v>498</v>
      </c>
      <c r="E52" s="677" t="s">
        <v>1685</v>
      </c>
      <c r="F52" s="678" t="s">
        <v>1686</v>
      </c>
      <c r="G52" s="677" t="s">
        <v>1733</v>
      </c>
      <c r="H52" s="677" t="s">
        <v>1734</v>
      </c>
      <c r="I52" s="680">
        <v>22.148332913716633</v>
      </c>
      <c r="J52" s="680">
        <v>450</v>
      </c>
      <c r="K52" s="681">
        <v>9966.25</v>
      </c>
    </row>
    <row r="53" spans="1:11" ht="14.4" customHeight="1" x14ac:dyDescent="0.3">
      <c r="A53" s="675" t="s">
        <v>484</v>
      </c>
      <c r="B53" s="676" t="s">
        <v>485</v>
      </c>
      <c r="C53" s="677" t="s">
        <v>497</v>
      </c>
      <c r="D53" s="678" t="s">
        <v>498</v>
      </c>
      <c r="E53" s="677" t="s">
        <v>1685</v>
      </c>
      <c r="F53" s="678" t="s">
        <v>1686</v>
      </c>
      <c r="G53" s="677" t="s">
        <v>1735</v>
      </c>
      <c r="H53" s="677" t="s">
        <v>1736</v>
      </c>
      <c r="I53" s="680">
        <v>30.176250219345093</v>
      </c>
      <c r="J53" s="680">
        <v>276</v>
      </c>
      <c r="K53" s="681">
        <v>8328.940055847168</v>
      </c>
    </row>
    <row r="54" spans="1:11" ht="14.4" customHeight="1" x14ac:dyDescent="0.3">
      <c r="A54" s="675" t="s">
        <v>484</v>
      </c>
      <c r="B54" s="676" t="s">
        <v>485</v>
      </c>
      <c r="C54" s="677" t="s">
        <v>497</v>
      </c>
      <c r="D54" s="678" t="s">
        <v>498</v>
      </c>
      <c r="E54" s="677" t="s">
        <v>1685</v>
      </c>
      <c r="F54" s="678" t="s">
        <v>1686</v>
      </c>
      <c r="G54" s="677" t="s">
        <v>1737</v>
      </c>
      <c r="H54" s="677" t="s">
        <v>1738</v>
      </c>
      <c r="I54" s="680">
        <v>235.75</v>
      </c>
      <c r="J54" s="680">
        <v>12</v>
      </c>
      <c r="K54" s="681">
        <v>2829</v>
      </c>
    </row>
    <row r="55" spans="1:11" ht="14.4" customHeight="1" x14ac:dyDescent="0.3">
      <c r="A55" s="675" t="s">
        <v>484</v>
      </c>
      <c r="B55" s="676" t="s">
        <v>485</v>
      </c>
      <c r="C55" s="677" t="s">
        <v>497</v>
      </c>
      <c r="D55" s="678" t="s">
        <v>498</v>
      </c>
      <c r="E55" s="677" t="s">
        <v>1685</v>
      </c>
      <c r="F55" s="678" t="s">
        <v>1686</v>
      </c>
      <c r="G55" s="677" t="s">
        <v>1739</v>
      </c>
      <c r="H55" s="677" t="s">
        <v>1740</v>
      </c>
      <c r="I55" s="680">
        <v>361.10000610351562</v>
      </c>
      <c r="J55" s="680">
        <v>12</v>
      </c>
      <c r="K55" s="681">
        <v>4333.2001953125</v>
      </c>
    </row>
    <row r="56" spans="1:11" ht="14.4" customHeight="1" x14ac:dyDescent="0.3">
      <c r="A56" s="675" t="s">
        <v>484</v>
      </c>
      <c r="B56" s="676" t="s">
        <v>485</v>
      </c>
      <c r="C56" s="677" t="s">
        <v>497</v>
      </c>
      <c r="D56" s="678" t="s">
        <v>498</v>
      </c>
      <c r="E56" s="677" t="s">
        <v>1685</v>
      </c>
      <c r="F56" s="678" t="s">
        <v>1686</v>
      </c>
      <c r="G56" s="677" t="s">
        <v>1741</v>
      </c>
      <c r="H56" s="677" t="s">
        <v>1742</v>
      </c>
      <c r="I56" s="680">
        <v>139.14999389648438</v>
      </c>
      <c r="J56" s="680">
        <v>36</v>
      </c>
      <c r="K56" s="681">
        <v>5009.400146484375</v>
      </c>
    </row>
    <row r="57" spans="1:11" ht="14.4" customHeight="1" x14ac:dyDescent="0.3">
      <c r="A57" s="675" t="s">
        <v>484</v>
      </c>
      <c r="B57" s="676" t="s">
        <v>485</v>
      </c>
      <c r="C57" s="677" t="s">
        <v>497</v>
      </c>
      <c r="D57" s="678" t="s">
        <v>498</v>
      </c>
      <c r="E57" s="677" t="s">
        <v>1685</v>
      </c>
      <c r="F57" s="678" t="s">
        <v>1686</v>
      </c>
      <c r="G57" s="677" t="s">
        <v>1743</v>
      </c>
      <c r="H57" s="677" t="s">
        <v>1744</v>
      </c>
      <c r="I57" s="680">
        <v>5.273333390553792</v>
      </c>
      <c r="J57" s="680">
        <v>400</v>
      </c>
      <c r="K57" s="681">
        <v>2109.6999816894531</v>
      </c>
    </row>
    <row r="58" spans="1:11" ht="14.4" customHeight="1" x14ac:dyDescent="0.3">
      <c r="A58" s="675" t="s">
        <v>484</v>
      </c>
      <c r="B58" s="676" t="s">
        <v>485</v>
      </c>
      <c r="C58" s="677" t="s">
        <v>497</v>
      </c>
      <c r="D58" s="678" t="s">
        <v>498</v>
      </c>
      <c r="E58" s="677" t="s">
        <v>1685</v>
      </c>
      <c r="F58" s="678" t="s">
        <v>1686</v>
      </c>
      <c r="G58" s="677" t="s">
        <v>1745</v>
      </c>
      <c r="H58" s="677" t="s">
        <v>1746</v>
      </c>
      <c r="I58" s="680">
        <v>9.7799997329711914</v>
      </c>
      <c r="J58" s="680">
        <v>250</v>
      </c>
      <c r="K58" s="681">
        <v>2443.75</v>
      </c>
    </row>
    <row r="59" spans="1:11" ht="14.4" customHeight="1" x14ac:dyDescent="0.3">
      <c r="A59" s="675" t="s">
        <v>484</v>
      </c>
      <c r="B59" s="676" t="s">
        <v>485</v>
      </c>
      <c r="C59" s="677" t="s">
        <v>497</v>
      </c>
      <c r="D59" s="678" t="s">
        <v>498</v>
      </c>
      <c r="E59" s="677" t="s">
        <v>1685</v>
      </c>
      <c r="F59" s="678" t="s">
        <v>1686</v>
      </c>
      <c r="G59" s="677" t="s">
        <v>1747</v>
      </c>
      <c r="H59" s="677" t="s">
        <v>1748</v>
      </c>
      <c r="I59" s="680">
        <v>283.01998901367187</v>
      </c>
      <c r="J59" s="680">
        <v>5</v>
      </c>
      <c r="K59" s="681">
        <v>1415.0799560546875</v>
      </c>
    </row>
    <row r="60" spans="1:11" ht="14.4" customHeight="1" x14ac:dyDescent="0.3">
      <c r="A60" s="675" t="s">
        <v>484</v>
      </c>
      <c r="B60" s="676" t="s">
        <v>485</v>
      </c>
      <c r="C60" s="677" t="s">
        <v>497</v>
      </c>
      <c r="D60" s="678" t="s">
        <v>498</v>
      </c>
      <c r="E60" s="677" t="s">
        <v>1685</v>
      </c>
      <c r="F60" s="678" t="s">
        <v>1686</v>
      </c>
      <c r="G60" s="677" t="s">
        <v>1749</v>
      </c>
      <c r="H60" s="677" t="s">
        <v>1750</v>
      </c>
      <c r="I60" s="680">
        <v>233.80000305175781</v>
      </c>
      <c r="J60" s="680">
        <v>5</v>
      </c>
      <c r="K60" s="681">
        <v>1168.97998046875</v>
      </c>
    </row>
    <row r="61" spans="1:11" ht="14.4" customHeight="1" x14ac:dyDescent="0.3">
      <c r="A61" s="675" t="s">
        <v>484</v>
      </c>
      <c r="B61" s="676" t="s">
        <v>485</v>
      </c>
      <c r="C61" s="677" t="s">
        <v>497</v>
      </c>
      <c r="D61" s="678" t="s">
        <v>498</v>
      </c>
      <c r="E61" s="677" t="s">
        <v>1685</v>
      </c>
      <c r="F61" s="678" t="s">
        <v>1686</v>
      </c>
      <c r="G61" s="677" t="s">
        <v>1751</v>
      </c>
      <c r="H61" s="677" t="s">
        <v>1752</v>
      </c>
      <c r="I61" s="680">
        <v>29.899999618530273</v>
      </c>
      <c r="J61" s="680">
        <v>20</v>
      </c>
      <c r="K61" s="681">
        <v>598</v>
      </c>
    </row>
    <row r="62" spans="1:11" ht="14.4" customHeight="1" x14ac:dyDescent="0.3">
      <c r="A62" s="675" t="s">
        <v>484</v>
      </c>
      <c r="B62" s="676" t="s">
        <v>485</v>
      </c>
      <c r="C62" s="677" t="s">
        <v>497</v>
      </c>
      <c r="D62" s="678" t="s">
        <v>498</v>
      </c>
      <c r="E62" s="677" t="s">
        <v>1685</v>
      </c>
      <c r="F62" s="678" t="s">
        <v>1686</v>
      </c>
      <c r="G62" s="677" t="s">
        <v>1753</v>
      </c>
      <c r="H62" s="677" t="s">
        <v>1754</v>
      </c>
      <c r="I62" s="680">
        <v>2.9000000953674316</v>
      </c>
      <c r="J62" s="680">
        <v>200</v>
      </c>
      <c r="K62" s="681">
        <v>579.5999755859375</v>
      </c>
    </row>
    <row r="63" spans="1:11" ht="14.4" customHeight="1" x14ac:dyDescent="0.3">
      <c r="A63" s="675" t="s">
        <v>484</v>
      </c>
      <c r="B63" s="676" t="s">
        <v>485</v>
      </c>
      <c r="C63" s="677" t="s">
        <v>497</v>
      </c>
      <c r="D63" s="678" t="s">
        <v>498</v>
      </c>
      <c r="E63" s="677" t="s">
        <v>1685</v>
      </c>
      <c r="F63" s="678" t="s">
        <v>1686</v>
      </c>
      <c r="G63" s="677" t="s">
        <v>1755</v>
      </c>
      <c r="H63" s="677" t="s">
        <v>1756</v>
      </c>
      <c r="I63" s="680">
        <v>169.2028590611049</v>
      </c>
      <c r="J63" s="680">
        <v>76</v>
      </c>
      <c r="K63" s="681">
        <v>12223.52978515625</v>
      </c>
    </row>
    <row r="64" spans="1:11" ht="14.4" customHeight="1" x14ac:dyDescent="0.3">
      <c r="A64" s="675" t="s">
        <v>484</v>
      </c>
      <c r="B64" s="676" t="s">
        <v>485</v>
      </c>
      <c r="C64" s="677" t="s">
        <v>497</v>
      </c>
      <c r="D64" s="678" t="s">
        <v>498</v>
      </c>
      <c r="E64" s="677" t="s">
        <v>1685</v>
      </c>
      <c r="F64" s="678" t="s">
        <v>1686</v>
      </c>
      <c r="G64" s="677" t="s">
        <v>1757</v>
      </c>
      <c r="H64" s="677" t="s">
        <v>1758</v>
      </c>
      <c r="I64" s="680">
        <v>4.8433334032694502</v>
      </c>
      <c r="J64" s="680">
        <v>450</v>
      </c>
      <c r="K64" s="681">
        <v>2179.3600006103516</v>
      </c>
    </row>
    <row r="65" spans="1:11" ht="14.4" customHeight="1" x14ac:dyDescent="0.3">
      <c r="A65" s="675" t="s">
        <v>484</v>
      </c>
      <c r="B65" s="676" t="s">
        <v>485</v>
      </c>
      <c r="C65" s="677" t="s">
        <v>497</v>
      </c>
      <c r="D65" s="678" t="s">
        <v>498</v>
      </c>
      <c r="E65" s="677" t="s">
        <v>1685</v>
      </c>
      <c r="F65" s="678" t="s">
        <v>1686</v>
      </c>
      <c r="G65" s="677" t="s">
        <v>1759</v>
      </c>
      <c r="H65" s="677" t="s">
        <v>1760</v>
      </c>
      <c r="I65" s="680">
        <v>3.2433333396911621</v>
      </c>
      <c r="J65" s="680">
        <v>540</v>
      </c>
      <c r="K65" s="681">
        <v>1751.5599975585937</v>
      </c>
    </row>
    <row r="66" spans="1:11" ht="14.4" customHeight="1" x14ac:dyDescent="0.3">
      <c r="A66" s="675" t="s">
        <v>484</v>
      </c>
      <c r="B66" s="676" t="s">
        <v>485</v>
      </c>
      <c r="C66" s="677" t="s">
        <v>497</v>
      </c>
      <c r="D66" s="678" t="s">
        <v>498</v>
      </c>
      <c r="E66" s="677" t="s">
        <v>1685</v>
      </c>
      <c r="F66" s="678" t="s">
        <v>1686</v>
      </c>
      <c r="G66" s="677" t="s">
        <v>1761</v>
      </c>
      <c r="H66" s="677" t="s">
        <v>1762</v>
      </c>
      <c r="I66" s="680">
        <v>124.55000305175781</v>
      </c>
      <c r="J66" s="680">
        <v>10</v>
      </c>
      <c r="K66" s="681">
        <v>1245.5</v>
      </c>
    </row>
    <row r="67" spans="1:11" ht="14.4" customHeight="1" x14ac:dyDescent="0.3">
      <c r="A67" s="675" t="s">
        <v>484</v>
      </c>
      <c r="B67" s="676" t="s">
        <v>485</v>
      </c>
      <c r="C67" s="677" t="s">
        <v>497</v>
      </c>
      <c r="D67" s="678" t="s">
        <v>498</v>
      </c>
      <c r="E67" s="677" t="s">
        <v>1685</v>
      </c>
      <c r="F67" s="678" t="s">
        <v>1686</v>
      </c>
      <c r="G67" s="677" t="s">
        <v>1763</v>
      </c>
      <c r="H67" s="677" t="s">
        <v>1764</v>
      </c>
      <c r="I67" s="680">
        <v>1.3799999952316284</v>
      </c>
      <c r="J67" s="680">
        <v>500</v>
      </c>
      <c r="K67" s="681">
        <v>690</v>
      </c>
    </row>
    <row r="68" spans="1:11" ht="14.4" customHeight="1" x14ac:dyDescent="0.3">
      <c r="A68" s="675" t="s">
        <v>484</v>
      </c>
      <c r="B68" s="676" t="s">
        <v>485</v>
      </c>
      <c r="C68" s="677" t="s">
        <v>497</v>
      </c>
      <c r="D68" s="678" t="s">
        <v>498</v>
      </c>
      <c r="E68" s="677" t="s">
        <v>1685</v>
      </c>
      <c r="F68" s="678" t="s">
        <v>1686</v>
      </c>
      <c r="G68" s="677" t="s">
        <v>1765</v>
      </c>
      <c r="H68" s="677" t="s">
        <v>1766</v>
      </c>
      <c r="I68" s="680">
        <v>0.85333335399627686</v>
      </c>
      <c r="J68" s="680">
        <v>1400</v>
      </c>
      <c r="K68" s="681">
        <v>1195</v>
      </c>
    </row>
    <row r="69" spans="1:11" ht="14.4" customHeight="1" x14ac:dyDescent="0.3">
      <c r="A69" s="675" t="s">
        <v>484</v>
      </c>
      <c r="B69" s="676" t="s">
        <v>485</v>
      </c>
      <c r="C69" s="677" t="s">
        <v>497</v>
      </c>
      <c r="D69" s="678" t="s">
        <v>498</v>
      </c>
      <c r="E69" s="677" t="s">
        <v>1685</v>
      </c>
      <c r="F69" s="678" t="s">
        <v>1686</v>
      </c>
      <c r="G69" s="677" t="s">
        <v>1767</v>
      </c>
      <c r="H69" s="677" t="s">
        <v>1768</v>
      </c>
      <c r="I69" s="680">
        <v>1.5149999856948853</v>
      </c>
      <c r="J69" s="680">
        <v>1150</v>
      </c>
      <c r="K69" s="681">
        <v>1743</v>
      </c>
    </row>
    <row r="70" spans="1:11" ht="14.4" customHeight="1" x14ac:dyDescent="0.3">
      <c r="A70" s="675" t="s">
        <v>484</v>
      </c>
      <c r="B70" s="676" t="s">
        <v>485</v>
      </c>
      <c r="C70" s="677" t="s">
        <v>497</v>
      </c>
      <c r="D70" s="678" t="s">
        <v>498</v>
      </c>
      <c r="E70" s="677" t="s">
        <v>1685</v>
      </c>
      <c r="F70" s="678" t="s">
        <v>1686</v>
      </c>
      <c r="G70" s="677" t="s">
        <v>1769</v>
      </c>
      <c r="H70" s="677" t="s">
        <v>1770</v>
      </c>
      <c r="I70" s="680">
        <v>2.06333327293396</v>
      </c>
      <c r="J70" s="680">
        <v>800</v>
      </c>
      <c r="K70" s="681">
        <v>1651</v>
      </c>
    </row>
    <row r="71" spans="1:11" ht="14.4" customHeight="1" x14ac:dyDescent="0.3">
      <c r="A71" s="675" t="s">
        <v>484</v>
      </c>
      <c r="B71" s="676" t="s">
        <v>485</v>
      </c>
      <c r="C71" s="677" t="s">
        <v>497</v>
      </c>
      <c r="D71" s="678" t="s">
        <v>498</v>
      </c>
      <c r="E71" s="677" t="s">
        <v>1685</v>
      </c>
      <c r="F71" s="678" t="s">
        <v>1686</v>
      </c>
      <c r="G71" s="677" t="s">
        <v>1771</v>
      </c>
      <c r="H71" s="677" t="s">
        <v>1772</v>
      </c>
      <c r="I71" s="680">
        <v>3.3666665554046631</v>
      </c>
      <c r="J71" s="680">
        <v>150</v>
      </c>
      <c r="K71" s="681">
        <v>505</v>
      </c>
    </row>
    <row r="72" spans="1:11" ht="14.4" customHeight="1" x14ac:dyDescent="0.3">
      <c r="A72" s="675" t="s">
        <v>484</v>
      </c>
      <c r="B72" s="676" t="s">
        <v>485</v>
      </c>
      <c r="C72" s="677" t="s">
        <v>497</v>
      </c>
      <c r="D72" s="678" t="s">
        <v>498</v>
      </c>
      <c r="E72" s="677" t="s">
        <v>1685</v>
      </c>
      <c r="F72" s="678" t="s">
        <v>1686</v>
      </c>
      <c r="G72" s="677" t="s">
        <v>1773</v>
      </c>
      <c r="H72" s="677" t="s">
        <v>1774</v>
      </c>
      <c r="I72" s="680">
        <v>5.880000114440918</v>
      </c>
      <c r="J72" s="680">
        <v>200</v>
      </c>
      <c r="K72" s="681">
        <v>1176</v>
      </c>
    </row>
    <row r="73" spans="1:11" ht="14.4" customHeight="1" x14ac:dyDescent="0.3">
      <c r="A73" s="675" t="s">
        <v>484</v>
      </c>
      <c r="B73" s="676" t="s">
        <v>485</v>
      </c>
      <c r="C73" s="677" t="s">
        <v>497</v>
      </c>
      <c r="D73" s="678" t="s">
        <v>498</v>
      </c>
      <c r="E73" s="677" t="s">
        <v>1685</v>
      </c>
      <c r="F73" s="678" t="s">
        <v>1686</v>
      </c>
      <c r="G73" s="677" t="s">
        <v>1775</v>
      </c>
      <c r="H73" s="677" t="s">
        <v>1776</v>
      </c>
      <c r="I73" s="680">
        <v>9.2975001335144043</v>
      </c>
      <c r="J73" s="680">
        <v>200</v>
      </c>
      <c r="K73" s="681">
        <v>1859.6399841308594</v>
      </c>
    </row>
    <row r="74" spans="1:11" ht="14.4" customHeight="1" x14ac:dyDescent="0.3">
      <c r="A74" s="675" t="s">
        <v>484</v>
      </c>
      <c r="B74" s="676" t="s">
        <v>485</v>
      </c>
      <c r="C74" s="677" t="s">
        <v>497</v>
      </c>
      <c r="D74" s="678" t="s">
        <v>498</v>
      </c>
      <c r="E74" s="677" t="s">
        <v>1685</v>
      </c>
      <c r="F74" s="678" t="s">
        <v>1686</v>
      </c>
      <c r="G74" s="677" t="s">
        <v>1777</v>
      </c>
      <c r="H74" s="677" t="s">
        <v>1778</v>
      </c>
      <c r="I74" s="680">
        <v>7.5100002288818359</v>
      </c>
      <c r="J74" s="680">
        <v>98</v>
      </c>
      <c r="K74" s="681">
        <v>735.97999572753906</v>
      </c>
    </row>
    <row r="75" spans="1:11" ht="14.4" customHeight="1" x14ac:dyDescent="0.3">
      <c r="A75" s="675" t="s">
        <v>484</v>
      </c>
      <c r="B75" s="676" t="s">
        <v>485</v>
      </c>
      <c r="C75" s="677" t="s">
        <v>497</v>
      </c>
      <c r="D75" s="678" t="s">
        <v>498</v>
      </c>
      <c r="E75" s="677" t="s">
        <v>1685</v>
      </c>
      <c r="F75" s="678" t="s">
        <v>1686</v>
      </c>
      <c r="G75" s="677" t="s">
        <v>1779</v>
      </c>
      <c r="H75" s="677" t="s">
        <v>1780</v>
      </c>
      <c r="I75" s="680">
        <v>67.760002136230469</v>
      </c>
      <c r="J75" s="680">
        <v>9</v>
      </c>
      <c r="K75" s="681">
        <v>609.83999633789062</v>
      </c>
    </row>
    <row r="76" spans="1:11" ht="14.4" customHeight="1" x14ac:dyDescent="0.3">
      <c r="A76" s="675" t="s">
        <v>484</v>
      </c>
      <c r="B76" s="676" t="s">
        <v>485</v>
      </c>
      <c r="C76" s="677" t="s">
        <v>497</v>
      </c>
      <c r="D76" s="678" t="s">
        <v>498</v>
      </c>
      <c r="E76" s="677" t="s">
        <v>1685</v>
      </c>
      <c r="F76" s="678" t="s">
        <v>1686</v>
      </c>
      <c r="G76" s="677" t="s">
        <v>1781</v>
      </c>
      <c r="H76" s="677" t="s">
        <v>1782</v>
      </c>
      <c r="I76" s="680">
        <v>46</v>
      </c>
      <c r="J76" s="680">
        <v>7</v>
      </c>
      <c r="K76" s="681">
        <v>322</v>
      </c>
    </row>
    <row r="77" spans="1:11" ht="14.4" customHeight="1" x14ac:dyDescent="0.3">
      <c r="A77" s="675" t="s">
        <v>484</v>
      </c>
      <c r="B77" s="676" t="s">
        <v>485</v>
      </c>
      <c r="C77" s="677" t="s">
        <v>497</v>
      </c>
      <c r="D77" s="678" t="s">
        <v>498</v>
      </c>
      <c r="E77" s="677" t="s">
        <v>1685</v>
      </c>
      <c r="F77" s="678" t="s">
        <v>1686</v>
      </c>
      <c r="G77" s="677" t="s">
        <v>1783</v>
      </c>
      <c r="H77" s="677" t="s">
        <v>1784</v>
      </c>
      <c r="I77" s="680">
        <v>46.31666692097982</v>
      </c>
      <c r="J77" s="680">
        <v>36</v>
      </c>
      <c r="K77" s="681">
        <v>1667.4000244140625</v>
      </c>
    </row>
    <row r="78" spans="1:11" ht="14.4" customHeight="1" x14ac:dyDescent="0.3">
      <c r="A78" s="675" t="s">
        <v>484</v>
      </c>
      <c r="B78" s="676" t="s">
        <v>485</v>
      </c>
      <c r="C78" s="677" t="s">
        <v>497</v>
      </c>
      <c r="D78" s="678" t="s">
        <v>498</v>
      </c>
      <c r="E78" s="677" t="s">
        <v>1685</v>
      </c>
      <c r="F78" s="678" t="s">
        <v>1686</v>
      </c>
      <c r="G78" s="677" t="s">
        <v>1785</v>
      </c>
      <c r="H78" s="677" t="s">
        <v>1786</v>
      </c>
      <c r="I78" s="680">
        <v>4.3000001907348633</v>
      </c>
      <c r="J78" s="680">
        <v>36</v>
      </c>
      <c r="K78" s="681">
        <v>154.80000305175781</v>
      </c>
    </row>
    <row r="79" spans="1:11" ht="14.4" customHeight="1" x14ac:dyDescent="0.3">
      <c r="A79" s="675" t="s">
        <v>484</v>
      </c>
      <c r="B79" s="676" t="s">
        <v>485</v>
      </c>
      <c r="C79" s="677" t="s">
        <v>497</v>
      </c>
      <c r="D79" s="678" t="s">
        <v>498</v>
      </c>
      <c r="E79" s="677" t="s">
        <v>1685</v>
      </c>
      <c r="F79" s="678" t="s">
        <v>1686</v>
      </c>
      <c r="G79" s="677" t="s">
        <v>1787</v>
      </c>
      <c r="H79" s="677" t="s">
        <v>1788</v>
      </c>
      <c r="I79" s="680">
        <v>8.5785713195800781</v>
      </c>
      <c r="J79" s="680">
        <v>276</v>
      </c>
      <c r="K79" s="681">
        <v>2367.4800415039062</v>
      </c>
    </row>
    <row r="80" spans="1:11" ht="14.4" customHeight="1" x14ac:dyDescent="0.3">
      <c r="A80" s="675" t="s">
        <v>484</v>
      </c>
      <c r="B80" s="676" t="s">
        <v>485</v>
      </c>
      <c r="C80" s="677" t="s">
        <v>497</v>
      </c>
      <c r="D80" s="678" t="s">
        <v>498</v>
      </c>
      <c r="E80" s="677" t="s">
        <v>1685</v>
      </c>
      <c r="F80" s="678" t="s">
        <v>1686</v>
      </c>
      <c r="G80" s="677" t="s">
        <v>1789</v>
      </c>
      <c r="H80" s="677" t="s">
        <v>1790</v>
      </c>
      <c r="I80" s="680">
        <v>10.522500276565552</v>
      </c>
      <c r="J80" s="680">
        <v>40</v>
      </c>
      <c r="K80" s="681">
        <v>420.89999389648437</v>
      </c>
    </row>
    <row r="81" spans="1:11" ht="14.4" customHeight="1" x14ac:dyDescent="0.3">
      <c r="A81" s="675" t="s">
        <v>484</v>
      </c>
      <c r="B81" s="676" t="s">
        <v>485</v>
      </c>
      <c r="C81" s="677" t="s">
        <v>497</v>
      </c>
      <c r="D81" s="678" t="s">
        <v>498</v>
      </c>
      <c r="E81" s="677" t="s">
        <v>1685</v>
      </c>
      <c r="F81" s="678" t="s">
        <v>1686</v>
      </c>
      <c r="G81" s="677" t="s">
        <v>1791</v>
      </c>
      <c r="H81" s="677" t="s">
        <v>1792</v>
      </c>
      <c r="I81" s="680">
        <v>13.223999977111816</v>
      </c>
      <c r="J81" s="680">
        <v>70</v>
      </c>
      <c r="K81" s="681">
        <v>925.79998779296875</v>
      </c>
    </row>
    <row r="82" spans="1:11" ht="14.4" customHeight="1" x14ac:dyDescent="0.3">
      <c r="A82" s="675" t="s">
        <v>484</v>
      </c>
      <c r="B82" s="676" t="s">
        <v>485</v>
      </c>
      <c r="C82" s="677" t="s">
        <v>497</v>
      </c>
      <c r="D82" s="678" t="s">
        <v>498</v>
      </c>
      <c r="E82" s="677" t="s">
        <v>1685</v>
      </c>
      <c r="F82" s="678" t="s">
        <v>1686</v>
      </c>
      <c r="G82" s="677" t="s">
        <v>1793</v>
      </c>
      <c r="H82" s="677" t="s">
        <v>1794</v>
      </c>
      <c r="I82" s="680">
        <v>2.5033333301544189</v>
      </c>
      <c r="J82" s="680">
        <v>80</v>
      </c>
      <c r="K82" s="681">
        <v>200.20000076293945</v>
      </c>
    </row>
    <row r="83" spans="1:11" ht="14.4" customHeight="1" x14ac:dyDescent="0.3">
      <c r="A83" s="675" t="s">
        <v>484</v>
      </c>
      <c r="B83" s="676" t="s">
        <v>485</v>
      </c>
      <c r="C83" s="677" t="s">
        <v>497</v>
      </c>
      <c r="D83" s="678" t="s">
        <v>498</v>
      </c>
      <c r="E83" s="677" t="s">
        <v>1685</v>
      </c>
      <c r="F83" s="678" t="s">
        <v>1686</v>
      </c>
      <c r="G83" s="677" t="s">
        <v>1795</v>
      </c>
      <c r="H83" s="677" t="s">
        <v>1796</v>
      </c>
      <c r="I83" s="680">
        <v>3.2674999833106995</v>
      </c>
      <c r="J83" s="680">
        <v>100</v>
      </c>
      <c r="K83" s="681">
        <v>326.80000305175781</v>
      </c>
    </row>
    <row r="84" spans="1:11" ht="14.4" customHeight="1" x14ac:dyDescent="0.3">
      <c r="A84" s="675" t="s">
        <v>484</v>
      </c>
      <c r="B84" s="676" t="s">
        <v>485</v>
      </c>
      <c r="C84" s="677" t="s">
        <v>497</v>
      </c>
      <c r="D84" s="678" t="s">
        <v>498</v>
      </c>
      <c r="E84" s="677" t="s">
        <v>1685</v>
      </c>
      <c r="F84" s="678" t="s">
        <v>1686</v>
      </c>
      <c r="G84" s="677" t="s">
        <v>1797</v>
      </c>
      <c r="H84" s="677" t="s">
        <v>1798</v>
      </c>
      <c r="I84" s="680">
        <v>3.9640000343322752</v>
      </c>
      <c r="J84" s="680">
        <v>120</v>
      </c>
      <c r="K84" s="681">
        <v>475.59999084472656</v>
      </c>
    </row>
    <row r="85" spans="1:11" ht="14.4" customHeight="1" x14ac:dyDescent="0.3">
      <c r="A85" s="675" t="s">
        <v>484</v>
      </c>
      <c r="B85" s="676" t="s">
        <v>485</v>
      </c>
      <c r="C85" s="677" t="s">
        <v>497</v>
      </c>
      <c r="D85" s="678" t="s">
        <v>498</v>
      </c>
      <c r="E85" s="677" t="s">
        <v>1685</v>
      </c>
      <c r="F85" s="678" t="s">
        <v>1686</v>
      </c>
      <c r="G85" s="677" t="s">
        <v>1799</v>
      </c>
      <c r="H85" s="677" t="s">
        <v>1800</v>
      </c>
      <c r="I85" s="680">
        <v>183.08000183105469</v>
      </c>
      <c r="J85" s="680">
        <v>2</v>
      </c>
      <c r="K85" s="681">
        <v>366.16000366210937</v>
      </c>
    </row>
    <row r="86" spans="1:11" ht="14.4" customHeight="1" x14ac:dyDescent="0.3">
      <c r="A86" s="675" t="s">
        <v>484</v>
      </c>
      <c r="B86" s="676" t="s">
        <v>485</v>
      </c>
      <c r="C86" s="677" t="s">
        <v>497</v>
      </c>
      <c r="D86" s="678" t="s">
        <v>498</v>
      </c>
      <c r="E86" s="677" t="s">
        <v>1685</v>
      </c>
      <c r="F86" s="678" t="s">
        <v>1686</v>
      </c>
      <c r="G86" s="677" t="s">
        <v>1801</v>
      </c>
      <c r="H86" s="677" t="s">
        <v>1802</v>
      </c>
      <c r="I86" s="680">
        <v>243.52999877929687</v>
      </c>
      <c r="J86" s="680">
        <v>1</v>
      </c>
      <c r="K86" s="681">
        <v>243.52999877929687</v>
      </c>
    </row>
    <row r="87" spans="1:11" ht="14.4" customHeight="1" x14ac:dyDescent="0.3">
      <c r="A87" s="675" t="s">
        <v>484</v>
      </c>
      <c r="B87" s="676" t="s">
        <v>485</v>
      </c>
      <c r="C87" s="677" t="s">
        <v>497</v>
      </c>
      <c r="D87" s="678" t="s">
        <v>498</v>
      </c>
      <c r="E87" s="677" t="s">
        <v>1685</v>
      </c>
      <c r="F87" s="678" t="s">
        <v>1686</v>
      </c>
      <c r="G87" s="677" t="s">
        <v>1803</v>
      </c>
      <c r="H87" s="677" t="s">
        <v>1804</v>
      </c>
      <c r="I87" s="680">
        <v>52.299999237060547</v>
      </c>
      <c r="J87" s="680">
        <v>1</v>
      </c>
      <c r="K87" s="681">
        <v>52.299999237060547</v>
      </c>
    </row>
    <row r="88" spans="1:11" ht="14.4" customHeight="1" x14ac:dyDescent="0.3">
      <c r="A88" s="675" t="s">
        <v>484</v>
      </c>
      <c r="B88" s="676" t="s">
        <v>485</v>
      </c>
      <c r="C88" s="677" t="s">
        <v>497</v>
      </c>
      <c r="D88" s="678" t="s">
        <v>498</v>
      </c>
      <c r="E88" s="677" t="s">
        <v>1685</v>
      </c>
      <c r="F88" s="678" t="s">
        <v>1686</v>
      </c>
      <c r="G88" s="677" t="s">
        <v>1805</v>
      </c>
      <c r="H88" s="677" t="s">
        <v>1806</v>
      </c>
      <c r="I88" s="680">
        <v>685.04998779296875</v>
      </c>
      <c r="J88" s="680">
        <v>5</v>
      </c>
      <c r="K88" s="681">
        <v>3425.2498779296875</v>
      </c>
    </row>
    <row r="89" spans="1:11" ht="14.4" customHeight="1" x14ac:dyDescent="0.3">
      <c r="A89" s="675" t="s">
        <v>484</v>
      </c>
      <c r="B89" s="676" t="s">
        <v>485</v>
      </c>
      <c r="C89" s="677" t="s">
        <v>497</v>
      </c>
      <c r="D89" s="678" t="s">
        <v>498</v>
      </c>
      <c r="E89" s="677" t="s">
        <v>1685</v>
      </c>
      <c r="F89" s="678" t="s">
        <v>1686</v>
      </c>
      <c r="G89" s="677" t="s">
        <v>1807</v>
      </c>
      <c r="H89" s="677" t="s">
        <v>1808</v>
      </c>
      <c r="I89" s="680">
        <v>899.84002685546875</v>
      </c>
      <c r="J89" s="680">
        <v>3</v>
      </c>
      <c r="K89" s="681">
        <v>2699.52001953125</v>
      </c>
    </row>
    <row r="90" spans="1:11" ht="14.4" customHeight="1" x14ac:dyDescent="0.3">
      <c r="A90" s="675" t="s">
        <v>484</v>
      </c>
      <c r="B90" s="676" t="s">
        <v>485</v>
      </c>
      <c r="C90" s="677" t="s">
        <v>497</v>
      </c>
      <c r="D90" s="678" t="s">
        <v>498</v>
      </c>
      <c r="E90" s="677" t="s">
        <v>1685</v>
      </c>
      <c r="F90" s="678" t="s">
        <v>1686</v>
      </c>
      <c r="G90" s="677" t="s">
        <v>1809</v>
      </c>
      <c r="H90" s="677" t="s">
        <v>1810</v>
      </c>
      <c r="I90" s="680">
        <v>1083.8800048828125</v>
      </c>
      <c r="J90" s="680">
        <v>2</v>
      </c>
      <c r="K90" s="681">
        <v>2167.760009765625</v>
      </c>
    </row>
    <row r="91" spans="1:11" ht="14.4" customHeight="1" x14ac:dyDescent="0.3">
      <c r="A91" s="675" t="s">
        <v>484</v>
      </c>
      <c r="B91" s="676" t="s">
        <v>485</v>
      </c>
      <c r="C91" s="677" t="s">
        <v>497</v>
      </c>
      <c r="D91" s="678" t="s">
        <v>498</v>
      </c>
      <c r="E91" s="677" t="s">
        <v>1685</v>
      </c>
      <c r="F91" s="678" t="s">
        <v>1686</v>
      </c>
      <c r="G91" s="677" t="s">
        <v>1811</v>
      </c>
      <c r="H91" s="677" t="s">
        <v>1812</v>
      </c>
      <c r="I91" s="680">
        <v>99.919998168945313</v>
      </c>
      <c r="J91" s="680">
        <v>5</v>
      </c>
      <c r="K91" s="681">
        <v>499.6099853515625</v>
      </c>
    </row>
    <row r="92" spans="1:11" ht="14.4" customHeight="1" x14ac:dyDescent="0.3">
      <c r="A92" s="675" t="s">
        <v>484</v>
      </c>
      <c r="B92" s="676" t="s">
        <v>485</v>
      </c>
      <c r="C92" s="677" t="s">
        <v>497</v>
      </c>
      <c r="D92" s="678" t="s">
        <v>498</v>
      </c>
      <c r="E92" s="677" t="s">
        <v>1685</v>
      </c>
      <c r="F92" s="678" t="s">
        <v>1686</v>
      </c>
      <c r="G92" s="677" t="s">
        <v>1813</v>
      </c>
      <c r="H92" s="677" t="s">
        <v>1814</v>
      </c>
      <c r="I92" s="680">
        <v>3.0099999904632568</v>
      </c>
      <c r="J92" s="680">
        <v>50</v>
      </c>
      <c r="K92" s="681">
        <v>150.49000549316406</v>
      </c>
    </row>
    <row r="93" spans="1:11" ht="14.4" customHeight="1" x14ac:dyDescent="0.3">
      <c r="A93" s="675" t="s">
        <v>484</v>
      </c>
      <c r="B93" s="676" t="s">
        <v>485</v>
      </c>
      <c r="C93" s="677" t="s">
        <v>497</v>
      </c>
      <c r="D93" s="678" t="s">
        <v>498</v>
      </c>
      <c r="E93" s="677" t="s">
        <v>1685</v>
      </c>
      <c r="F93" s="678" t="s">
        <v>1686</v>
      </c>
      <c r="G93" s="677" t="s">
        <v>1815</v>
      </c>
      <c r="H93" s="677" t="s">
        <v>1816</v>
      </c>
      <c r="I93" s="680">
        <v>0.41999998688697815</v>
      </c>
      <c r="J93" s="680">
        <v>12900</v>
      </c>
      <c r="K93" s="681">
        <v>5418</v>
      </c>
    </row>
    <row r="94" spans="1:11" ht="14.4" customHeight="1" x14ac:dyDescent="0.3">
      <c r="A94" s="675" t="s">
        <v>484</v>
      </c>
      <c r="B94" s="676" t="s">
        <v>485</v>
      </c>
      <c r="C94" s="677" t="s">
        <v>497</v>
      </c>
      <c r="D94" s="678" t="s">
        <v>498</v>
      </c>
      <c r="E94" s="677" t="s">
        <v>1685</v>
      </c>
      <c r="F94" s="678" t="s">
        <v>1686</v>
      </c>
      <c r="G94" s="677" t="s">
        <v>1817</v>
      </c>
      <c r="H94" s="677" t="s">
        <v>1818</v>
      </c>
      <c r="I94" s="680">
        <v>0.66500002145767212</v>
      </c>
      <c r="J94" s="680">
        <v>1000</v>
      </c>
      <c r="K94" s="681">
        <v>665</v>
      </c>
    </row>
    <row r="95" spans="1:11" ht="14.4" customHeight="1" x14ac:dyDescent="0.3">
      <c r="A95" s="675" t="s">
        <v>484</v>
      </c>
      <c r="B95" s="676" t="s">
        <v>485</v>
      </c>
      <c r="C95" s="677" t="s">
        <v>497</v>
      </c>
      <c r="D95" s="678" t="s">
        <v>498</v>
      </c>
      <c r="E95" s="677" t="s">
        <v>1685</v>
      </c>
      <c r="F95" s="678" t="s">
        <v>1686</v>
      </c>
      <c r="G95" s="677" t="s">
        <v>1819</v>
      </c>
      <c r="H95" s="677" t="s">
        <v>1820</v>
      </c>
      <c r="I95" s="680">
        <v>2.5399999618530273</v>
      </c>
      <c r="J95" s="680">
        <v>1000</v>
      </c>
      <c r="K95" s="681">
        <v>2539.199951171875</v>
      </c>
    </row>
    <row r="96" spans="1:11" ht="14.4" customHeight="1" x14ac:dyDescent="0.3">
      <c r="A96" s="675" t="s">
        <v>484</v>
      </c>
      <c r="B96" s="676" t="s">
        <v>485</v>
      </c>
      <c r="C96" s="677" t="s">
        <v>497</v>
      </c>
      <c r="D96" s="678" t="s">
        <v>498</v>
      </c>
      <c r="E96" s="677" t="s">
        <v>1685</v>
      </c>
      <c r="F96" s="678" t="s">
        <v>1686</v>
      </c>
      <c r="G96" s="677" t="s">
        <v>1821</v>
      </c>
      <c r="H96" s="677" t="s">
        <v>1822</v>
      </c>
      <c r="I96" s="680">
        <v>3.940000057220459</v>
      </c>
      <c r="J96" s="680">
        <v>3250</v>
      </c>
      <c r="K96" s="681">
        <v>12819.9501953125</v>
      </c>
    </row>
    <row r="97" spans="1:11" ht="14.4" customHeight="1" x14ac:dyDescent="0.3">
      <c r="A97" s="675" t="s">
        <v>484</v>
      </c>
      <c r="B97" s="676" t="s">
        <v>485</v>
      </c>
      <c r="C97" s="677" t="s">
        <v>497</v>
      </c>
      <c r="D97" s="678" t="s">
        <v>498</v>
      </c>
      <c r="E97" s="677" t="s">
        <v>1685</v>
      </c>
      <c r="F97" s="678" t="s">
        <v>1686</v>
      </c>
      <c r="G97" s="677" t="s">
        <v>1823</v>
      </c>
      <c r="H97" s="677" t="s">
        <v>1824</v>
      </c>
      <c r="I97" s="680">
        <v>1.2519999980926513</v>
      </c>
      <c r="J97" s="680">
        <v>2625</v>
      </c>
      <c r="K97" s="681">
        <v>3291.1599426269531</v>
      </c>
    </row>
    <row r="98" spans="1:11" ht="14.4" customHeight="1" x14ac:dyDescent="0.3">
      <c r="A98" s="675" t="s">
        <v>484</v>
      </c>
      <c r="B98" s="676" t="s">
        <v>485</v>
      </c>
      <c r="C98" s="677" t="s">
        <v>497</v>
      </c>
      <c r="D98" s="678" t="s">
        <v>498</v>
      </c>
      <c r="E98" s="677" t="s">
        <v>1685</v>
      </c>
      <c r="F98" s="678" t="s">
        <v>1686</v>
      </c>
      <c r="G98" s="677" t="s">
        <v>1825</v>
      </c>
      <c r="H98" s="677" t="s">
        <v>1826</v>
      </c>
      <c r="I98" s="680">
        <v>108.62000274658203</v>
      </c>
      <c r="J98" s="680">
        <v>5</v>
      </c>
      <c r="K98" s="681">
        <v>543.1099853515625</v>
      </c>
    </row>
    <row r="99" spans="1:11" ht="14.4" customHeight="1" x14ac:dyDescent="0.3">
      <c r="A99" s="675" t="s">
        <v>484</v>
      </c>
      <c r="B99" s="676" t="s">
        <v>485</v>
      </c>
      <c r="C99" s="677" t="s">
        <v>497</v>
      </c>
      <c r="D99" s="678" t="s">
        <v>498</v>
      </c>
      <c r="E99" s="677" t="s">
        <v>1685</v>
      </c>
      <c r="F99" s="678" t="s">
        <v>1686</v>
      </c>
      <c r="G99" s="677" t="s">
        <v>1827</v>
      </c>
      <c r="H99" s="677" t="s">
        <v>1828</v>
      </c>
      <c r="I99" s="680">
        <v>1.4216666221618652</v>
      </c>
      <c r="J99" s="680">
        <v>1400</v>
      </c>
      <c r="K99" s="681">
        <v>1988.5400085449219</v>
      </c>
    </row>
    <row r="100" spans="1:11" ht="14.4" customHeight="1" x14ac:dyDescent="0.3">
      <c r="A100" s="675" t="s">
        <v>484</v>
      </c>
      <c r="B100" s="676" t="s">
        <v>485</v>
      </c>
      <c r="C100" s="677" t="s">
        <v>497</v>
      </c>
      <c r="D100" s="678" t="s">
        <v>498</v>
      </c>
      <c r="E100" s="677" t="s">
        <v>1685</v>
      </c>
      <c r="F100" s="678" t="s">
        <v>1686</v>
      </c>
      <c r="G100" s="677" t="s">
        <v>1829</v>
      </c>
      <c r="H100" s="677" t="s">
        <v>1830</v>
      </c>
      <c r="I100" s="680">
        <v>8.2200002670288086</v>
      </c>
      <c r="J100" s="680">
        <v>1344</v>
      </c>
      <c r="K100" s="681">
        <v>11047.760131835938</v>
      </c>
    </row>
    <row r="101" spans="1:11" ht="14.4" customHeight="1" x14ac:dyDescent="0.3">
      <c r="A101" s="675" t="s">
        <v>484</v>
      </c>
      <c r="B101" s="676" t="s">
        <v>485</v>
      </c>
      <c r="C101" s="677" t="s">
        <v>497</v>
      </c>
      <c r="D101" s="678" t="s">
        <v>498</v>
      </c>
      <c r="E101" s="677" t="s">
        <v>1685</v>
      </c>
      <c r="F101" s="678" t="s">
        <v>1686</v>
      </c>
      <c r="G101" s="677" t="s">
        <v>1831</v>
      </c>
      <c r="H101" s="677" t="s">
        <v>1832</v>
      </c>
      <c r="I101" s="680">
        <v>27.874000167846681</v>
      </c>
      <c r="J101" s="680">
        <v>30</v>
      </c>
      <c r="K101" s="681">
        <v>836.21999740600586</v>
      </c>
    </row>
    <row r="102" spans="1:11" ht="14.4" customHeight="1" x14ac:dyDescent="0.3">
      <c r="A102" s="675" t="s">
        <v>484</v>
      </c>
      <c r="B102" s="676" t="s">
        <v>485</v>
      </c>
      <c r="C102" s="677" t="s">
        <v>497</v>
      </c>
      <c r="D102" s="678" t="s">
        <v>498</v>
      </c>
      <c r="E102" s="677" t="s">
        <v>1685</v>
      </c>
      <c r="F102" s="678" t="s">
        <v>1686</v>
      </c>
      <c r="G102" s="677" t="s">
        <v>1833</v>
      </c>
      <c r="H102" s="677" t="s">
        <v>1834</v>
      </c>
      <c r="I102" s="680">
        <v>28.731428146362305</v>
      </c>
      <c r="J102" s="680">
        <v>482</v>
      </c>
      <c r="K102" s="681">
        <v>13848.3603515625</v>
      </c>
    </row>
    <row r="103" spans="1:11" ht="14.4" customHeight="1" x14ac:dyDescent="0.3">
      <c r="A103" s="675" t="s">
        <v>484</v>
      </c>
      <c r="B103" s="676" t="s">
        <v>485</v>
      </c>
      <c r="C103" s="677" t="s">
        <v>497</v>
      </c>
      <c r="D103" s="678" t="s">
        <v>498</v>
      </c>
      <c r="E103" s="677" t="s">
        <v>1685</v>
      </c>
      <c r="F103" s="678" t="s">
        <v>1686</v>
      </c>
      <c r="G103" s="677" t="s">
        <v>1835</v>
      </c>
      <c r="H103" s="677" t="s">
        <v>1836</v>
      </c>
      <c r="I103" s="680">
        <v>314.79998779296875</v>
      </c>
      <c r="J103" s="680">
        <v>2</v>
      </c>
      <c r="K103" s="681">
        <v>629.5999755859375</v>
      </c>
    </row>
    <row r="104" spans="1:11" ht="14.4" customHeight="1" x14ac:dyDescent="0.3">
      <c r="A104" s="675" t="s">
        <v>484</v>
      </c>
      <c r="B104" s="676" t="s">
        <v>485</v>
      </c>
      <c r="C104" s="677" t="s">
        <v>497</v>
      </c>
      <c r="D104" s="678" t="s">
        <v>498</v>
      </c>
      <c r="E104" s="677" t="s">
        <v>1685</v>
      </c>
      <c r="F104" s="678" t="s">
        <v>1686</v>
      </c>
      <c r="G104" s="677" t="s">
        <v>1837</v>
      </c>
      <c r="H104" s="677" t="s">
        <v>1838</v>
      </c>
      <c r="I104" s="680">
        <v>314.79998779296875</v>
      </c>
      <c r="J104" s="680">
        <v>8</v>
      </c>
      <c r="K104" s="681">
        <v>2518.4099731445312</v>
      </c>
    </row>
    <row r="105" spans="1:11" ht="14.4" customHeight="1" x14ac:dyDescent="0.3">
      <c r="A105" s="675" t="s">
        <v>484</v>
      </c>
      <c r="B105" s="676" t="s">
        <v>485</v>
      </c>
      <c r="C105" s="677" t="s">
        <v>497</v>
      </c>
      <c r="D105" s="678" t="s">
        <v>498</v>
      </c>
      <c r="E105" s="677" t="s">
        <v>1685</v>
      </c>
      <c r="F105" s="678" t="s">
        <v>1686</v>
      </c>
      <c r="G105" s="677" t="s">
        <v>1839</v>
      </c>
      <c r="H105" s="677" t="s">
        <v>1840</v>
      </c>
      <c r="I105" s="680">
        <v>0.99000000953674316</v>
      </c>
      <c r="J105" s="680">
        <v>380</v>
      </c>
      <c r="K105" s="681">
        <v>376.77999877929687</v>
      </c>
    </row>
    <row r="106" spans="1:11" ht="14.4" customHeight="1" x14ac:dyDescent="0.3">
      <c r="A106" s="675" t="s">
        <v>484</v>
      </c>
      <c r="B106" s="676" t="s">
        <v>485</v>
      </c>
      <c r="C106" s="677" t="s">
        <v>497</v>
      </c>
      <c r="D106" s="678" t="s">
        <v>498</v>
      </c>
      <c r="E106" s="677" t="s">
        <v>1841</v>
      </c>
      <c r="F106" s="678" t="s">
        <v>1842</v>
      </c>
      <c r="G106" s="677" t="s">
        <v>1843</v>
      </c>
      <c r="H106" s="677" t="s">
        <v>1844</v>
      </c>
      <c r="I106" s="680">
        <v>121</v>
      </c>
      <c r="J106" s="680">
        <v>90</v>
      </c>
      <c r="K106" s="681">
        <v>10890</v>
      </c>
    </row>
    <row r="107" spans="1:11" ht="14.4" customHeight="1" x14ac:dyDescent="0.3">
      <c r="A107" s="675" t="s">
        <v>484</v>
      </c>
      <c r="B107" s="676" t="s">
        <v>485</v>
      </c>
      <c r="C107" s="677" t="s">
        <v>497</v>
      </c>
      <c r="D107" s="678" t="s">
        <v>498</v>
      </c>
      <c r="E107" s="677" t="s">
        <v>1841</v>
      </c>
      <c r="F107" s="678" t="s">
        <v>1842</v>
      </c>
      <c r="G107" s="677" t="s">
        <v>1845</v>
      </c>
      <c r="H107" s="677" t="s">
        <v>1846</v>
      </c>
      <c r="I107" s="680">
        <v>47.189998626708984</v>
      </c>
      <c r="J107" s="680">
        <v>160</v>
      </c>
      <c r="K107" s="681">
        <v>7550.3998413085937</v>
      </c>
    </row>
    <row r="108" spans="1:11" ht="14.4" customHeight="1" x14ac:dyDescent="0.3">
      <c r="A108" s="675" t="s">
        <v>484</v>
      </c>
      <c r="B108" s="676" t="s">
        <v>485</v>
      </c>
      <c r="C108" s="677" t="s">
        <v>497</v>
      </c>
      <c r="D108" s="678" t="s">
        <v>498</v>
      </c>
      <c r="E108" s="677" t="s">
        <v>1841</v>
      </c>
      <c r="F108" s="678" t="s">
        <v>1842</v>
      </c>
      <c r="G108" s="677" t="s">
        <v>1847</v>
      </c>
      <c r="H108" s="677" t="s">
        <v>1848</v>
      </c>
      <c r="I108" s="680">
        <v>6.2899999618530273</v>
      </c>
      <c r="J108" s="680">
        <v>300</v>
      </c>
      <c r="K108" s="681">
        <v>1887</v>
      </c>
    </row>
    <row r="109" spans="1:11" ht="14.4" customHeight="1" x14ac:dyDescent="0.3">
      <c r="A109" s="675" t="s">
        <v>484</v>
      </c>
      <c r="B109" s="676" t="s">
        <v>485</v>
      </c>
      <c r="C109" s="677" t="s">
        <v>497</v>
      </c>
      <c r="D109" s="678" t="s">
        <v>498</v>
      </c>
      <c r="E109" s="677" t="s">
        <v>1841</v>
      </c>
      <c r="F109" s="678" t="s">
        <v>1842</v>
      </c>
      <c r="G109" s="677" t="s">
        <v>1849</v>
      </c>
      <c r="H109" s="677" t="s">
        <v>1850</v>
      </c>
      <c r="I109" s="680">
        <v>2.9042858055659702</v>
      </c>
      <c r="J109" s="680">
        <v>2498</v>
      </c>
      <c r="K109" s="681">
        <v>7254.1800537109375</v>
      </c>
    </row>
    <row r="110" spans="1:11" ht="14.4" customHeight="1" x14ac:dyDescent="0.3">
      <c r="A110" s="675" t="s">
        <v>484</v>
      </c>
      <c r="B110" s="676" t="s">
        <v>485</v>
      </c>
      <c r="C110" s="677" t="s">
        <v>497</v>
      </c>
      <c r="D110" s="678" t="s">
        <v>498</v>
      </c>
      <c r="E110" s="677" t="s">
        <v>1841</v>
      </c>
      <c r="F110" s="678" t="s">
        <v>1842</v>
      </c>
      <c r="G110" s="677" t="s">
        <v>1851</v>
      </c>
      <c r="H110" s="677" t="s">
        <v>1852</v>
      </c>
      <c r="I110" s="680">
        <v>2.9050000905990601</v>
      </c>
      <c r="J110" s="680">
        <v>2200</v>
      </c>
      <c r="K110" s="681">
        <v>6390</v>
      </c>
    </row>
    <row r="111" spans="1:11" ht="14.4" customHeight="1" x14ac:dyDescent="0.3">
      <c r="A111" s="675" t="s">
        <v>484</v>
      </c>
      <c r="B111" s="676" t="s">
        <v>485</v>
      </c>
      <c r="C111" s="677" t="s">
        <v>497</v>
      </c>
      <c r="D111" s="678" t="s">
        <v>498</v>
      </c>
      <c r="E111" s="677" t="s">
        <v>1841</v>
      </c>
      <c r="F111" s="678" t="s">
        <v>1842</v>
      </c>
      <c r="G111" s="677" t="s">
        <v>1853</v>
      </c>
      <c r="H111" s="677" t="s">
        <v>1854</v>
      </c>
      <c r="I111" s="680">
        <v>2.9100000858306885</v>
      </c>
      <c r="J111" s="680">
        <v>800</v>
      </c>
      <c r="K111" s="681">
        <v>2328</v>
      </c>
    </row>
    <row r="112" spans="1:11" ht="14.4" customHeight="1" x14ac:dyDescent="0.3">
      <c r="A112" s="675" t="s">
        <v>484</v>
      </c>
      <c r="B112" s="676" t="s">
        <v>485</v>
      </c>
      <c r="C112" s="677" t="s">
        <v>497</v>
      </c>
      <c r="D112" s="678" t="s">
        <v>498</v>
      </c>
      <c r="E112" s="677" t="s">
        <v>1841</v>
      </c>
      <c r="F112" s="678" t="s">
        <v>1842</v>
      </c>
      <c r="G112" s="677" t="s">
        <v>1855</v>
      </c>
      <c r="H112" s="677" t="s">
        <v>1856</v>
      </c>
      <c r="I112" s="680">
        <v>2.9060000896453859</v>
      </c>
      <c r="J112" s="680">
        <v>1336</v>
      </c>
      <c r="K112" s="681">
        <v>3881.3699951171875</v>
      </c>
    </row>
    <row r="113" spans="1:11" ht="14.4" customHeight="1" x14ac:dyDescent="0.3">
      <c r="A113" s="675" t="s">
        <v>484</v>
      </c>
      <c r="B113" s="676" t="s">
        <v>485</v>
      </c>
      <c r="C113" s="677" t="s">
        <v>497</v>
      </c>
      <c r="D113" s="678" t="s">
        <v>498</v>
      </c>
      <c r="E113" s="677" t="s">
        <v>1841</v>
      </c>
      <c r="F113" s="678" t="s">
        <v>1842</v>
      </c>
      <c r="G113" s="677" t="s">
        <v>1857</v>
      </c>
      <c r="H113" s="677" t="s">
        <v>1858</v>
      </c>
      <c r="I113" s="680">
        <v>2.9100000858306885</v>
      </c>
      <c r="J113" s="680">
        <v>100</v>
      </c>
      <c r="K113" s="681">
        <v>291</v>
      </c>
    </row>
    <row r="114" spans="1:11" ht="14.4" customHeight="1" x14ac:dyDescent="0.3">
      <c r="A114" s="675" t="s">
        <v>484</v>
      </c>
      <c r="B114" s="676" t="s">
        <v>485</v>
      </c>
      <c r="C114" s="677" t="s">
        <v>497</v>
      </c>
      <c r="D114" s="678" t="s">
        <v>498</v>
      </c>
      <c r="E114" s="677" t="s">
        <v>1841</v>
      </c>
      <c r="F114" s="678" t="s">
        <v>1842</v>
      </c>
      <c r="G114" s="677" t="s">
        <v>1859</v>
      </c>
      <c r="H114" s="677" t="s">
        <v>1860</v>
      </c>
      <c r="I114" s="680">
        <v>2.9000000953674316</v>
      </c>
      <c r="J114" s="680">
        <v>100</v>
      </c>
      <c r="K114" s="681">
        <v>290</v>
      </c>
    </row>
    <row r="115" spans="1:11" ht="14.4" customHeight="1" x14ac:dyDescent="0.3">
      <c r="A115" s="675" t="s">
        <v>484</v>
      </c>
      <c r="B115" s="676" t="s">
        <v>485</v>
      </c>
      <c r="C115" s="677" t="s">
        <v>497</v>
      </c>
      <c r="D115" s="678" t="s">
        <v>498</v>
      </c>
      <c r="E115" s="677" t="s">
        <v>1841</v>
      </c>
      <c r="F115" s="678" t="s">
        <v>1842</v>
      </c>
      <c r="G115" s="677" t="s">
        <v>1861</v>
      </c>
      <c r="H115" s="677" t="s">
        <v>1862</v>
      </c>
      <c r="I115" s="680">
        <v>2.9100000858306885</v>
      </c>
      <c r="J115" s="680">
        <v>100</v>
      </c>
      <c r="K115" s="681">
        <v>291</v>
      </c>
    </row>
    <row r="116" spans="1:11" ht="14.4" customHeight="1" x14ac:dyDescent="0.3">
      <c r="A116" s="675" t="s">
        <v>484</v>
      </c>
      <c r="B116" s="676" t="s">
        <v>485</v>
      </c>
      <c r="C116" s="677" t="s">
        <v>497</v>
      </c>
      <c r="D116" s="678" t="s">
        <v>498</v>
      </c>
      <c r="E116" s="677" t="s">
        <v>1841</v>
      </c>
      <c r="F116" s="678" t="s">
        <v>1842</v>
      </c>
      <c r="G116" s="677" t="s">
        <v>1863</v>
      </c>
      <c r="H116" s="677" t="s">
        <v>1864</v>
      </c>
      <c r="I116" s="680">
        <v>250.80000305175781</v>
      </c>
      <c r="J116" s="680">
        <v>25</v>
      </c>
      <c r="K116" s="681">
        <v>6269.919921875</v>
      </c>
    </row>
    <row r="117" spans="1:11" ht="14.4" customHeight="1" x14ac:dyDescent="0.3">
      <c r="A117" s="675" t="s">
        <v>484</v>
      </c>
      <c r="B117" s="676" t="s">
        <v>485</v>
      </c>
      <c r="C117" s="677" t="s">
        <v>497</v>
      </c>
      <c r="D117" s="678" t="s">
        <v>498</v>
      </c>
      <c r="E117" s="677" t="s">
        <v>1841</v>
      </c>
      <c r="F117" s="678" t="s">
        <v>1842</v>
      </c>
      <c r="G117" s="677" t="s">
        <v>1865</v>
      </c>
      <c r="H117" s="677" t="s">
        <v>1866</v>
      </c>
      <c r="I117" s="680">
        <v>4.8133333524068194</v>
      </c>
      <c r="J117" s="680">
        <v>3400</v>
      </c>
      <c r="K117" s="681">
        <v>16366</v>
      </c>
    </row>
    <row r="118" spans="1:11" ht="14.4" customHeight="1" x14ac:dyDescent="0.3">
      <c r="A118" s="675" t="s">
        <v>484</v>
      </c>
      <c r="B118" s="676" t="s">
        <v>485</v>
      </c>
      <c r="C118" s="677" t="s">
        <v>497</v>
      </c>
      <c r="D118" s="678" t="s">
        <v>498</v>
      </c>
      <c r="E118" s="677" t="s">
        <v>1841</v>
      </c>
      <c r="F118" s="678" t="s">
        <v>1842</v>
      </c>
      <c r="G118" s="677" t="s">
        <v>1867</v>
      </c>
      <c r="H118" s="677" t="s">
        <v>1868</v>
      </c>
      <c r="I118" s="680">
        <v>1.9999999552965164E-2</v>
      </c>
      <c r="J118" s="680">
        <v>100</v>
      </c>
      <c r="K118" s="681">
        <v>2</v>
      </c>
    </row>
    <row r="119" spans="1:11" ht="14.4" customHeight="1" x14ac:dyDescent="0.3">
      <c r="A119" s="675" t="s">
        <v>484</v>
      </c>
      <c r="B119" s="676" t="s">
        <v>485</v>
      </c>
      <c r="C119" s="677" t="s">
        <v>497</v>
      </c>
      <c r="D119" s="678" t="s">
        <v>498</v>
      </c>
      <c r="E119" s="677" t="s">
        <v>1841</v>
      </c>
      <c r="F119" s="678" t="s">
        <v>1842</v>
      </c>
      <c r="G119" s="677" t="s">
        <v>1869</v>
      </c>
      <c r="H119" s="677" t="s">
        <v>1870</v>
      </c>
      <c r="I119" s="680">
        <v>1.8799999952316284</v>
      </c>
      <c r="J119" s="680">
        <v>300</v>
      </c>
      <c r="K119" s="681">
        <v>564</v>
      </c>
    </row>
    <row r="120" spans="1:11" ht="14.4" customHeight="1" x14ac:dyDescent="0.3">
      <c r="A120" s="675" t="s">
        <v>484</v>
      </c>
      <c r="B120" s="676" t="s">
        <v>485</v>
      </c>
      <c r="C120" s="677" t="s">
        <v>497</v>
      </c>
      <c r="D120" s="678" t="s">
        <v>498</v>
      </c>
      <c r="E120" s="677" t="s">
        <v>1841</v>
      </c>
      <c r="F120" s="678" t="s">
        <v>1842</v>
      </c>
      <c r="G120" s="677" t="s">
        <v>1871</v>
      </c>
      <c r="H120" s="677" t="s">
        <v>1872</v>
      </c>
      <c r="I120" s="680">
        <v>1.9360000133514403</v>
      </c>
      <c r="J120" s="680">
        <v>1200</v>
      </c>
      <c r="K120" s="681">
        <v>2324</v>
      </c>
    </row>
    <row r="121" spans="1:11" ht="14.4" customHeight="1" x14ac:dyDescent="0.3">
      <c r="A121" s="675" t="s">
        <v>484</v>
      </c>
      <c r="B121" s="676" t="s">
        <v>485</v>
      </c>
      <c r="C121" s="677" t="s">
        <v>497</v>
      </c>
      <c r="D121" s="678" t="s">
        <v>498</v>
      </c>
      <c r="E121" s="677" t="s">
        <v>1841</v>
      </c>
      <c r="F121" s="678" t="s">
        <v>1842</v>
      </c>
      <c r="G121" s="677" t="s">
        <v>1873</v>
      </c>
      <c r="H121" s="677" t="s">
        <v>1874</v>
      </c>
      <c r="I121" s="680">
        <v>11.145714214869908</v>
      </c>
      <c r="J121" s="680">
        <v>2950</v>
      </c>
      <c r="K121" s="681">
        <v>32879.5</v>
      </c>
    </row>
    <row r="122" spans="1:11" ht="14.4" customHeight="1" x14ac:dyDescent="0.3">
      <c r="A122" s="675" t="s">
        <v>484</v>
      </c>
      <c r="B122" s="676" t="s">
        <v>485</v>
      </c>
      <c r="C122" s="677" t="s">
        <v>497</v>
      </c>
      <c r="D122" s="678" t="s">
        <v>498</v>
      </c>
      <c r="E122" s="677" t="s">
        <v>1841</v>
      </c>
      <c r="F122" s="678" t="s">
        <v>1842</v>
      </c>
      <c r="G122" s="677" t="s">
        <v>1875</v>
      </c>
      <c r="H122" s="677" t="s">
        <v>1876</v>
      </c>
      <c r="I122" s="680">
        <v>14.633333206176758</v>
      </c>
      <c r="J122" s="680">
        <v>440</v>
      </c>
      <c r="K122" s="681">
        <v>6443.2001342773437</v>
      </c>
    </row>
    <row r="123" spans="1:11" ht="14.4" customHeight="1" x14ac:dyDescent="0.3">
      <c r="A123" s="675" t="s">
        <v>484</v>
      </c>
      <c r="B123" s="676" t="s">
        <v>485</v>
      </c>
      <c r="C123" s="677" t="s">
        <v>497</v>
      </c>
      <c r="D123" s="678" t="s">
        <v>498</v>
      </c>
      <c r="E123" s="677" t="s">
        <v>1841</v>
      </c>
      <c r="F123" s="678" t="s">
        <v>1842</v>
      </c>
      <c r="G123" s="677" t="s">
        <v>1877</v>
      </c>
      <c r="H123" s="677" t="s">
        <v>1878</v>
      </c>
      <c r="I123" s="680">
        <v>6.1074999570846558</v>
      </c>
      <c r="J123" s="680">
        <v>1400</v>
      </c>
      <c r="K123" s="681">
        <v>8552</v>
      </c>
    </row>
    <row r="124" spans="1:11" ht="14.4" customHeight="1" x14ac:dyDescent="0.3">
      <c r="A124" s="675" t="s">
        <v>484</v>
      </c>
      <c r="B124" s="676" t="s">
        <v>485</v>
      </c>
      <c r="C124" s="677" t="s">
        <v>497</v>
      </c>
      <c r="D124" s="678" t="s">
        <v>498</v>
      </c>
      <c r="E124" s="677" t="s">
        <v>1841</v>
      </c>
      <c r="F124" s="678" t="s">
        <v>1842</v>
      </c>
      <c r="G124" s="677" t="s">
        <v>1879</v>
      </c>
      <c r="H124" s="677" t="s">
        <v>1880</v>
      </c>
      <c r="I124" s="680">
        <v>6.1500000953674316</v>
      </c>
      <c r="J124" s="680">
        <v>400</v>
      </c>
      <c r="K124" s="681">
        <v>2460</v>
      </c>
    </row>
    <row r="125" spans="1:11" ht="14.4" customHeight="1" x14ac:dyDescent="0.3">
      <c r="A125" s="675" t="s">
        <v>484</v>
      </c>
      <c r="B125" s="676" t="s">
        <v>485</v>
      </c>
      <c r="C125" s="677" t="s">
        <v>497</v>
      </c>
      <c r="D125" s="678" t="s">
        <v>498</v>
      </c>
      <c r="E125" s="677" t="s">
        <v>1841</v>
      </c>
      <c r="F125" s="678" t="s">
        <v>1842</v>
      </c>
      <c r="G125" s="677" t="s">
        <v>1881</v>
      </c>
      <c r="H125" s="677" t="s">
        <v>1882</v>
      </c>
      <c r="I125" s="680">
        <v>3.4520000457763671</v>
      </c>
      <c r="J125" s="680">
        <v>3040</v>
      </c>
      <c r="K125" s="681">
        <v>10513.599945068359</v>
      </c>
    </row>
    <row r="126" spans="1:11" ht="14.4" customHeight="1" x14ac:dyDescent="0.3">
      <c r="A126" s="675" t="s">
        <v>484</v>
      </c>
      <c r="B126" s="676" t="s">
        <v>485</v>
      </c>
      <c r="C126" s="677" t="s">
        <v>497</v>
      </c>
      <c r="D126" s="678" t="s">
        <v>498</v>
      </c>
      <c r="E126" s="677" t="s">
        <v>1841</v>
      </c>
      <c r="F126" s="678" t="s">
        <v>1842</v>
      </c>
      <c r="G126" s="677" t="s">
        <v>1883</v>
      </c>
      <c r="H126" s="677" t="s">
        <v>1884</v>
      </c>
      <c r="I126" s="680">
        <v>3.4357143470219205</v>
      </c>
      <c r="J126" s="680">
        <v>3010</v>
      </c>
      <c r="K126" s="681">
        <v>10339.919982910156</v>
      </c>
    </row>
    <row r="127" spans="1:11" ht="14.4" customHeight="1" x14ac:dyDescent="0.3">
      <c r="A127" s="675" t="s">
        <v>484</v>
      </c>
      <c r="B127" s="676" t="s">
        <v>485</v>
      </c>
      <c r="C127" s="677" t="s">
        <v>497</v>
      </c>
      <c r="D127" s="678" t="s">
        <v>498</v>
      </c>
      <c r="E127" s="677" t="s">
        <v>1841</v>
      </c>
      <c r="F127" s="678" t="s">
        <v>1842</v>
      </c>
      <c r="G127" s="677" t="s">
        <v>1885</v>
      </c>
      <c r="H127" s="677" t="s">
        <v>1886</v>
      </c>
      <c r="I127" s="680">
        <v>30.729999542236328</v>
      </c>
      <c r="J127" s="680">
        <v>400</v>
      </c>
      <c r="K127" s="681">
        <v>12293.599609375</v>
      </c>
    </row>
    <row r="128" spans="1:11" ht="14.4" customHeight="1" x14ac:dyDescent="0.3">
      <c r="A128" s="675" t="s">
        <v>484</v>
      </c>
      <c r="B128" s="676" t="s">
        <v>485</v>
      </c>
      <c r="C128" s="677" t="s">
        <v>497</v>
      </c>
      <c r="D128" s="678" t="s">
        <v>498</v>
      </c>
      <c r="E128" s="677" t="s">
        <v>1841</v>
      </c>
      <c r="F128" s="678" t="s">
        <v>1842</v>
      </c>
      <c r="G128" s="677" t="s">
        <v>1887</v>
      </c>
      <c r="H128" s="677" t="s">
        <v>1888</v>
      </c>
      <c r="I128" s="680">
        <v>15.130000114440918</v>
      </c>
      <c r="J128" s="680">
        <v>1200</v>
      </c>
      <c r="K128" s="681">
        <v>18151</v>
      </c>
    </row>
    <row r="129" spans="1:11" ht="14.4" customHeight="1" x14ac:dyDescent="0.3">
      <c r="A129" s="675" t="s">
        <v>484</v>
      </c>
      <c r="B129" s="676" t="s">
        <v>485</v>
      </c>
      <c r="C129" s="677" t="s">
        <v>497</v>
      </c>
      <c r="D129" s="678" t="s">
        <v>498</v>
      </c>
      <c r="E129" s="677" t="s">
        <v>1841</v>
      </c>
      <c r="F129" s="678" t="s">
        <v>1842</v>
      </c>
      <c r="G129" s="677" t="s">
        <v>1889</v>
      </c>
      <c r="H129" s="677" t="s">
        <v>1890</v>
      </c>
      <c r="I129" s="680">
        <v>31.069999694824219</v>
      </c>
      <c r="J129" s="680">
        <v>525</v>
      </c>
      <c r="K129" s="681">
        <v>16313.18994140625</v>
      </c>
    </row>
    <row r="130" spans="1:11" ht="14.4" customHeight="1" x14ac:dyDescent="0.3">
      <c r="A130" s="675" t="s">
        <v>484</v>
      </c>
      <c r="B130" s="676" t="s">
        <v>485</v>
      </c>
      <c r="C130" s="677" t="s">
        <v>497</v>
      </c>
      <c r="D130" s="678" t="s">
        <v>498</v>
      </c>
      <c r="E130" s="677" t="s">
        <v>1841</v>
      </c>
      <c r="F130" s="678" t="s">
        <v>1842</v>
      </c>
      <c r="G130" s="677" t="s">
        <v>1891</v>
      </c>
      <c r="H130" s="677" t="s">
        <v>1892</v>
      </c>
      <c r="I130" s="680">
        <v>22</v>
      </c>
      <c r="J130" s="680">
        <v>110</v>
      </c>
      <c r="K130" s="681">
        <v>2420</v>
      </c>
    </row>
    <row r="131" spans="1:11" ht="14.4" customHeight="1" x14ac:dyDescent="0.3">
      <c r="A131" s="675" t="s">
        <v>484</v>
      </c>
      <c r="B131" s="676" t="s">
        <v>485</v>
      </c>
      <c r="C131" s="677" t="s">
        <v>497</v>
      </c>
      <c r="D131" s="678" t="s">
        <v>498</v>
      </c>
      <c r="E131" s="677" t="s">
        <v>1841</v>
      </c>
      <c r="F131" s="678" t="s">
        <v>1842</v>
      </c>
      <c r="G131" s="677" t="s">
        <v>1893</v>
      </c>
      <c r="H131" s="677" t="s">
        <v>1894</v>
      </c>
      <c r="I131" s="680">
        <v>22</v>
      </c>
      <c r="J131" s="680">
        <v>30</v>
      </c>
      <c r="K131" s="681">
        <v>660</v>
      </c>
    </row>
    <row r="132" spans="1:11" ht="14.4" customHeight="1" x14ac:dyDescent="0.3">
      <c r="A132" s="675" t="s">
        <v>484</v>
      </c>
      <c r="B132" s="676" t="s">
        <v>485</v>
      </c>
      <c r="C132" s="677" t="s">
        <v>497</v>
      </c>
      <c r="D132" s="678" t="s">
        <v>498</v>
      </c>
      <c r="E132" s="677" t="s">
        <v>1841</v>
      </c>
      <c r="F132" s="678" t="s">
        <v>1842</v>
      </c>
      <c r="G132" s="677" t="s">
        <v>1895</v>
      </c>
      <c r="H132" s="677" t="s">
        <v>1896</v>
      </c>
      <c r="I132" s="680">
        <v>22</v>
      </c>
      <c r="J132" s="680">
        <v>10</v>
      </c>
      <c r="K132" s="681">
        <v>220</v>
      </c>
    </row>
    <row r="133" spans="1:11" ht="14.4" customHeight="1" x14ac:dyDescent="0.3">
      <c r="A133" s="675" t="s">
        <v>484</v>
      </c>
      <c r="B133" s="676" t="s">
        <v>485</v>
      </c>
      <c r="C133" s="677" t="s">
        <v>497</v>
      </c>
      <c r="D133" s="678" t="s">
        <v>498</v>
      </c>
      <c r="E133" s="677" t="s">
        <v>1841</v>
      </c>
      <c r="F133" s="678" t="s">
        <v>1842</v>
      </c>
      <c r="G133" s="677" t="s">
        <v>1897</v>
      </c>
      <c r="H133" s="677" t="s">
        <v>1898</v>
      </c>
      <c r="I133" s="680">
        <v>646.7550048828125</v>
      </c>
      <c r="J133" s="680">
        <v>4</v>
      </c>
      <c r="K133" s="681">
        <v>2587.02001953125</v>
      </c>
    </row>
    <row r="134" spans="1:11" ht="14.4" customHeight="1" x14ac:dyDescent="0.3">
      <c r="A134" s="675" t="s">
        <v>484</v>
      </c>
      <c r="B134" s="676" t="s">
        <v>485</v>
      </c>
      <c r="C134" s="677" t="s">
        <v>497</v>
      </c>
      <c r="D134" s="678" t="s">
        <v>498</v>
      </c>
      <c r="E134" s="677" t="s">
        <v>1841</v>
      </c>
      <c r="F134" s="678" t="s">
        <v>1842</v>
      </c>
      <c r="G134" s="677" t="s">
        <v>1899</v>
      </c>
      <c r="H134" s="677" t="s">
        <v>1900</v>
      </c>
      <c r="I134" s="680">
        <v>527.969970703125</v>
      </c>
      <c r="J134" s="680">
        <v>10</v>
      </c>
      <c r="K134" s="681">
        <v>5279.64990234375</v>
      </c>
    </row>
    <row r="135" spans="1:11" ht="14.4" customHeight="1" x14ac:dyDescent="0.3">
      <c r="A135" s="675" t="s">
        <v>484</v>
      </c>
      <c r="B135" s="676" t="s">
        <v>485</v>
      </c>
      <c r="C135" s="677" t="s">
        <v>497</v>
      </c>
      <c r="D135" s="678" t="s">
        <v>498</v>
      </c>
      <c r="E135" s="677" t="s">
        <v>1841</v>
      </c>
      <c r="F135" s="678" t="s">
        <v>1842</v>
      </c>
      <c r="G135" s="677" t="s">
        <v>1901</v>
      </c>
      <c r="H135" s="677" t="s">
        <v>1902</v>
      </c>
      <c r="I135" s="680">
        <v>646.760009765625</v>
      </c>
      <c r="J135" s="680">
        <v>8</v>
      </c>
      <c r="K135" s="681">
        <v>5174.080078125</v>
      </c>
    </row>
    <row r="136" spans="1:11" ht="14.4" customHeight="1" x14ac:dyDescent="0.3">
      <c r="A136" s="675" t="s">
        <v>484</v>
      </c>
      <c r="B136" s="676" t="s">
        <v>485</v>
      </c>
      <c r="C136" s="677" t="s">
        <v>497</v>
      </c>
      <c r="D136" s="678" t="s">
        <v>498</v>
      </c>
      <c r="E136" s="677" t="s">
        <v>1841</v>
      </c>
      <c r="F136" s="678" t="s">
        <v>1842</v>
      </c>
      <c r="G136" s="677" t="s">
        <v>1903</v>
      </c>
      <c r="H136" s="677" t="s">
        <v>1904</v>
      </c>
      <c r="I136" s="680">
        <v>484.04000854492187</v>
      </c>
      <c r="J136" s="680">
        <v>20</v>
      </c>
      <c r="K136" s="681">
        <v>9680.7001953125</v>
      </c>
    </row>
    <row r="137" spans="1:11" ht="14.4" customHeight="1" x14ac:dyDescent="0.3">
      <c r="A137" s="675" t="s">
        <v>484</v>
      </c>
      <c r="B137" s="676" t="s">
        <v>485</v>
      </c>
      <c r="C137" s="677" t="s">
        <v>497</v>
      </c>
      <c r="D137" s="678" t="s">
        <v>498</v>
      </c>
      <c r="E137" s="677" t="s">
        <v>1841</v>
      </c>
      <c r="F137" s="678" t="s">
        <v>1842</v>
      </c>
      <c r="G137" s="677" t="s">
        <v>1905</v>
      </c>
      <c r="H137" s="677" t="s">
        <v>1906</v>
      </c>
      <c r="I137" s="680">
        <v>484.04000854492187</v>
      </c>
      <c r="J137" s="680">
        <v>10</v>
      </c>
      <c r="K137" s="681">
        <v>4840.35009765625</v>
      </c>
    </row>
    <row r="138" spans="1:11" ht="14.4" customHeight="1" x14ac:dyDescent="0.3">
      <c r="A138" s="675" t="s">
        <v>484</v>
      </c>
      <c r="B138" s="676" t="s">
        <v>485</v>
      </c>
      <c r="C138" s="677" t="s">
        <v>497</v>
      </c>
      <c r="D138" s="678" t="s">
        <v>498</v>
      </c>
      <c r="E138" s="677" t="s">
        <v>1841</v>
      </c>
      <c r="F138" s="678" t="s">
        <v>1842</v>
      </c>
      <c r="G138" s="677" t="s">
        <v>1907</v>
      </c>
      <c r="H138" s="677" t="s">
        <v>1908</v>
      </c>
      <c r="I138" s="680">
        <v>646.760009765625</v>
      </c>
      <c r="J138" s="680">
        <v>4</v>
      </c>
      <c r="K138" s="681">
        <v>2587.0400390625</v>
      </c>
    </row>
    <row r="139" spans="1:11" ht="14.4" customHeight="1" x14ac:dyDescent="0.3">
      <c r="A139" s="675" t="s">
        <v>484</v>
      </c>
      <c r="B139" s="676" t="s">
        <v>485</v>
      </c>
      <c r="C139" s="677" t="s">
        <v>497</v>
      </c>
      <c r="D139" s="678" t="s">
        <v>498</v>
      </c>
      <c r="E139" s="677" t="s">
        <v>1841</v>
      </c>
      <c r="F139" s="678" t="s">
        <v>1842</v>
      </c>
      <c r="G139" s="677" t="s">
        <v>1909</v>
      </c>
      <c r="H139" s="677" t="s">
        <v>1910</v>
      </c>
      <c r="I139" s="680">
        <v>17.979999542236328</v>
      </c>
      <c r="J139" s="680">
        <v>50</v>
      </c>
      <c r="K139" s="681">
        <v>899.030029296875</v>
      </c>
    </row>
    <row r="140" spans="1:11" ht="14.4" customHeight="1" x14ac:dyDescent="0.3">
      <c r="A140" s="675" t="s">
        <v>484</v>
      </c>
      <c r="B140" s="676" t="s">
        <v>485</v>
      </c>
      <c r="C140" s="677" t="s">
        <v>497</v>
      </c>
      <c r="D140" s="678" t="s">
        <v>498</v>
      </c>
      <c r="E140" s="677" t="s">
        <v>1841</v>
      </c>
      <c r="F140" s="678" t="s">
        <v>1842</v>
      </c>
      <c r="G140" s="677" t="s">
        <v>1911</v>
      </c>
      <c r="H140" s="677" t="s">
        <v>1912</v>
      </c>
      <c r="I140" s="680">
        <v>17.981999588012695</v>
      </c>
      <c r="J140" s="680">
        <v>250</v>
      </c>
      <c r="K140" s="681">
        <v>4495.5</v>
      </c>
    </row>
    <row r="141" spans="1:11" ht="14.4" customHeight="1" x14ac:dyDescent="0.3">
      <c r="A141" s="675" t="s">
        <v>484</v>
      </c>
      <c r="B141" s="676" t="s">
        <v>485</v>
      </c>
      <c r="C141" s="677" t="s">
        <v>497</v>
      </c>
      <c r="D141" s="678" t="s">
        <v>498</v>
      </c>
      <c r="E141" s="677" t="s">
        <v>1841</v>
      </c>
      <c r="F141" s="678" t="s">
        <v>1842</v>
      </c>
      <c r="G141" s="677" t="s">
        <v>1913</v>
      </c>
      <c r="H141" s="677" t="s">
        <v>1914</v>
      </c>
      <c r="I141" s="680">
        <v>1.7999999523162842</v>
      </c>
      <c r="J141" s="680">
        <v>10</v>
      </c>
      <c r="K141" s="681">
        <v>18</v>
      </c>
    </row>
    <row r="142" spans="1:11" ht="14.4" customHeight="1" x14ac:dyDescent="0.3">
      <c r="A142" s="675" t="s">
        <v>484</v>
      </c>
      <c r="B142" s="676" t="s">
        <v>485</v>
      </c>
      <c r="C142" s="677" t="s">
        <v>497</v>
      </c>
      <c r="D142" s="678" t="s">
        <v>498</v>
      </c>
      <c r="E142" s="677" t="s">
        <v>1841</v>
      </c>
      <c r="F142" s="678" t="s">
        <v>1842</v>
      </c>
      <c r="G142" s="677" t="s">
        <v>1915</v>
      </c>
      <c r="H142" s="677" t="s">
        <v>1916</v>
      </c>
      <c r="I142" s="680">
        <v>12.100000381469727</v>
      </c>
      <c r="J142" s="680">
        <v>100</v>
      </c>
      <c r="K142" s="681">
        <v>1210</v>
      </c>
    </row>
    <row r="143" spans="1:11" ht="14.4" customHeight="1" x14ac:dyDescent="0.3">
      <c r="A143" s="675" t="s">
        <v>484</v>
      </c>
      <c r="B143" s="676" t="s">
        <v>485</v>
      </c>
      <c r="C143" s="677" t="s">
        <v>497</v>
      </c>
      <c r="D143" s="678" t="s">
        <v>498</v>
      </c>
      <c r="E143" s="677" t="s">
        <v>1841</v>
      </c>
      <c r="F143" s="678" t="s">
        <v>1842</v>
      </c>
      <c r="G143" s="677" t="s">
        <v>1917</v>
      </c>
      <c r="H143" s="677" t="s">
        <v>1918</v>
      </c>
      <c r="I143" s="680">
        <v>18.389999389648438</v>
      </c>
      <c r="J143" s="680">
        <v>24</v>
      </c>
      <c r="K143" s="681">
        <v>441.39999389648438</v>
      </c>
    </row>
    <row r="144" spans="1:11" ht="14.4" customHeight="1" x14ac:dyDescent="0.3">
      <c r="A144" s="675" t="s">
        <v>484</v>
      </c>
      <c r="B144" s="676" t="s">
        <v>485</v>
      </c>
      <c r="C144" s="677" t="s">
        <v>497</v>
      </c>
      <c r="D144" s="678" t="s">
        <v>498</v>
      </c>
      <c r="E144" s="677" t="s">
        <v>1841</v>
      </c>
      <c r="F144" s="678" t="s">
        <v>1842</v>
      </c>
      <c r="G144" s="677" t="s">
        <v>1919</v>
      </c>
      <c r="H144" s="677" t="s">
        <v>1920</v>
      </c>
      <c r="I144" s="680">
        <v>13.199999809265137</v>
      </c>
      <c r="J144" s="680">
        <v>10</v>
      </c>
      <c r="K144" s="681">
        <v>132</v>
      </c>
    </row>
    <row r="145" spans="1:11" ht="14.4" customHeight="1" x14ac:dyDescent="0.3">
      <c r="A145" s="675" t="s">
        <v>484</v>
      </c>
      <c r="B145" s="676" t="s">
        <v>485</v>
      </c>
      <c r="C145" s="677" t="s">
        <v>497</v>
      </c>
      <c r="D145" s="678" t="s">
        <v>498</v>
      </c>
      <c r="E145" s="677" t="s">
        <v>1841</v>
      </c>
      <c r="F145" s="678" t="s">
        <v>1842</v>
      </c>
      <c r="G145" s="677" t="s">
        <v>1921</v>
      </c>
      <c r="H145" s="677" t="s">
        <v>1922</v>
      </c>
      <c r="I145" s="680">
        <v>22.989999771118164</v>
      </c>
      <c r="J145" s="680">
        <v>30</v>
      </c>
      <c r="K145" s="681">
        <v>689.69998168945312</v>
      </c>
    </row>
    <row r="146" spans="1:11" ht="14.4" customHeight="1" x14ac:dyDescent="0.3">
      <c r="A146" s="675" t="s">
        <v>484</v>
      </c>
      <c r="B146" s="676" t="s">
        <v>485</v>
      </c>
      <c r="C146" s="677" t="s">
        <v>497</v>
      </c>
      <c r="D146" s="678" t="s">
        <v>498</v>
      </c>
      <c r="E146" s="677" t="s">
        <v>1841</v>
      </c>
      <c r="F146" s="678" t="s">
        <v>1842</v>
      </c>
      <c r="G146" s="677" t="s">
        <v>1923</v>
      </c>
      <c r="H146" s="677" t="s">
        <v>1924</v>
      </c>
      <c r="I146" s="680">
        <v>22.989999771118164</v>
      </c>
      <c r="J146" s="680">
        <v>200</v>
      </c>
      <c r="K146" s="681">
        <v>4598</v>
      </c>
    </row>
    <row r="147" spans="1:11" ht="14.4" customHeight="1" x14ac:dyDescent="0.3">
      <c r="A147" s="675" t="s">
        <v>484</v>
      </c>
      <c r="B147" s="676" t="s">
        <v>485</v>
      </c>
      <c r="C147" s="677" t="s">
        <v>497</v>
      </c>
      <c r="D147" s="678" t="s">
        <v>498</v>
      </c>
      <c r="E147" s="677" t="s">
        <v>1841</v>
      </c>
      <c r="F147" s="678" t="s">
        <v>1842</v>
      </c>
      <c r="G147" s="677" t="s">
        <v>1925</v>
      </c>
      <c r="H147" s="677" t="s">
        <v>1926</v>
      </c>
      <c r="I147" s="680">
        <v>4.0300002098083496</v>
      </c>
      <c r="J147" s="680">
        <v>800</v>
      </c>
      <c r="K147" s="681">
        <v>3224</v>
      </c>
    </row>
    <row r="148" spans="1:11" ht="14.4" customHeight="1" x14ac:dyDescent="0.3">
      <c r="A148" s="675" t="s">
        <v>484</v>
      </c>
      <c r="B148" s="676" t="s">
        <v>485</v>
      </c>
      <c r="C148" s="677" t="s">
        <v>497</v>
      </c>
      <c r="D148" s="678" t="s">
        <v>498</v>
      </c>
      <c r="E148" s="677" t="s">
        <v>1841</v>
      </c>
      <c r="F148" s="678" t="s">
        <v>1842</v>
      </c>
      <c r="G148" s="677" t="s">
        <v>1927</v>
      </c>
      <c r="H148" s="677" t="s">
        <v>1928</v>
      </c>
      <c r="I148" s="680">
        <v>108.87999979654948</v>
      </c>
      <c r="J148" s="680">
        <v>80</v>
      </c>
      <c r="K148" s="681">
        <v>8710.5999755859375</v>
      </c>
    </row>
    <row r="149" spans="1:11" ht="14.4" customHeight="1" x14ac:dyDescent="0.3">
      <c r="A149" s="675" t="s">
        <v>484</v>
      </c>
      <c r="B149" s="676" t="s">
        <v>485</v>
      </c>
      <c r="C149" s="677" t="s">
        <v>497</v>
      </c>
      <c r="D149" s="678" t="s">
        <v>498</v>
      </c>
      <c r="E149" s="677" t="s">
        <v>1841</v>
      </c>
      <c r="F149" s="678" t="s">
        <v>1842</v>
      </c>
      <c r="G149" s="677" t="s">
        <v>1929</v>
      </c>
      <c r="H149" s="677" t="s">
        <v>1930</v>
      </c>
      <c r="I149" s="680">
        <v>18.149999618530273</v>
      </c>
      <c r="J149" s="680">
        <v>200</v>
      </c>
      <c r="K149" s="681">
        <v>3630</v>
      </c>
    </row>
    <row r="150" spans="1:11" ht="14.4" customHeight="1" x14ac:dyDescent="0.3">
      <c r="A150" s="675" t="s">
        <v>484</v>
      </c>
      <c r="B150" s="676" t="s">
        <v>485</v>
      </c>
      <c r="C150" s="677" t="s">
        <v>497</v>
      </c>
      <c r="D150" s="678" t="s">
        <v>498</v>
      </c>
      <c r="E150" s="677" t="s">
        <v>1841</v>
      </c>
      <c r="F150" s="678" t="s">
        <v>1842</v>
      </c>
      <c r="G150" s="677" t="s">
        <v>1931</v>
      </c>
      <c r="H150" s="677" t="s">
        <v>1932</v>
      </c>
      <c r="I150" s="680">
        <v>9.6800003051757812</v>
      </c>
      <c r="J150" s="680">
        <v>4400</v>
      </c>
      <c r="K150" s="681">
        <v>42592</v>
      </c>
    </row>
    <row r="151" spans="1:11" ht="14.4" customHeight="1" x14ac:dyDescent="0.3">
      <c r="A151" s="675" t="s">
        <v>484</v>
      </c>
      <c r="B151" s="676" t="s">
        <v>485</v>
      </c>
      <c r="C151" s="677" t="s">
        <v>497</v>
      </c>
      <c r="D151" s="678" t="s">
        <v>498</v>
      </c>
      <c r="E151" s="677" t="s">
        <v>1841</v>
      </c>
      <c r="F151" s="678" t="s">
        <v>1842</v>
      </c>
      <c r="G151" s="677" t="s">
        <v>1933</v>
      </c>
      <c r="H151" s="677" t="s">
        <v>1934</v>
      </c>
      <c r="I151" s="680">
        <v>3.869999885559082</v>
      </c>
      <c r="J151" s="680">
        <v>1600</v>
      </c>
      <c r="K151" s="681">
        <v>6195.2000122070312</v>
      </c>
    </row>
    <row r="152" spans="1:11" ht="14.4" customHeight="1" x14ac:dyDescent="0.3">
      <c r="A152" s="675" t="s">
        <v>484</v>
      </c>
      <c r="B152" s="676" t="s">
        <v>485</v>
      </c>
      <c r="C152" s="677" t="s">
        <v>497</v>
      </c>
      <c r="D152" s="678" t="s">
        <v>498</v>
      </c>
      <c r="E152" s="677" t="s">
        <v>1841</v>
      </c>
      <c r="F152" s="678" t="s">
        <v>1842</v>
      </c>
      <c r="G152" s="677" t="s">
        <v>1935</v>
      </c>
      <c r="H152" s="677" t="s">
        <v>1936</v>
      </c>
      <c r="I152" s="680">
        <v>4.6233332951863604</v>
      </c>
      <c r="J152" s="680">
        <v>110</v>
      </c>
      <c r="K152" s="681">
        <v>508.5</v>
      </c>
    </row>
    <row r="153" spans="1:11" ht="14.4" customHeight="1" x14ac:dyDescent="0.3">
      <c r="A153" s="675" t="s">
        <v>484</v>
      </c>
      <c r="B153" s="676" t="s">
        <v>485</v>
      </c>
      <c r="C153" s="677" t="s">
        <v>497</v>
      </c>
      <c r="D153" s="678" t="s">
        <v>498</v>
      </c>
      <c r="E153" s="677" t="s">
        <v>1841</v>
      </c>
      <c r="F153" s="678" t="s">
        <v>1842</v>
      </c>
      <c r="G153" s="677" t="s">
        <v>1937</v>
      </c>
      <c r="H153" s="677" t="s">
        <v>1938</v>
      </c>
      <c r="I153" s="680">
        <v>3.9900000095367432</v>
      </c>
      <c r="J153" s="680">
        <v>50</v>
      </c>
      <c r="K153" s="681">
        <v>199.5</v>
      </c>
    </row>
    <row r="154" spans="1:11" ht="14.4" customHeight="1" x14ac:dyDescent="0.3">
      <c r="A154" s="675" t="s">
        <v>484</v>
      </c>
      <c r="B154" s="676" t="s">
        <v>485</v>
      </c>
      <c r="C154" s="677" t="s">
        <v>497</v>
      </c>
      <c r="D154" s="678" t="s">
        <v>498</v>
      </c>
      <c r="E154" s="677" t="s">
        <v>1841</v>
      </c>
      <c r="F154" s="678" t="s">
        <v>1842</v>
      </c>
      <c r="G154" s="677" t="s">
        <v>1939</v>
      </c>
      <c r="H154" s="677" t="s">
        <v>1940</v>
      </c>
      <c r="I154" s="680">
        <v>3.1400001049041748</v>
      </c>
      <c r="J154" s="680">
        <v>50</v>
      </c>
      <c r="K154" s="681">
        <v>157</v>
      </c>
    </row>
    <row r="155" spans="1:11" ht="14.4" customHeight="1" x14ac:dyDescent="0.3">
      <c r="A155" s="675" t="s">
        <v>484</v>
      </c>
      <c r="B155" s="676" t="s">
        <v>485</v>
      </c>
      <c r="C155" s="677" t="s">
        <v>497</v>
      </c>
      <c r="D155" s="678" t="s">
        <v>498</v>
      </c>
      <c r="E155" s="677" t="s">
        <v>1841</v>
      </c>
      <c r="F155" s="678" t="s">
        <v>1842</v>
      </c>
      <c r="G155" s="677" t="s">
        <v>1941</v>
      </c>
      <c r="H155" s="677" t="s">
        <v>1942</v>
      </c>
      <c r="I155" s="680">
        <v>314.60000610351562</v>
      </c>
      <c r="J155" s="680">
        <v>10</v>
      </c>
      <c r="K155" s="681">
        <v>3146</v>
      </c>
    </row>
    <row r="156" spans="1:11" ht="14.4" customHeight="1" x14ac:dyDescent="0.3">
      <c r="A156" s="675" t="s">
        <v>484</v>
      </c>
      <c r="B156" s="676" t="s">
        <v>485</v>
      </c>
      <c r="C156" s="677" t="s">
        <v>497</v>
      </c>
      <c r="D156" s="678" t="s">
        <v>498</v>
      </c>
      <c r="E156" s="677" t="s">
        <v>1841</v>
      </c>
      <c r="F156" s="678" t="s">
        <v>1842</v>
      </c>
      <c r="G156" s="677" t="s">
        <v>1943</v>
      </c>
      <c r="H156" s="677" t="s">
        <v>1944</v>
      </c>
      <c r="I156" s="680">
        <v>1109.27001953125</v>
      </c>
      <c r="J156" s="680">
        <v>2</v>
      </c>
      <c r="K156" s="681">
        <v>2218.5400390625</v>
      </c>
    </row>
    <row r="157" spans="1:11" ht="14.4" customHeight="1" x14ac:dyDescent="0.3">
      <c r="A157" s="675" t="s">
        <v>484</v>
      </c>
      <c r="B157" s="676" t="s">
        <v>485</v>
      </c>
      <c r="C157" s="677" t="s">
        <v>497</v>
      </c>
      <c r="D157" s="678" t="s">
        <v>498</v>
      </c>
      <c r="E157" s="677" t="s">
        <v>1841</v>
      </c>
      <c r="F157" s="678" t="s">
        <v>1842</v>
      </c>
      <c r="G157" s="677" t="s">
        <v>1945</v>
      </c>
      <c r="H157" s="677" t="s">
        <v>1946</v>
      </c>
      <c r="I157" s="680">
        <v>80.580001831054688</v>
      </c>
      <c r="J157" s="680">
        <v>25</v>
      </c>
      <c r="K157" s="681">
        <v>2014.4999389648437</v>
      </c>
    </row>
    <row r="158" spans="1:11" ht="14.4" customHeight="1" x14ac:dyDescent="0.3">
      <c r="A158" s="675" t="s">
        <v>484</v>
      </c>
      <c r="B158" s="676" t="s">
        <v>485</v>
      </c>
      <c r="C158" s="677" t="s">
        <v>497</v>
      </c>
      <c r="D158" s="678" t="s">
        <v>498</v>
      </c>
      <c r="E158" s="677" t="s">
        <v>1841</v>
      </c>
      <c r="F158" s="678" t="s">
        <v>1842</v>
      </c>
      <c r="G158" s="677" t="s">
        <v>1947</v>
      </c>
      <c r="H158" s="677" t="s">
        <v>1948</v>
      </c>
      <c r="I158" s="680">
        <v>39.930000305175781</v>
      </c>
      <c r="J158" s="680">
        <v>120</v>
      </c>
      <c r="K158" s="681">
        <v>4791.599853515625</v>
      </c>
    </row>
    <row r="159" spans="1:11" ht="14.4" customHeight="1" x14ac:dyDescent="0.3">
      <c r="A159" s="675" t="s">
        <v>484</v>
      </c>
      <c r="B159" s="676" t="s">
        <v>485</v>
      </c>
      <c r="C159" s="677" t="s">
        <v>497</v>
      </c>
      <c r="D159" s="678" t="s">
        <v>498</v>
      </c>
      <c r="E159" s="677" t="s">
        <v>1841</v>
      </c>
      <c r="F159" s="678" t="s">
        <v>1842</v>
      </c>
      <c r="G159" s="677" t="s">
        <v>1949</v>
      </c>
      <c r="H159" s="677" t="s">
        <v>1950</v>
      </c>
      <c r="I159" s="680">
        <v>102.84999847412109</v>
      </c>
      <c r="J159" s="680">
        <v>102</v>
      </c>
      <c r="K159" s="681">
        <v>10490.699951171875</v>
      </c>
    </row>
    <row r="160" spans="1:11" ht="14.4" customHeight="1" x14ac:dyDescent="0.3">
      <c r="A160" s="675" t="s">
        <v>484</v>
      </c>
      <c r="B160" s="676" t="s">
        <v>485</v>
      </c>
      <c r="C160" s="677" t="s">
        <v>497</v>
      </c>
      <c r="D160" s="678" t="s">
        <v>498</v>
      </c>
      <c r="E160" s="677" t="s">
        <v>1841</v>
      </c>
      <c r="F160" s="678" t="s">
        <v>1842</v>
      </c>
      <c r="G160" s="677" t="s">
        <v>1951</v>
      </c>
      <c r="H160" s="677" t="s">
        <v>1952</v>
      </c>
      <c r="I160" s="680">
        <v>0.25199999809265139</v>
      </c>
      <c r="J160" s="680">
        <v>900</v>
      </c>
      <c r="K160" s="681">
        <v>227</v>
      </c>
    </row>
    <row r="161" spans="1:11" ht="14.4" customHeight="1" x14ac:dyDescent="0.3">
      <c r="A161" s="675" t="s">
        <v>484</v>
      </c>
      <c r="B161" s="676" t="s">
        <v>485</v>
      </c>
      <c r="C161" s="677" t="s">
        <v>497</v>
      </c>
      <c r="D161" s="678" t="s">
        <v>498</v>
      </c>
      <c r="E161" s="677" t="s">
        <v>1841</v>
      </c>
      <c r="F161" s="678" t="s">
        <v>1842</v>
      </c>
      <c r="G161" s="677" t="s">
        <v>1953</v>
      </c>
      <c r="H161" s="677" t="s">
        <v>1954</v>
      </c>
      <c r="I161" s="680">
        <v>154</v>
      </c>
      <c r="J161" s="680">
        <v>10</v>
      </c>
      <c r="K161" s="681">
        <v>1539.969970703125</v>
      </c>
    </row>
    <row r="162" spans="1:11" ht="14.4" customHeight="1" x14ac:dyDescent="0.3">
      <c r="A162" s="675" t="s">
        <v>484</v>
      </c>
      <c r="B162" s="676" t="s">
        <v>485</v>
      </c>
      <c r="C162" s="677" t="s">
        <v>497</v>
      </c>
      <c r="D162" s="678" t="s">
        <v>498</v>
      </c>
      <c r="E162" s="677" t="s">
        <v>1841</v>
      </c>
      <c r="F162" s="678" t="s">
        <v>1842</v>
      </c>
      <c r="G162" s="677" t="s">
        <v>1955</v>
      </c>
      <c r="H162" s="677" t="s">
        <v>1956</v>
      </c>
      <c r="I162" s="680">
        <v>153.99000549316406</v>
      </c>
      <c r="J162" s="680">
        <v>10</v>
      </c>
      <c r="K162" s="681">
        <v>1539.9300537109375</v>
      </c>
    </row>
    <row r="163" spans="1:11" ht="14.4" customHeight="1" x14ac:dyDescent="0.3">
      <c r="A163" s="675" t="s">
        <v>484</v>
      </c>
      <c r="B163" s="676" t="s">
        <v>485</v>
      </c>
      <c r="C163" s="677" t="s">
        <v>497</v>
      </c>
      <c r="D163" s="678" t="s">
        <v>498</v>
      </c>
      <c r="E163" s="677" t="s">
        <v>1841</v>
      </c>
      <c r="F163" s="678" t="s">
        <v>1842</v>
      </c>
      <c r="G163" s="677" t="s">
        <v>1957</v>
      </c>
      <c r="H163" s="677" t="s">
        <v>1958</v>
      </c>
      <c r="I163" s="680">
        <v>90.75</v>
      </c>
      <c r="J163" s="680">
        <v>10</v>
      </c>
      <c r="K163" s="681">
        <v>907.5</v>
      </c>
    </row>
    <row r="164" spans="1:11" ht="14.4" customHeight="1" x14ac:dyDescent="0.3">
      <c r="A164" s="675" t="s">
        <v>484</v>
      </c>
      <c r="B164" s="676" t="s">
        <v>485</v>
      </c>
      <c r="C164" s="677" t="s">
        <v>497</v>
      </c>
      <c r="D164" s="678" t="s">
        <v>498</v>
      </c>
      <c r="E164" s="677" t="s">
        <v>1841</v>
      </c>
      <c r="F164" s="678" t="s">
        <v>1842</v>
      </c>
      <c r="G164" s="677" t="s">
        <v>1959</v>
      </c>
      <c r="H164" s="677" t="s">
        <v>1960</v>
      </c>
      <c r="I164" s="680">
        <v>18.069999694824219</v>
      </c>
      <c r="J164" s="680">
        <v>30</v>
      </c>
      <c r="K164" s="681">
        <v>542</v>
      </c>
    </row>
    <row r="165" spans="1:11" ht="14.4" customHeight="1" x14ac:dyDescent="0.3">
      <c r="A165" s="675" t="s">
        <v>484</v>
      </c>
      <c r="B165" s="676" t="s">
        <v>485</v>
      </c>
      <c r="C165" s="677" t="s">
        <v>497</v>
      </c>
      <c r="D165" s="678" t="s">
        <v>498</v>
      </c>
      <c r="E165" s="677" t="s">
        <v>1841</v>
      </c>
      <c r="F165" s="678" t="s">
        <v>1842</v>
      </c>
      <c r="G165" s="677" t="s">
        <v>1961</v>
      </c>
      <c r="H165" s="677" t="s">
        <v>1962</v>
      </c>
      <c r="I165" s="680">
        <v>302.5</v>
      </c>
      <c r="J165" s="680">
        <v>2</v>
      </c>
      <c r="K165" s="681">
        <v>605</v>
      </c>
    </row>
    <row r="166" spans="1:11" ht="14.4" customHeight="1" x14ac:dyDescent="0.3">
      <c r="A166" s="675" t="s">
        <v>484</v>
      </c>
      <c r="B166" s="676" t="s">
        <v>485</v>
      </c>
      <c r="C166" s="677" t="s">
        <v>497</v>
      </c>
      <c r="D166" s="678" t="s">
        <v>498</v>
      </c>
      <c r="E166" s="677" t="s">
        <v>1841</v>
      </c>
      <c r="F166" s="678" t="s">
        <v>1842</v>
      </c>
      <c r="G166" s="677" t="s">
        <v>1963</v>
      </c>
      <c r="H166" s="677" t="s">
        <v>1964</v>
      </c>
      <c r="I166" s="680">
        <v>302.57000732421875</v>
      </c>
      <c r="J166" s="680">
        <v>6</v>
      </c>
      <c r="K166" s="681">
        <v>1815.4300537109375</v>
      </c>
    </row>
    <row r="167" spans="1:11" ht="14.4" customHeight="1" x14ac:dyDescent="0.3">
      <c r="A167" s="675" t="s">
        <v>484</v>
      </c>
      <c r="B167" s="676" t="s">
        <v>485</v>
      </c>
      <c r="C167" s="677" t="s">
        <v>497</v>
      </c>
      <c r="D167" s="678" t="s">
        <v>498</v>
      </c>
      <c r="E167" s="677" t="s">
        <v>1841</v>
      </c>
      <c r="F167" s="678" t="s">
        <v>1842</v>
      </c>
      <c r="G167" s="677" t="s">
        <v>1965</v>
      </c>
      <c r="H167" s="677" t="s">
        <v>1966</v>
      </c>
      <c r="I167" s="680">
        <v>24.399999618530273</v>
      </c>
      <c r="J167" s="680">
        <v>500</v>
      </c>
      <c r="K167" s="681">
        <v>12201.979736328125</v>
      </c>
    </row>
    <row r="168" spans="1:11" ht="14.4" customHeight="1" x14ac:dyDescent="0.3">
      <c r="A168" s="675" t="s">
        <v>484</v>
      </c>
      <c r="B168" s="676" t="s">
        <v>485</v>
      </c>
      <c r="C168" s="677" t="s">
        <v>497</v>
      </c>
      <c r="D168" s="678" t="s">
        <v>498</v>
      </c>
      <c r="E168" s="677" t="s">
        <v>1841</v>
      </c>
      <c r="F168" s="678" t="s">
        <v>1842</v>
      </c>
      <c r="G168" s="677" t="s">
        <v>1967</v>
      </c>
      <c r="H168" s="677" t="s">
        <v>1968</v>
      </c>
      <c r="I168" s="680">
        <v>37.509998321533203</v>
      </c>
      <c r="J168" s="680">
        <v>1480</v>
      </c>
      <c r="K168" s="681">
        <v>55514.801635742188</v>
      </c>
    </row>
    <row r="169" spans="1:11" ht="14.4" customHeight="1" x14ac:dyDescent="0.3">
      <c r="A169" s="675" t="s">
        <v>484</v>
      </c>
      <c r="B169" s="676" t="s">
        <v>485</v>
      </c>
      <c r="C169" s="677" t="s">
        <v>497</v>
      </c>
      <c r="D169" s="678" t="s">
        <v>498</v>
      </c>
      <c r="E169" s="677" t="s">
        <v>1841</v>
      </c>
      <c r="F169" s="678" t="s">
        <v>1842</v>
      </c>
      <c r="G169" s="677" t="s">
        <v>1969</v>
      </c>
      <c r="H169" s="677" t="s">
        <v>1970</v>
      </c>
      <c r="I169" s="680">
        <v>58.917498588562012</v>
      </c>
      <c r="J169" s="680">
        <v>250</v>
      </c>
      <c r="K169" s="681">
        <v>14728.740234375</v>
      </c>
    </row>
    <row r="170" spans="1:11" ht="14.4" customHeight="1" x14ac:dyDescent="0.3">
      <c r="A170" s="675" t="s">
        <v>484</v>
      </c>
      <c r="B170" s="676" t="s">
        <v>485</v>
      </c>
      <c r="C170" s="677" t="s">
        <v>497</v>
      </c>
      <c r="D170" s="678" t="s">
        <v>498</v>
      </c>
      <c r="E170" s="677" t="s">
        <v>1841</v>
      </c>
      <c r="F170" s="678" t="s">
        <v>1842</v>
      </c>
      <c r="G170" s="677" t="s">
        <v>1971</v>
      </c>
      <c r="H170" s="677" t="s">
        <v>1972</v>
      </c>
      <c r="I170" s="680">
        <v>13.310000419616699</v>
      </c>
      <c r="J170" s="680">
        <v>600</v>
      </c>
      <c r="K170" s="681">
        <v>7986</v>
      </c>
    </row>
    <row r="171" spans="1:11" ht="14.4" customHeight="1" x14ac:dyDescent="0.3">
      <c r="A171" s="675" t="s">
        <v>484</v>
      </c>
      <c r="B171" s="676" t="s">
        <v>485</v>
      </c>
      <c r="C171" s="677" t="s">
        <v>497</v>
      </c>
      <c r="D171" s="678" t="s">
        <v>498</v>
      </c>
      <c r="E171" s="677" t="s">
        <v>1841</v>
      </c>
      <c r="F171" s="678" t="s">
        <v>1842</v>
      </c>
      <c r="G171" s="677" t="s">
        <v>1973</v>
      </c>
      <c r="H171" s="677" t="s">
        <v>1974</v>
      </c>
      <c r="I171" s="680">
        <v>110.12000274658203</v>
      </c>
      <c r="J171" s="680">
        <v>1</v>
      </c>
      <c r="K171" s="681">
        <v>110.12000274658203</v>
      </c>
    </row>
    <row r="172" spans="1:11" ht="14.4" customHeight="1" x14ac:dyDescent="0.3">
      <c r="A172" s="675" t="s">
        <v>484</v>
      </c>
      <c r="B172" s="676" t="s">
        <v>485</v>
      </c>
      <c r="C172" s="677" t="s">
        <v>497</v>
      </c>
      <c r="D172" s="678" t="s">
        <v>498</v>
      </c>
      <c r="E172" s="677" t="s">
        <v>1841</v>
      </c>
      <c r="F172" s="678" t="s">
        <v>1842</v>
      </c>
      <c r="G172" s="677" t="s">
        <v>1975</v>
      </c>
      <c r="H172" s="677" t="s">
        <v>1976</v>
      </c>
      <c r="I172" s="680">
        <v>4.8000001907348633</v>
      </c>
      <c r="J172" s="680">
        <v>100</v>
      </c>
      <c r="K172" s="681">
        <v>479.98001098632812</v>
      </c>
    </row>
    <row r="173" spans="1:11" ht="14.4" customHeight="1" x14ac:dyDescent="0.3">
      <c r="A173" s="675" t="s">
        <v>484</v>
      </c>
      <c r="B173" s="676" t="s">
        <v>485</v>
      </c>
      <c r="C173" s="677" t="s">
        <v>497</v>
      </c>
      <c r="D173" s="678" t="s">
        <v>498</v>
      </c>
      <c r="E173" s="677" t="s">
        <v>1841</v>
      </c>
      <c r="F173" s="678" t="s">
        <v>1842</v>
      </c>
      <c r="G173" s="677" t="s">
        <v>1977</v>
      </c>
      <c r="H173" s="677" t="s">
        <v>1978</v>
      </c>
      <c r="I173" s="680">
        <v>82.157503128051758</v>
      </c>
      <c r="J173" s="680">
        <v>120</v>
      </c>
      <c r="K173" s="681">
        <v>9858.9000244140625</v>
      </c>
    </row>
    <row r="174" spans="1:11" ht="14.4" customHeight="1" x14ac:dyDescent="0.3">
      <c r="A174" s="675" t="s">
        <v>484</v>
      </c>
      <c r="B174" s="676" t="s">
        <v>485</v>
      </c>
      <c r="C174" s="677" t="s">
        <v>497</v>
      </c>
      <c r="D174" s="678" t="s">
        <v>498</v>
      </c>
      <c r="E174" s="677" t="s">
        <v>1841</v>
      </c>
      <c r="F174" s="678" t="s">
        <v>1842</v>
      </c>
      <c r="G174" s="677" t="s">
        <v>1979</v>
      </c>
      <c r="H174" s="677" t="s">
        <v>1980</v>
      </c>
      <c r="I174" s="680">
        <v>96.319999694824219</v>
      </c>
      <c r="J174" s="680">
        <v>36</v>
      </c>
      <c r="K174" s="681">
        <v>3467.3701171875</v>
      </c>
    </row>
    <row r="175" spans="1:11" ht="14.4" customHeight="1" x14ac:dyDescent="0.3">
      <c r="A175" s="675" t="s">
        <v>484</v>
      </c>
      <c r="B175" s="676" t="s">
        <v>485</v>
      </c>
      <c r="C175" s="677" t="s">
        <v>497</v>
      </c>
      <c r="D175" s="678" t="s">
        <v>498</v>
      </c>
      <c r="E175" s="677" t="s">
        <v>1841</v>
      </c>
      <c r="F175" s="678" t="s">
        <v>1842</v>
      </c>
      <c r="G175" s="677" t="s">
        <v>1981</v>
      </c>
      <c r="H175" s="677" t="s">
        <v>1982</v>
      </c>
      <c r="I175" s="680">
        <v>179.69000244140625</v>
      </c>
      <c r="J175" s="680">
        <v>20</v>
      </c>
      <c r="K175" s="681">
        <v>3593.699951171875</v>
      </c>
    </row>
    <row r="176" spans="1:11" ht="14.4" customHeight="1" x14ac:dyDescent="0.3">
      <c r="A176" s="675" t="s">
        <v>484</v>
      </c>
      <c r="B176" s="676" t="s">
        <v>485</v>
      </c>
      <c r="C176" s="677" t="s">
        <v>497</v>
      </c>
      <c r="D176" s="678" t="s">
        <v>498</v>
      </c>
      <c r="E176" s="677" t="s">
        <v>1841</v>
      </c>
      <c r="F176" s="678" t="s">
        <v>1842</v>
      </c>
      <c r="G176" s="677" t="s">
        <v>1983</v>
      </c>
      <c r="H176" s="677" t="s">
        <v>1984</v>
      </c>
      <c r="I176" s="680">
        <v>3533.3260742187499</v>
      </c>
      <c r="J176" s="680">
        <v>5</v>
      </c>
      <c r="K176" s="681">
        <v>17666.63037109375</v>
      </c>
    </row>
    <row r="177" spans="1:11" ht="14.4" customHeight="1" x14ac:dyDescent="0.3">
      <c r="A177" s="675" t="s">
        <v>484</v>
      </c>
      <c r="B177" s="676" t="s">
        <v>485</v>
      </c>
      <c r="C177" s="677" t="s">
        <v>497</v>
      </c>
      <c r="D177" s="678" t="s">
        <v>498</v>
      </c>
      <c r="E177" s="677" t="s">
        <v>1841</v>
      </c>
      <c r="F177" s="678" t="s">
        <v>1842</v>
      </c>
      <c r="G177" s="677" t="s">
        <v>1985</v>
      </c>
      <c r="H177" s="677" t="s">
        <v>1986</v>
      </c>
      <c r="I177" s="680">
        <v>413.57998657226562</v>
      </c>
      <c r="J177" s="680">
        <v>2</v>
      </c>
      <c r="K177" s="681">
        <v>827.1500244140625</v>
      </c>
    </row>
    <row r="178" spans="1:11" ht="14.4" customHeight="1" x14ac:dyDescent="0.3">
      <c r="A178" s="675" t="s">
        <v>484</v>
      </c>
      <c r="B178" s="676" t="s">
        <v>485</v>
      </c>
      <c r="C178" s="677" t="s">
        <v>497</v>
      </c>
      <c r="D178" s="678" t="s">
        <v>498</v>
      </c>
      <c r="E178" s="677" t="s">
        <v>1841</v>
      </c>
      <c r="F178" s="678" t="s">
        <v>1842</v>
      </c>
      <c r="G178" s="677" t="s">
        <v>1987</v>
      </c>
      <c r="H178" s="677" t="s">
        <v>1988</v>
      </c>
      <c r="I178" s="680">
        <v>169.59000396728516</v>
      </c>
      <c r="J178" s="680">
        <v>20</v>
      </c>
      <c r="K178" s="681">
        <v>3391.75</v>
      </c>
    </row>
    <row r="179" spans="1:11" ht="14.4" customHeight="1" x14ac:dyDescent="0.3">
      <c r="A179" s="675" t="s">
        <v>484</v>
      </c>
      <c r="B179" s="676" t="s">
        <v>485</v>
      </c>
      <c r="C179" s="677" t="s">
        <v>497</v>
      </c>
      <c r="D179" s="678" t="s">
        <v>498</v>
      </c>
      <c r="E179" s="677" t="s">
        <v>1841</v>
      </c>
      <c r="F179" s="678" t="s">
        <v>1842</v>
      </c>
      <c r="G179" s="677" t="s">
        <v>1989</v>
      </c>
      <c r="H179" s="677" t="s">
        <v>1990</v>
      </c>
      <c r="I179" s="680">
        <v>2.8599998950958252</v>
      </c>
      <c r="J179" s="680">
        <v>100</v>
      </c>
      <c r="K179" s="681">
        <v>286</v>
      </c>
    </row>
    <row r="180" spans="1:11" ht="14.4" customHeight="1" x14ac:dyDescent="0.3">
      <c r="A180" s="675" t="s">
        <v>484</v>
      </c>
      <c r="B180" s="676" t="s">
        <v>485</v>
      </c>
      <c r="C180" s="677" t="s">
        <v>497</v>
      </c>
      <c r="D180" s="678" t="s">
        <v>498</v>
      </c>
      <c r="E180" s="677" t="s">
        <v>1841</v>
      </c>
      <c r="F180" s="678" t="s">
        <v>1842</v>
      </c>
      <c r="G180" s="677" t="s">
        <v>1991</v>
      </c>
      <c r="H180" s="677" t="s">
        <v>1992</v>
      </c>
      <c r="I180" s="680">
        <v>231.99000549316406</v>
      </c>
      <c r="J180" s="680">
        <v>10</v>
      </c>
      <c r="K180" s="681">
        <v>2319.919921875</v>
      </c>
    </row>
    <row r="181" spans="1:11" ht="14.4" customHeight="1" x14ac:dyDescent="0.3">
      <c r="A181" s="675" t="s">
        <v>484</v>
      </c>
      <c r="B181" s="676" t="s">
        <v>485</v>
      </c>
      <c r="C181" s="677" t="s">
        <v>497</v>
      </c>
      <c r="D181" s="678" t="s">
        <v>498</v>
      </c>
      <c r="E181" s="677" t="s">
        <v>1841</v>
      </c>
      <c r="F181" s="678" t="s">
        <v>1842</v>
      </c>
      <c r="G181" s="677" t="s">
        <v>1993</v>
      </c>
      <c r="H181" s="677" t="s">
        <v>1994</v>
      </c>
      <c r="I181" s="680">
        <v>139.35500335693359</v>
      </c>
      <c r="J181" s="680">
        <v>15</v>
      </c>
      <c r="K181" s="681">
        <v>2090.320068359375</v>
      </c>
    </row>
    <row r="182" spans="1:11" ht="14.4" customHeight="1" x14ac:dyDescent="0.3">
      <c r="A182" s="675" t="s">
        <v>484</v>
      </c>
      <c r="B182" s="676" t="s">
        <v>485</v>
      </c>
      <c r="C182" s="677" t="s">
        <v>497</v>
      </c>
      <c r="D182" s="678" t="s">
        <v>498</v>
      </c>
      <c r="E182" s="677" t="s">
        <v>1841</v>
      </c>
      <c r="F182" s="678" t="s">
        <v>1842</v>
      </c>
      <c r="G182" s="677" t="s">
        <v>1995</v>
      </c>
      <c r="H182" s="677" t="s">
        <v>1996</v>
      </c>
      <c r="I182" s="680">
        <v>153.11000061035156</v>
      </c>
      <c r="J182" s="680">
        <v>25</v>
      </c>
      <c r="K182" s="681">
        <v>3827.8300170898437</v>
      </c>
    </row>
    <row r="183" spans="1:11" ht="14.4" customHeight="1" x14ac:dyDescent="0.3">
      <c r="A183" s="675" t="s">
        <v>484</v>
      </c>
      <c r="B183" s="676" t="s">
        <v>485</v>
      </c>
      <c r="C183" s="677" t="s">
        <v>497</v>
      </c>
      <c r="D183" s="678" t="s">
        <v>498</v>
      </c>
      <c r="E183" s="677" t="s">
        <v>1841</v>
      </c>
      <c r="F183" s="678" t="s">
        <v>1842</v>
      </c>
      <c r="G183" s="677" t="s">
        <v>1997</v>
      </c>
      <c r="H183" s="677" t="s">
        <v>1998</v>
      </c>
      <c r="I183" s="680">
        <v>153.11000061035156</v>
      </c>
      <c r="J183" s="680">
        <v>35</v>
      </c>
      <c r="K183" s="681">
        <v>5358.8699340820312</v>
      </c>
    </row>
    <row r="184" spans="1:11" ht="14.4" customHeight="1" x14ac:dyDescent="0.3">
      <c r="A184" s="675" t="s">
        <v>484</v>
      </c>
      <c r="B184" s="676" t="s">
        <v>485</v>
      </c>
      <c r="C184" s="677" t="s">
        <v>497</v>
      </c>
      <c r="D184" s="678" t="s">
        <v>498</v>
      </c>
      <c r="E184" s="677" t="s">
        <v>1841</v>
      </c>
      <c r="F184" s="678" t="s">
        <v>1842</v>
      </c>
      <c r="G184" s="677" t="s">
        <v>1999</v>
      </c>
      <c r="H184" s="677" t="s">
        <v>2000</v>
      </c>
      <c r="I184" s="680">
        <v>9.1999998092651367</v>
      </c>
      <c r="J184" s="680">
        <v>5000</v>
      </c>
      <c r="K184" s="681">
        <v>46000</v>
      </c>
    </row>
    <row r="185" spans="1:11" ht="14.4" customHeight="1" x14ac:dyDescent="0.3">
      <c r="A185" s="675" t="s">
        <v>484</v>
      </c>
      <c r="B185" s="676" t="s">
        <v>485</v>
      </c>
      <c r="C185" s="677" t="s">
        <v>497</v>
      </c>
      <c r="D185" s="678" t="s">
        <v>498</v>
      </c>
      <c r="E185" s="677" t="s">
        <v>1841</v>
      </c>
      <c r="F185" s="678" t="s">
        <v>1842</v>
      </c>
      <c r="G185" s="677" t="s">
        <v>2001</v>
      </c>
      <c r="H185" s="677" t="s">
        <v>2002</v>
      </c>
      <c r="I185" s="680">
        <v>2.3399999141693115</v>
      </c>
      <c r="J185" s="680">
        <v>100</v>
      </c>
      <c r="K185" s="681">
        <v>234</v>
      </c>
    </row>
    <row r="186" spans="1:11" ht="14.4" customHeight="1" x14ac:dyDescent="0.3">
      <c r="A186" s="675" t="s">
        <v>484</v>
      </c>
      <c r="B186" s="676" t="s">
        <v>485</v>
      </c>
      <c r="C186" s="677" t="s">
        <v>497</v>
      </c>
      <c r="D186" s="678" t="s">
        <v>498</v>
      </c>
      <c r="E186" s="677" t="s">
        <v>1841</v>
      </c>
      <c r="F186" s="678" t="s">
        <v>1842</v>
      </c>
      <c r="G186" s="677" t="s">
        <v>2003</v>
      </c>
      <c r="H186" s="677" t="s">
        <v>2004</v>
      </c>
      <c r="I186" s="680">
        <v>96.800003051757813</v>
      </c>
      <c r="J186" s="680">
        <v>190</v>
      </c>
      <c r="K186" s="681">
        <v>18392</v>
      </c>
    </row>
    <row r="187" spans="1:11" ht="14.4" customHeight="1" x14ac:dyDescent="0.3">
      <c r="A187" s="675" t="s">
        <v>484</v>
      </c>
      <c r="B187" s="676" t="s">
        <v>485</v>
      </c>
      <c r="C187" s="677" t="s">
        <v>497</v>
      </c>
      <c r="D187" s="678" t="s">
        <v>498</v>
      </c>
      <c r="E187" s="677" t="s">
        <v>1841</v>
      </c>
      <c r="F187" s="678" t="s">
        <v>1842</v>
      </c>
      <c r="G187" s="677" t="s">
        <v>2005</v>
      </c>
      <c r="H187" s="677" t="s">
        <v>2006</v>
      </c>
      <c r="I187" s="680">
        <v>124.62999725341797</v>
      </c>
      <c r="J187" s="680">
        <v>210</v>
      </c>
      <c r="K187" s="681">
        <v>26172.299774169922</v>
      </c>
    </row>
    <row r="188" spans="1:11" ht="14.4" customHeight="1" x14ac:dyDescent="0.3">
      <c r="A188" s="675" t="s">
        <v>484</v>
      </c>
      <c r="B188" s="676" t="s">
        <v>485</v>
      </c>
      <c r="C188" s="677" t="s">
        <v>497</v>
      </c>
      <c r="D188" s="678" t="s">
        <v>498</v>
      </c>
      <c r="E188" s="677" t="s">
        <v>1841</v>
      </c>
      <c r="F188" s="678" t="s">
        <v>1842</v>
      </c>
      <c r="G188" s="677" t="s">
        <v>2007</v>
      </c>
      <c r="H188" s="677" t="s">
        <v>2008</v>
      </c>
      <c r="I188" s="680">
        <v>107.69000244140625</v>
      </c>
      <c r="J188" s="680">
        <v>400</v>
      </c>
      <c r="K188" s="681">
        <v>43076.01025390625</v>
      </c>
    </row>
    <row r="189" spans="1:11" ht="14.4" customHeight="1" x14ac:dyDescent="0.3">
      <c r="A189" s="675" t="s">
        <v>484</v>
      </c>
      <c r="B189" s="676" t="s">
        <v>485</v>
      </c>
      <c r="C189" s="677" t="s">
        <v>497</v>
      </c>
      <c r="D189" s="678" t="s">
        <v>498</v>
      </c>
      <c r="E189" s="677" t="s">
        <v>1841</v>
      </c>
      <c r="F189" s="678" t="s">
        <v>1842</v>
      </c>
      <c r="G189" s="677" t="s">
        <v>2009</v>
      </c>
      <c r="H189" s="677" t="s">
        <v>2010</v>
      </c>
      <c r="I189" s="680">
        <v>90.993331909179687</v>
      </c>
      <c r="J189" s="680">
        <v>330</v>
      </c>
      <c r="K189" s="681">
        <v>30028</v>
      </c>
    </row>
    <row r="190" spans="1:11" ht="14.4" customHeight="1" x14ac:dyDescent="0.3">
      <c r="A190" s="675" t="s">
        <v>484</v>
      </c>
      <c r="B190" s="676" t="s">
        <v>485</v>
      </c>
      <c r="C190" s="677" t="s">
        <v>497</v>
      </c>
      <c r="D190" s="678" t="s">
        <v>498</v>
      </c>
      <c r="E190" s="677" t="s">
        <v>1841</v>
      </c>
      <c r="F190" s="678" t="s">
        <v>1842</v>
      </c>
      <c r="G190" s="677" t="s">
        <v>2011</v>
      </c>
      <c r="H190" s="677" t="s">
        <v>2012</v>
      </c>
      <c r="I190" s="680">
        <v>6.2925000190734863</v>
      </c>
      <c r="J190" s="680">
        <v>20</v>
      </c>
      <c r="K190" s="681">
        <v>125.85000228881836</v>
      </c>
    </row>
    <row r="191" spans="1:11" ht="14.4" customHeight="1" x14ac:dyDescent="0.3">
      <c r="A191" s="675" t="s">
        <v>484</v>
      </c>
      <c r="B191" s="676" t="s">
        <v>485</v>
      </c>
      <c r="C191" s="677" t="s">
        <v>497</v>
      </c>
      <c r="D191" s="678" t="s">
        <v>498</v>
      </c>
      <c r="E191" s="677" t="s">
        <v>1841</v>
      </c>
      <c r="F191" s="678" t="s">
        <v>1842</v>
      </c>
      <c r="G191" s="677" t="s">
        <v>2013</v>
      </c>
      <c r="H191" s="677" t="s">
        <v>2014</v>
      </c>
      <c r="I191" s="680">
        <v>47.150001525878906</v>
      </c>
      <c r="J191" s="680">
        <v>30</v>
      </c>
      <c r="K191" s="681">
        <v>1414.5</v>
      </c>
    </row>
    <row r="192" spans="1:11" ht="14.4" customHeight="1" x14ac:dyDescent="0.3">
      <c r="A192" s="675" t="s">
        <v>484</v>
      </c>
      <c r="B192" s="676" t="s">
        <v>485</v>
      </c>
      <c r="C192" s="677" t="s">
        <v>497</v>
      </c>
      <c r="D192" s="678" t="s">
        <v>498</v>
      </c>
      <c r="E192" s="677" t="s">
        <v>1841</v>
      </c>
      <c r="F192" s="678" t="s">
        <v>1842</v>
      </c>
      <c r="G192" s="677" t="s">
        <v>2015</v>
      </c>
      <c r="H192" s="677" t="s">
        <v>2016</v>
      </c>
      <c r="I192" s="680">
        <v>172.5</v>
      </c>
      <c r="J192" s="680">
        <v>2</v>
      </c>
      <c r="K192" s="681">
        <v>345</v>
      </c>
    </row>
    <row r="193" spans="1:11" ht="14.4" customHeight="1" x14ac:dyDescent="0.3">
      <c r="A193" s="675" t="s">
        <v>484</v>
      </c>
      <c r="B193" s="676" t="s">
        <v>485</v>
      </c>
      <c r="C193" s="677" t="s">
        <v>497</v>
      </c>
      <c r="D193" s="678" t="s">
        <v>498</v>
      </c>
      <c r="E193" s="677" t="s">
        <v>1841</v>
      </c>
      <c r="F193" s="678" t="s">
        <v>1842</v>
      </c>
      <c r="G193" s="677" t="s">
        <v>2017</v>
      </c>
      <c r="H193" s="677" t="s">
        <v>2018</v>
      </c>
      <c r="I193" s="680">
        <v>73.269996643066406</v>
      </c>
      <c r="J193" s="680">
        <v>60</v>
      </c>
      <c r="K193" s="681">
        <v>4396</v>
      </c>
    </row>
    <row r="194" spans="1:11" ht="14.4" customHeight="1" x14ac:dyDescent="0.3">
      <c r="A194" s="675" t="s">
        <v>484</v>
      </c>
      <c r="B194" s="676" t="s">
        <v>485</v>
      </c>
      <c r="C194" s="677" t="s">
        <v>497</v>
      </c>
      <c r="D194" s="678" t="s">
        <v>498</v>
      </c>
      <c r="E194" s="677" t="s">
        <v>1841</v>
      </c>
      <c r="F194" s="678" t="s">
        <v>1842</v>
      </c>
      <c r="G194" s="677" t="s">
        <v>2019</v>
      </c>
      <c r="H194" s="677" t="s">
        <v>2020</v>
      </c>
      <c r="I194" s="680">
        <v>268.6199951171875</v>
      </c>
      <c r="J194" s="680">
        <v>570</v>
      </c>
      <c r="K194" s="681">
        <v>153113.400390625</v>
      </c>
    </row>
    <row r="195" spans="1:11" ht="14.4" customHeight="1" x14ac:dyDescent="0.3">
      <c r="A195" s="675" t="s">
        <v>484</v>
      </c>
      <c r="B195" s="676" t="s">
        <v>485</v>
      </c>
      <c r="C195" s="677" t="s">
        <v>497</v>
      </c>
      <c r="D195" s="678" t="s">
        <v>498</v>
      </c>
      <c r="E195" s="677" t="s">
        <v>1841</v>
      </c>
      <c r="F195" s="678" t="s">
        <v>1842</v>
      </c>
      <c r="G195" s="677" t="s">
        <v>2021</v>
      </c>
      <c r="H195" s="677" t="s">
        <v>2022</v>
      </c>
      <c r="I195" s="680">
        <v>6.1716667016347246</v>
      </c>
      <c r="J195" s="680">
        <v>4250</v>
      </c>
      <c r="K195" s="681">
        <v>26225</v>
      </c>
    </row>
    <row r="196" spans="1:11" ht="14.4" customHeight="1" x14ac:dyDescent="0.3">
      <c r="A196" s="675" t="s">
        <v>484</v>
      </c>
      <c r="B196" s="676" t="s">
        <v>485</v>
      </c>
      <c r="C196" s="677" t="s">
        <v>497</v>
      </c>
      <c r="D196" s="678" t="s">
        <v>498</v>
      </c>
      <c r="E196" s="677" t="s">
        <v>1841</v>
      </c>
      <c r="F196" s="678" t="s">
        <v>1842</v>
      </c>
      <c r="G196" s="677" t="s">
        <v>2023</v>
      </c>
      <c r="H196" s="677" t="s">
        <v>2024</v>
      </c>
      <c r="I196" s="680">
        <v>60.900001525878906</v>
      </c>
      <c r="J196" s="680">
        <v>10</v>
      </c>
      <c r="K196" s="681">
        <v>609.02001953125</v>
      </c>
    </row>
    <row r="197" spans="1:11" ht="14.4" customHeight="1" x14ac:dyDescent="0.3">
      <c r="A197" s="675" t="s">
        <v>484</v>
      </c>
      <c r="B197" s="676" t="s">
        <v>485</v>
      </c>
      <c r="C197" s="677" t="s">
        <v>497</v>
      </c>
      <c r="D197" s="678" t="s">
        <v>498</v>
      </c>
      <c r="E197" s="677" t="s">
        <v>1841</v>
      </c>
      <c r="F197" s="678" t="s">
        <v>1842</v>
      </c>
      <c r="G197" s="677" t="s">
        <v>2025</v>
      </c>
      <c r="H197" s="677" t="s">
        <v>2026</v>
      </c>
      <c r="I197" s="680">
        <v>82.199996948242188</v>
      </c>
      <c r="J197" s="680">
        <v>30</v>
      </c>
      <c r="K197" s="681">
        <v>2465.9599609375</v>
      </c>
    </row>
    <row r="198" spans="1:11" ht="14.4" customHeight="1" x14ac:dyDescent="0.3">
      <c r="A198" s="675" t="s">
        <v>484</v>
      </c>
      <c r="B198" s="676" t="s">
        <v>485</v>
      </c>
      <c r="C198" s="677" t="s">
        <v>497</v>
      </c>
      <c r="D198" s="678" t="s">
        <v>498</v>
      </c>
      <c r="E198" s="677" t="s">
        <v>1841</v>
      </c>
      <c r="F198" s="678" t="s">
        <v>1842</v>
      </c>
      <c r="G198" s="677" t="s">
        <v>2027</v>
      </c>
      <c r="H198" s="677" t="s">
        <v>2028</v>
      </c>
      <c r="I198" s="680">
        <v>82.199996948242188</v>
      </c>
      <c r="J198" s="680">
        <v>20</v>
      </c>
      <c r="K198" s="681">
        <v>1643.989990234375</v>
      </c>
    </row>
    <row r="199" spans="1:11" ht="14.4" customHeight="1" x14ac:dyDescent="0.3">
      <c r="A199" s="675" t="s">
        <v>484</v>
      </c>
      <c r="B199" s="676" t="s">
        <v>485</v>
      </c>
      <c r="C199" s="677" t="s">
        <v>497</v>
      </c>
      <c r="D199" s="678" t="s">
        <v>498</v>
      </c>
      <c r="E199" s="677" t="s">
        <v>1841</v>
      </c>
      <c r="F199" s="678" t="s">
        <v>1842</v>
      </c>
      <c r="G199" s="677" t="s">
        <v>2029</v>
      </c>
      <c r="H199" s="677" t="s">
        <v>2030</v>
      </c>
      <c r="I199" s="680">
        <v>82.199996948242188</v>
      </c>
      <c r="J199" s="680">
        <v>20</v>
      </c>
      <c r="K199" s="681">
        <v>1643.97998046875</v>
      </c>
    </row>
    <row r="200" spans="1:11" ht="14.4" customHeight="1" x14ac:dyDescent="0.3">
      <c r="A200" s="675" t="s">
        <v>484</v>
      </c>
      <c r="B200" s="676" t="s">
        <v>485</v>
      </c>
      <c r="C200" s="677" t="s">
        <v>497</v>
      </c>
      <c r="D200" s="678" t="s">
        <v>498</v>
      </c>
      <c r="E200" s="677" t="s">
        <v>1841</v>
      </c>
      <c r="F200" s="678" t="s">
        <v>1842</v>
      </c>
      <c r="G200" s="677" t="s">
        <v>2031</v>
      </c>
      <c r="H200" s="677" t="s">
        <v>2032</v>
      </c>
      <c r="I200" s="680">
        <v>156.3800048828125</v>
      </c>
      <c r="J200" s="680">
        <v>10</v>
      </c>
      <c r="K200" s="681">
        <v>1563.75</v>
      </c>
    </row>
    <row r="201" spans="1:11" ht="14.4" customHeight="1" x14ac:dyDescent="0.3">
      <c r="A201" s="675" t="s">
        <v>484</v>
      </c>
      <c r="B201" s="676" t="s">
        <v>485</v>
      </c>
      <c r="C201" s="677" t="s">
        <v>497</v>
      </c>
      <c r="D201" s="678" t="s">
        <v>498</v>
      </c>
      <c r="E201" s="677" t="s">
        <v>1841</v>
      </c>
      <c r="F201" s="678" t="s">
        <v>1842</v>
      </c>
      <c r="G201" s="677" t="s">
        <v>2033</v>
      </c>
      <c r="H201" s="677" t="s">
        <v>2034</v>
      </c>
      <c r="I201" s="680">
        <v>4407.480024857955</v>
      </c>
      <c r="J201" s="680">
        <v>21</v>
      </c>
      <c r="K201" s="681">
        <v>91882.560546875</v>
      </c>
    </row>
    <row r="202" spans="1:11" ht="14.4" customHeight="1" x14ac:dyDescent="0.3">
      <c r="A202" s="675" t="s">
        <v>484</v>
      </c>
      <c r="B202" s="676" t="s">
        <v>485</v>
      </c>
      <c r="C202" s="677" t="s">
        <v>497</v>
      </c>
      <c r="D202" s="678" t="s">
        <v>498</v>
      </c>
      <c r="E202" s="677" t="s">
        <v>1841</v>
      </c>
      <c r="F202" s="678" t="s">
        <v>1842</v>
      </c>
      <c r="G202" s="677" t="s">
        <v>2035</v>
      </c>
      <c r="H202" s="677" t="s">
        <v>2036</v>
      </c>
      <c r="I202" s="680">
        <v>204.40666707356772</v>
      </c>
      <c r="J202" s="680">
        <v>150</v>
      </c>
      <c r="K202" s="681">
        <v>30660.8994140625</v>
      </c>
    </row>
    <row r="203" spans="1:11" ht="14.4" customHeight="1" x14ac:dyDescent="0.3">
      <c r="A203" s="675" t="s">
        <v>484</v>
      </c>
      <c r="B203" s="676" t="s">
        <v>485</v>
      </c>
      <c r="C203" s="677" t="s">
        <v>497</v>
      </c>
      <c r="D203" s="678" t="s">
        <v>498</v>
      </c>
      <c r="E203" s="677" t="s">
        <v>1841</v>
      </c>
      <c r="F203" s="678" t="s">
        <v>1842</v>
      </c>
      <c r="G203" s="677" t="s">
        <v>2037</v>
      </c>
      <c r="H203" s="677" t="s">
        <v>2038</v>
      </c>
      <c r="I203" s="680">
        <v>67.158574785505024</v>
      </c>
      <c r="J203" s="680">
        <v>350</v>
      </c>
      <c r="K203" s="681">
        <v>23504.269775390625</v>
      </c>
    </row>
    <row r="204" spans="1:11" ht="14.4" customHeight="1" x14ac:dyDescent="0.3">
      <c r="A204" s="675" t="s">
        <v>484</v>
      </c>
      <c r="B204" s="676" t="s">
        <v>485</v>
      </c>
      <c r="C204" s="677" t="s">
        <v>497</v>
      </c>
      <c r="D204" s="678" t="s">
        <v>498</v>
      </c>
      <c r="E204" s="677" t="s">
        <v>1841</v>
      </c>
      <c r="F204" s="678" t="s">
        <v>1842</v>
      </c>
      <c r="G204" s="677" t="s">
        <v>2039</v>
      </c>
      <c r="H204" s="677" t="s">
        <v>2040</v>
      </c>
      <c r="I204" s="680">
        <v>254.10000610351563</v>
      </c>
      <c r="J204" s="680">
        <v>10</v>
      </c>
      <c r="K204" s="681">
        <v>2541</v>
      </c>
    </row>
    <row r="205" spans="1:11" ht="14.4" customHeight="1" x14ac:dyDescent="0.3">
      <c r="A205" s="675" t="s">
        <v>484</v>
      </c>
      <c r="B205" s="676" t="s">
        <v>485</v>
      </c>
      <c r="C205" s="677" t="s">
        <v>497</v>
      </c>
      <c r="D205" s="678" t="s">
        <v>498</v>
      </c>
      <c r="E205" s="677" t="s">
        <v>1841</v>
      </c>
      <c r="F205" s="678" t="s">
        <v>1842</v>
      </c>
      <c r="G205" s="677" t="s">
        <v>2041</v>
      </c>
      <c r="H205" s="677" t="s">
        <v>2042</v>
      </c>
      <c r="I205" s="680">
        <v>7.440000057220459</v>
      </c>
      <c r="J205" s="680">
        <v>30</v>
      </c>
      <c r="K205" s="681">
        <v>223.19999694824219</v>
      </c>
    </row>
    <row r="206" spans="1:11" ht="14.4" customHeight="1" x14ac:dyDescent="0.3">
      <c r="A206" s="675" t="s">
        <v>484</v>
      </c>
      <c r="B206" s="676" t="s">
        <v>485</v>
      </c>
      <c r="C206" s="677" t="s">
        <v>497</v>
      </c>
      <c r="D206" s="678" t="s">
        <v>498</v>
      </c>
      <c r="E206" s="677" t="s">
        <v>1841</v>
      </c>
      <c r="F206" s="678" t="s">
        <v>1842</v>
      </c>
      <c r="G206" s="677" t="s">
        <v>2043</v>
      </c>
      <c r="H206" s="677" t="s">
        <v>2044</v>
      </c>
      <c r="I206" s="680">
        <v>6184.2998046875</v>
      </c>
      <c r="J206" s="680">
        <v>1</v>
      </c>
      <c r="K206" s="681">
        <v>6184.2998046875</v>
      </c>
    </row>
    <row r="207" spans="1:11" ht="14.4" customHeight="1" x14ac:dyDescent="0.3">
      <c r="A207" s="675" t="s">
        <v>484</v>
      </c>
      <c r="B207" s="676" t="s">
        <v>485</v>
      </c>
      <c r="C207" s="677" t="s">
        <v>497</v>
      </c>
      <c r="D207" s="678" t="s">
        <v>498</v>
      </c>
      <c r="E207" s="677" t="s">
        <v>1841</v>
      </c>
      <c r="F207" s="678" t="s">
        <v>1842</v>
      </c>
      <c r="G207" s="677" t="s">
        <v>2045</v>
      </c>
      <c r="H207" s="677" t="s">
        <v>2046</v>
      </c>
      <c r="I207" s="680">
        <v>123.18000030517578</v>
      </c>
      <c r="J207" s="680">
        <v>200</v>
      </c>
      <c r="K207" s="681">
        <v>24635.599609375</v>
      </c>
    </row>
    <row r="208" spans="1:11" ht="14.4" customHeight="1" x14ac:dyDescent="0.3">
      <c r="A208" s="675" t="s">
        <v>484</v>
      </c>
      <c r="B208" s="676" t="s">
        <v>485</v>
      </c>
      <c r="C208" s="677" t="s">
        <v>497</v>
      </c>
      <c r="D208" s="678" t="s">
        <v>498</v>
      </c>
      <c r="E208" s="677" t="s">
        <v>1841</v>
      </c>
      <c r="F208" s="678" t="s">
        <v>1842</v>
      </c>
      <c r="G208" s="677" t="s">
        <v>2047</v>
      </c>
      <c r="H208" s="677" t="s">
        <v>2048</v>
      </c>
      <c r="I208" s="680">
        <v>16.457499742507935</v>
      </c>
      <c r="J208" s="680">
        <v>340</v>
      </c>
      <c r="K208" s="681">
        <v>5595.4000244140625</v>
      </c>
    </row>
    <row r="209" spans="1:11" ht="14.4" customHeight="1" x14ac:dyDescent="0.3">
      <c r="A209" s="675" t="s">
        <v>484</v>
      </c>
      <c r="B209" s="676" t="s">
        <v>485</v>
      </c>
      <c r="C209" s="677" t="s">
        <v>497</v>
      </c>
      <c r="D209" s="678" t="s">
        <v>498</v>
      </c>
      <c r="E209" s="677" t="s">
        <v>1841</v>
      </c>
      <c r="F209" s="678" t="s">
        <v>1842</v>
      </c>
      <c r="G209" s="677" t="s">
        <v>2049</v>
      </c>
      <c r="H209" s="677" t="s">
        <v>2050</v>
      </c>
      <c r="I209" s="680">
        <v>23.350000381469727</v>
      </c>
      <c r="J209" s="680">
        <v>80</v>
      </c>
      <c r="K209" s="681">
        <v>1868.239990234375</v>
      </c>
    </row>
    <row r="210" spans="1:11" ht="14.4" customHeight="1" x14ac:dyDescent="0.3">
      <c r="A210" s="675" t="s">
        <v>484</v>
      </c>
      <c r="B210" s="676" t="s">
        <v>485</v>
      </c>
      <c r="C210" s="677" t="s">
        <v>497</v>
      </c>
      <c r="D210" s="678" t="s">
        <v>498</v>
      </c>
      <c r="E210" s="677" t="s">
        <v>1841</v>
      </c>
      <c r="F210" s="678" t="s">
        <v>1842</v>
      </c>
      <c r="G210" s="677" t="s">
        <v>2051</v>
      </c>
      <c r="H210" s="677" t="s">
        <v>2052</v>
      </c>
      <c r="I210" s="680">
        <v>9.8100004196166992</v>
      </c>
      <c r="J210" s="680">
        <v>50</v>
      </c>
      <c r="K210" s="681">
        <v>490.6300048828125</v>
      </c>
    </row>
    <row r="211" spans="1:11" ht="14.4" customHeight="1" x14ac:dyDescent="0.3">
      <c r="A211" s="675" t="s">
        <v>484</v>
      </c>
      <c r="B211" s="676" t="s">
        <v>485</v>
      </c>
      <c r="C211" s="677" t="s">
        <v>497</v>
      </c>
      <c r="D211" s="678" t="s">
        <v>498</v>
      </c>
      <c r="E211" s="677" t="s">
        <v>1841</v>
      </c>
      <c r="F211" s="678" t="s">
        <v>1842</v>
      </c>
      <c r="G211" s="677" t="s">
        <v>2053</v>
      </c>
      <c r="H211" s="677" t="s">
        <v>2054</v>
      </c>
      <c r="I211" s="680">
        <v>9.6800003051757812</v>
      </c>
      <c r="J211" s="680">
        <v>25</v>
      </c>
      <c r="K211" s="681">
        <v>242</v>
      </c>
    </row>
    <row r="212" spans="1:11" ht="14.4" customHeight="1" x14ac:dyDescent="0.3">
      <c r="A212" s="675" t="s">
        <v>484</v>
      </c>
      <c r="B212" s="676" t="s">
        <v>485</v>
      </c>
      <c r="C212" s="677" t="s">
        <v>497</v>
      </c>
      <c r="D212" s="678" t="s">
        <v>498</v>
      </c>
      <c r="E212" s="677" t="s">
        <v>1841</v>
      </c>
      <c r="F212" s="678" t="s">
        <v>1842</v>
      </c>
      <c r="G212" s="677" t="s">
        <v>2055</v>
      </c>
      <c r="H212" s="677" t="s">
        <v>2056</v>
      </c>
      <c r="I212" s="680">
        <v>24.200000762939453</v>
      </c>
      <c r="J212" s="680">
        <v>25</v>
      </c>
      <c r="K212" s="681">
        <v>605</v>
      </c>
    </row>
    <row r="213" spans="1:11" ht="14.4" customHeight="1" x14ac:dyDescent="0.3">
      <c r="A213" s="675" t="s">
        <v>484</v>
      </c>
      <c r="B213" s="676" t="s">
        <v>485</v>
      </c>
      <c r="C213" s="677" t="s">
        <v>497</v>
      </c>
      <c r="D213" s="678" t="s">
        <v>498</v>
      </c>
      <c r="E213" s="677" t="s">
        <v>1841</v>
      </c>
      <c r="F213" s="678" t="s">
        <v>1842</v>
      </c>
      <c r="G213" s="677" t="s">
        <v>2057</v>
      </c>
      <c r="H213" s="677" t="s">
        <v>2058</v>
      </c>
      <c r="I213" s="680">
        <v>20.569999694824219</v>
      </c>
      <c r="J213" s="680">
        <v>100</v>
      </c>
      <c r="K213" s="681">
        <v>2057</v>
      </c>
    </row>
    <row r="214" spans="1:11" ht="14.4" customHeight="1" x14ac:dyDescent="0.3">
      <c r="A214" s="675" t="s">
        <v>484</v>
      </c>
      <c r="B214" s="676" t="s">
        <v>485</v>
      </c>
      <c r="C214" s="677" t="s">
        <v>497</v>
      </c>
      <c r="D214" s="678" t="s">
        <v>498</v>
      </c>
      <c r="E214" s="677" t="s">
        <v>1841</v>
      </c>
      <c r="F214" s="678" t="s">
        <v>1842</v>
      </c>
      <c r="G214" s="677" t="s">
        <v>2059</v>
      </c>
      <c r="H214" s="677" t="s">
        <v>2060</v>
      </c>
      <c r="I214" s="680">
        <v>194.80399475097656</v>
      </c>
      <c r="J214" s="680">
        <v>52</v>
      </c>
      <c r="K214" s="681">
        <v>10228.900039672852</v>
      </c>
    </row>
    <row r="215" spans="1:11" ht="14.4" customHeight="1" x14ac:dyDescent="0.3">
      <c r="A215" s="675" t="s">
        <v>484</v>
      </c>
      <c r="B215" s="676" t="s">
        <v>485</v>
      </c>
      <c r="C215" s="677" t="s">
        <v>497</v>
      </c>
      <c r="D215" s="678" t="s">
        <v>498</v>
      </c>
      <c r="E215" s="677" t="s">
        <v>1841</v>
      </c>
      <c r="F215" s="678" t="s">
        <v>1842</v>
      </c>
      <c r="G215" s="677" t="s">
        <v>2061</v>
      </c>
      <c r="H215" s="677" t="s">
        <v>2062</v>
      </c>
      <c r="I215" s="680">
        <v>1.0918182134628296</v>
      </c>
      <c r="J215" s="680">
        <v>21000</v>
      </c>
      <c r="K215" s="681">
        <v>22944</v>
      </c>
    </row>
    <row r="216" spans="1:11" ht="14.4" customHeight="1" x14ac:dyDescent="0.3">
      <c r="A216" s="675" t="s">
        <v>484</v>
      </c>
      <c r="B216" s="676" t="s">
        <v>485</v>
      </c>
      <c r="C216" s="677" t="s">
        <v>497</v>
      </c>
      <c r="D216" s="678" t="s">
        <v>498</v>
      </c>
      <c r="E216" s="677" t="s">
        <v>1841</v>
      </c>
      <c r="F216" s="678" t="s">
        <v>1842</v>
      </c>
      <c r="G216" s="677" t="s">
        <v>2063</v>
      </c>
      <c r="H216" s="677" t="s">
        <v>2064</v>
      </c>
      <c r="I216" s="680">
        <v>0.47333332896232605</v>
      </c>
      <c r="J216" s="680">
        <v>12500</v>
      </c>
      <c r="K216" s="681">
        <v>5905</v>
      </c>
    </row>
    <row r="217" spans="1:11" ht="14.4" customHeight="1" x14ac:dyDescent="0.3">
      <c r="A217" s="675" t="s">
        <v>484</v>
      </c>
      <c r="B217" s="676" t="s">
        <v>485</v>
      </c>
      <c r="C217" s="677" t="s">
        <v>497</v>
      </c>
      <c r="D217" s="678" t="s">
        <v>498</v>
      </c>
      <c r="E217" s="677" t="s">
        <v>1841</v>
      </c>
      <c r="F217" s="678" t="s">
        <v>1842</v>
      </c>
      <c r="G217" s="677" t="s">
        <v>2065</v>
      </c>
      <c r="H217" s="677" t="s">
        <v>2066</v>
      </c>
      <c r="I217" s="680">
        <v>1.6762499511241913</v>
      </c>
      <c r="J217" s="680">
        <v>17800</v>
      </c>
      <c r="K217" s="681">
        <v>29864</v>
      </c>
    </row>
    <row r="218" spans="1:11" ht="14.4" customHeight="1" x14ac:dyDescent="0.3">
      <c r="A218" s="675" t="s">
        <v>484</v>
      </c>
      <c r="B218" s="676" t="s">
        <v>485</v>
      </c>
      <c r="C218" s="677" t="s">
        <v>497</v>
      </c>
      <c r="D218" s="678" t="s">
        <v>498</v>
      </c>
      <c r="E218" s="677" t="s">
        <v>1841</v>
      </c>
      <c r="F218" s="678" t="s">
        <v>1842</v>
      </c>
      <c r="G218" s="677" t="s">
        <v>2067</v>
      </c>
      <c r="H218" s="677" t="s">
        <v>2068</v>
      </c>
      <c r="I218" s="680">
        <v>0.67000001668930054</v>
      </c>
      <c r="J218" s="680">
        <v>6000</v>
      </c>
      <c r="K218" s="681">
        <v>4020</v>
      </c>
    </row>
    <row r="219" spans="1:11" ht="14.4" customHeight="1" x14ac:dyDescent="0.3">
      <c r="A219" s="675" t="s">
        <v>484</v>
      </c>
      <c r="B219" s="676" t="s">
        <v>485</v>
      </c>
      <c r="C219" s="677" t="s">
        <v>497</v>
      </c>
      <c r="D219" s="678" t="s">
        <v>498</v>
      </c>
      <c r="E219" s="677" t="s">
        <v>1841</v>
      </c>
      <c r="F219" s="678" t="s">
        <v>1842</v>
      </c>
      <c r="G219" s="677" t="s">
        <v>2069</v>
      </c>
      <c r="H219" s="677" t="s">
        <v>2070</v>
      </c>
      <c r="I219" s="680">
        <v>1.9322221941418118</v>
      </c>
      <c r="J219" s="680">
        <v>2200</v>
      </c>
      <c r="K219" s="681">
        <v>4252</v>
      </c>
    </row>
    <row r="220" spans="1:11" ht="14.4" customHeight="1" x14ac:dyDescent="0.3">
      <c r="A220" s="675" t="s">
        <v>484</v>
      </c>
      <c r="B220" s="676" t="s">
        <v>485</v>
      </c>
      <c r="C220" s="677" t="s">
        <v>497</v>
      </c>
      <c r="D220" s="678" t="s">
        <v>498</v>
      </c>
      <c r="E220" s="677" t="s">
        <v>1841</v>
      </c>
      <c r="F220" s="678" t="s">
        <v>1842</v>
      </c>
      <c r="G220" s="677" t="s">
        <v>2071</v>
      </c>
      <c r="H220" s="677" t="s">
        <v>2072</v>
      </c>
      <c r="I220" s="680">
        <v>5.2049999237060547</v>
      </c>
      <c r="J220" s="680">
        <v>8541</v>
      </c>
      <c r="K220" s="681">
        <v>44453.919769287109</v>
      </c>
    </row>
    <row r="221" spans="1:11" ht="14.4" customHeight="1" x14ac:dyDescent="0.3">
      <c r="A221" s="675" t="s">
        <v>484</v>
      </c>
      <c r="B221" s="676" t="s">
        <v>485</v>
      </c>
      <c r="C221" s="677" t="s">
        <v>497</v>
      </c>
      <c r="D221" s="678" t="s">
        <v>498</v>
      </c>
      <c r="E221" s="677" t="s">
        <v>1841</v>
      </c>
      <c r="F221" s="678" t="s">
        <v>1842</v>
      </c>
      <c r="G221" s="677" t="s">
        <v>2073</v>
      </c>
      <c r="H221" s="677" t="s">
        <v>2074</v>
      </c>
      <c r="I221" s="680">
        <v>15.729999542236328</v>
      </c>
      <c r="J221" s="680">
        <v>180</v>
      </c>
      <c r="K221" s="681">
        <v>2831.3999633789062</v>
      </c>
    </row>
    <row r="222" spans="1:11" ht="14.4" customHeight="1" x14ac:dyDescent="0.3">
      <c r="A222" s="675" t="s">
        <v>484</v>
      </c>
      <c r="B222" s="676" t="s">
        <v>485</v>
      </c>
      <c r="C222" s="677" t="s">
        <v>497</v>
      </c>
      <c r="D222" s="678" t="s">
        <v>498</v>
      </c>
      <c r="E222" s="677" t="s">
        <v>1841</v>
      </c>
      <c r="F222" s="678" t="s">
        <v>1842</v>
      </c>
      <c r="G222" s="677" t="s">
        <v>2075</v>
      </c>
      <c r="H222" s="677" t="s">
        <v>2076</v>
      </c>
      <c r="I222" s="680">
        <v>8.8385715484619141</v>
      </c>
      <c r="J222" s="680">
        <v>4154</v>
      </c>
      <c r="K222" s="681">
        <v>36712.109741210938</v>
      </c>
    </row>
    <row r="223" spans="1:11" ht="14.4" customHeight="1" x14ac:dyDescent="0.3">
      <c r="A223" s="675" t="s">
        <v>484</v>
      </c>
      <c r="B223" s="676" t="s">
        <v>485</v>
      </c>
      <c r="C223" s="677" t="s">
        <v>497</v>
      </c>
      <c r="D223" s="678" t="s">
        <v>498</v>
      </c>
      <c r="E223" s="677" t="s">
        <v>1841</v>
      </c>
      <c r="F223" s="678" t="s">
        <v>1842</v>
      </c>
      <c r="G223" s="677" t="s">
        <v>2077</v>
      </c>
      <c r="H223" s="677" t="s">
        <v>2078</v>
      </c>
      <c r="I223" s="680">
        <v>2.1742857864924838</v>
      </c>
      <c r="J223" s="680">
        <v>2700</v>
      </c>
      <c r="K223" s="681">
        <v>5869</v>
      </c>
    </row>
    <row r="224" spans="1:11" ht="14.4" customHeight="1" x14ac:dyDescent="0.3">
      <c r="A224" s="675" t="s">
        <v>484</v>
      </c>
      <c r="B224" s="676" t="s">
        <v>485</v>
      </c>
      <c r="C224" s="677" t="s">
        <v>497</v>
      </c>
      <c r="D224" s="678" t="s">
        <v>498</v>
      </c>
      <c r="E224" s="677" t="s">
        <v>1841</v>
      </c>
      <c r="F224" s="678" t="s">
        <v>1842</v>
      </c>
      <c r="G224" s="677" t="s">
        <v>2079</v>
      </c>
      <c r="H224" s="677" t="s">
        <v>2080</v>
      </c>
      <c r="I224" s="680">
        <v>6.2333332697550459</v>
      </c>
      <c r="J224" s="680">
        <v>1440</v>
      </c>
      <c r="K224" s="681">
        <v>8976.3999328613281</v>
      </c>
    </row>
    <row r="225" spans="1:11" ht="14.4" customHeight="1" x14ac:dyDescent="0.3">
      <c r="A225" s="675" t="s">
        <v>484</v>
      </c>
      <c r="B225" s="676" t="s">
        <v>485</v>
      </c>
      <c r="C225" s="677" t="s">
        <v>497</v>
      </c>
      <c r="D225" s="678" t="s">
        <v>498</v>
      </c>
      <c r="E225" s="677" t="s">
        <v>1841</v>
      </c>
      <c r="F225" s="678" t="s">
        <v>1842</v>
      </c>
      <c r="G225" s="677" t="s">
        <v>2081</v>
      </c>
      <c r="H225" s="677" t="s">
        <v>2082</v>
      </c>
      <c r="I225" s="680">
        <v>1149.5</v>
      </c>
      <c r="J225" s="680">
        <v>4</v>
      </c>
      <c r="K225" s="681">
        <v>4598</v>
      </c>
    </row>
    <row r="226" spans="1:11" ht="14.4" customHeight="1" x14ac:dyDescent="0.3">
      <c r="A226" s="675" t="s">
        <v>484</v>
      </c>
      <c r="B226" s="676" t="s">
        <v>485</v>
      </c>
      <c r="C226" s="677" t="s">
        <v>497</v>
      </c>
      <c r="D226" s="678" t="s">
        <v>498</v>
      </c>
      <c r="E226" s="677" t="s">
        <v>1841</v>
      </c>
      <c r="F226" s="678" t="s">
        <v>1842</v>
      </c>
      <c r="G226" s="677" t="s">
        <v>2083</v>
      </c>
      <c r="H226" s="677" t="s">
        <v>2084</v>
      </c>
      <c r="I226" s="680">
        <v>1647.2900390625</v>
      </c>
      <c r="J226" s="680">
        <v>15</v>
      </c>
      <c r="K226" s="681">
        <v>24709.4091796875</v>
      </c>
    </row>
    <row r="227" spans="1:11" ht="14.4" customHeight="1" x14ac:dyDescent="0.3">
      <c r="A227" s="675" t="s">
        <v>484</v>
      </c>
      <c r="B227" s="676" t="s">
        <v>485</v>
      </c>
      <c r="C227" s="677" t="s">
        <v>497</v>
      </c>
      <c r="D227" s="678" t="s">
        <v>498</v>
      </c>
      <c r="E227" s="677" t="s">
        <v>1841</v>
      </c>
      <c r="F227" s="678" t="s">
        <v>1842</v>
      </c>
      <c r="G227" s="677" t="s">
        <v>2085</v>
      </c>
      <c r="H227" s="677" t="s">
        <v>2086</v>
      </c>
      <c r="I227" s="680">
        <v>1406.6300048828125</v>
      </c>
      <c r="J227" s="680">
        <v>20</v>
      </c>
      <c r="K227" s="681">
        <v>28132.51953125</v>
      </c>
    </row>
    <row r="228" spans="1:11" ht="14.4" customHeight="1" x14ac:dyDescent="0.3">
      <c r="A228" s="675" t="s">
        <v>484</v>
      </c>
      <c r="B228" s="676" t="s">
        <v>485</v>
      </c>
      <c r="C228" s="677" t="s">
        <v>497</v>
      </c>
      <c r="D228" s="678" t="s">
        <v>498</v>
      </c>
      <c r="E228" s="677" t="s">
        <v>1841</v>
      </c>
      <c r="F228" s="678" t="s">
        <v>1842</v>
      </c>
      <c r="G228" s="677" t="s">
        <v>2087</v>
      </c>
      <c r="H228" s="677" t="s">
        <v>2088</v>
      </c>
      <c r="I228" s="680">
        <v>229.89999389648437</v>
      </c>
      <c r="J228" s="680">
        <v>340</v>
      </c>
      <c r="K228" s="681">
        <v>78166.0498046875</v>
      </c>
    </row>
    <row r="229" spans="1:11" ht="14.4" customHeight="1" x14ac:dyDescent="0.3">
      <c r="A229" s="675" t="s">
        <v>484</v>
      </c>
      <c r="B229" s="676" t="s">
        <v>485</v>
      </c>
      <c r="C229" s="677" t="s">
        <v>497</v>
      </c>
      <c r="D229" s="678" t="s">
        <v>498</v>
      </c>
      <c r="E229" s="677" t="s">
        <v>1841</v>
      </c>
      <c r="F229" s="678" t="s">
        <v>1842</v>
      </c>
      <c r="G229" s="677" t="s">
        <v>2089</v>
      </c>
      <c r="H229" s="677" t="s">
        <v>2090</v>
      </c>
      <c r="I229" s="680">
        <v>193.60000610351562</v>
      </c>
      <c r="J229" s="680">
        <v>30</v>
      </c>
      <c r="K229" s="681">
        <v>5808</v>
      </c>
    </row>
    <row r="230" spans="1:11" ht="14.4" customHeight="1" x14ac:dyDescent="0.3">
      <c r="A230" s="675" t="s">
        <v>484</v>
      </c>
      <c r="B230" s="676" t="s">
        <v>485</v>
      </c>
      <c r="C230" s="677" t="s">
        <v>497</v>
      </c>
      <c r="D230" s="678" t="s">
        <v>498</v>
      </c>
      <c r="E230" s="677" t="s">
        <v>1841</v>
      </c>
      <c r="F230" s="678" t="s">
        <v>1842</v>
      </c>
      <c r="G230" s="677" t="s">
        <v>2091</v>
      </c>
      <c r="H230" s="677" t="s">
        <v>2092</v>
      </c>
      <c r="I230" s="680">
        <v>119.625</v>
      </c>
      <c r="J230" s="680">
        <v>4</v>
      </c>
      <c r="K230" s="681">
        <v>478.5</v>
      </c>
    </row>
    <row r="231" spans="1:11" ht="14.4" customHeight="1" x14ac:dyDescent="0.3">
      <c r="A231" s="675" t="s">
        <v>484</v>
      </c>
      <c r="B231" s="676" t="s">
        <v>485</v>
      </c>
      <c r="C231" s="677" t="s">
        <v>497</v>
      </c>
      <c r="D231" s="678" t="s">
        <v>498</v>
      </c>
      <c r="E231" s="677" t="s">
        <v>1841</v>
      </c>
      <c r="F231" s="678" t="s">
        <v>1842</v>
      </c>
      <c r="G231" s="677" t="s">
        <v>2093</v>
      </c>
      <c r="H231" s="677" t="s">
        <v>2094</v>
      </c>
      <c r="I231" s="680">
        <v>168.19000244140625</v>
      </c>
      <c r="J231" s="680">
        <v>10</v>
      </c>
      <c r="K231" s="681">
        <v>1681.9000244140625</v>
      </c>
    </row>
    <row r="232" spans="1:11" ht="14.4" customHeight="1" x14ac:dyDescent="0.3">
      <c r="A232" s="675" t="s">
        <v>484</v>
      </c>
      <c r="B232" s="676" t="s">
        <v>485</v>
      </c>
      <c r="C232" s="677" t="s">
        <v>497</v>
      </c>
      <c r="D232" s="678" t="s">
        <v>498</v>
      </c>
      <c r="E232" s="677" t="s">
        <v>1841</v>
      </c>
      <c r="F232" s="678" t="s">
        <v>1842</v>
      </c>
      <c r="G232" s="677" t="s">
        <v>2095</v>
      </c>
      <c r="H232" s="677" t="s">
        <v>2096</v>
      </c>
      <c r="I232" s="680">
        <v>82.160001754760742</v>
      </c>
      <c r="J232" s="680">
        <v>200</v>
      </c>
      <c r="K232" s="681">
        <v>16432.090087890625</v>
      </c>
    </row>
    <row r="233" spans="1:11" ht="14.4" customHeight="1" x14ac:dyDescent="0.3">
      <c r="A233" s="675" t="s">
        <v>484</v>
      </c>
      <c r="B233" s="676" t="s">
        <v>485</v>
      </c>
      <c r="C233" s="677" t="s">
        <v>497</v>
      </c>
      <c r="D233" s="678" t="s">
        <v>498</v>
      </c>
      <c r="E233" s="677" t="s">
        <v>1841</v>
      </c>
      <c r="F233" s="678" t="s">
        <v>1842</v>
      </c>
      <c r="G233" s="677" t="s">
        <v>2097</v>
      </c>
      <c r="H233" s="677" t="s">
        <v>2098</v>
      </c>
      <c r="I233" s="680">
        <v>1.2733333110809326</v>
      </c>
      <c r="J233" s="680">
        <v>975</v>
      </c>
      <c r="K233" s="681">
        <v>1239.5</v>
      </c>
    </row>
    <row r="234" spans="1:11" ht="14.4" customHeight="1" x14ac:dyDescent="0.3">
      <c r="A234" s="675" t="s">
        <v>484</v>
      </c>
      <c r="B234" s="676" t="s">
        <v>485</v>
      </c>
      <c r="C234" s="677" t="s">
        <v>497</v>
      </c>
      <c r="D234" s="678" t="s">
        <v>498</v>
      </c>
      <c r="E234" s="677" t="s">
        <v>1841</v>
      </c>
      <c r="F234" s="678" t="s">
        <v>1842</v>
      </c>
      <c r="G234" s="677" t="s">
        <v>2099</v>
      </c>
      <c r="H234" s="677" t="s">
        <v>2100</v>
      </c>
      <c r="I234" s="680">
        <v>1.0299999713897705</v>
      </c>
      <c r="J234" s="680">
        <v>75</v>
      </c>
      <c r="K234" s="681">
        <v>77.25</v>
      </c>
    </row>
    <row r="235" spans="1:11" ht="14.4" customHeight="1" x14ac:dyDescent="0.3">
      <c r="A235" s="675" t="s">
        <v>484</v>
      </c>
      <c r="B235" s="676" t="s">
        <v>485</v>
      </c>
      <c r="C235" s="677" t="s">
        <v>497</v>
      </c>
      <c r="D235" s="678" t="s">
        <v>498</v>
      </c>
      <c r="E235" s="677" t="s">
        <v>1841</v>
      </c>
      <c r="F235" s="678" t="s">
        <v>1842</v>
      </c>
      <c r="G235" s="677" t="s">
        <v>2101</v>
      </c>
      <c r="H235" s="677" t="s">
        <v>2102</v>
      </c>
      <c r="I235" s="680">
        <v>3.1325001120567322</v>
      </c>
      <c r="J235" s="680">
        <v>1250</v>
      </c>
      <c r="K235" s="681">
        <v>3916</v>
      </c>
    </row>
    <row r="236" spans="1:11" ht="14.4" customHeight="1" x14ac:dyDescent="0.3">
      <c r="A236" s="675" t="s">
        <v>484</v>
      </c>
      <c r="B236" s="676" t="s">
        <v>485</v>
      </c>
      <c r="C236" s="677" t="s">
        <v>497</v>
      </c>
      <c r="D236" s="678" t="s">
        <v>498</v>
      </c>
      <c r="E236" s="677" t="s">
        <v>1841</v>
      </c>
      <c r="F236" s="678" t="s">
        <v>1842</v>
      </c>
      <c r="G236" s="677" t="s">
        <v>2103</v>
      </c>
      <c r="H236" s="677" t="s">
        <v>2104</v>
      </c>
      <c r="I236" s="680">
        <v>411.39999389648437</v>
      </c>
      <c r="J236" s="680">
        <v>20</v>
      </c>
      <c r="K236" s="681">
        <v>8228</v>
      </c>
    </row>
    <row r="237" spans="1:11" ht="14.4" customHeight="1" x14ac:dyDescent="0.3">
      <c r="A237" s="675" t="s">
        <v>484</v>
      </c>
      <c r="B237" s="676" t="s">
        <v>485</v>
      </c>
      <c r="C237" s="677" t="s">
        <v>497</v>
      </c>
      <c r="D237" s="678" t="s">
        <v>498</v>
      </c>
      <c r="E237" s="677" t="s">
        <v>1841</v>
      </c>
      <c r="F237" s="678" t="s">
        <v>1842</v>
      </c>
      <c r="G237" s="677" t="s">
        <v>2105</v>
      </c>
      <c r="H237" s="677" t="s">
        <v>2106</v>
      </c>
      <c r="I237" s="680">
        <v>568.70001220703125</v>
      </c>
      <c r="J237" s="680">
        <v>10</v>
      </c>
      <c r="K237" s="681">
        <v>5687</v>
      </c>
    </row>
    <row r="238" spans="1:11" ht="14.4" customHeight="1" x14ac:dyDescent="0.3">
      <c r="A238" s="675" t="s">
        <v>484</v>
      </c>
      <c r="B238" s="676" t="s">
        <v>485</v>
      </c>
      <c r="C238" s="677" t="s">
        <v>497</v>
      </c>
      <c r="D238" s="678" t="s">
        <v>498</v>
      </c>
      <c r="E238" s="677" t="s">
        <v>1841</v>
      </c>
      <c r="F238" s="678" t="s">
        <v>1842</v>
      </c>
      <c r="G238" s="677" t="s">
        <v>2107</v>
      </c>
      <c r="H238" s="677" t="s">
        <v>2108</v>
      </c>
      <c r="I238" s="680">
        <v>0.47166666388511658</v>
      </c>
      <c r="J238" s="680">
        <v>3400</v>
      </c>
      <c r="K238" s="681">
        <v>1601</v>
      </c>
    </row>
    <row r="239" spans="1:11" ht="14.4" customHeight="1" x14ac:dyDescent="0.3">
      <c r="A239" s="675" t="s">
        <v>484</v>
      </c>
      <c r="B239" s="676" t="s">
        <v>485</v>
      </c>
      <c r="C239" s="677" t="s">
        <v>497</v>
      </c>
      <c r="D239" s="678" t="s">
        <v>498</v>
      </c>
      <c r="E239" s="677" t="s">
        <v>1841</v>
      </c>
      <c r="F239" s="678" t="s">
        <v>1842</v>
      </c>
      <c r="G239" s="677" t="s">
        <v>2109</v>
      </c>
      <c r="H239" s="677" t="s">
        <v>2110</v>
      </c>
      <c r="I239" s="680">
        <v>0.4699999988079071</v>
      </c>
      <c r="J239" s="680">
        <v>1200</v>
      </c>
      <c r="K239" s="681">
        <v>564</v>
      </c>
    </row>
    <row r="240" spans="1:11" ht="14.4" customHeight="1" x14ac:dyDescent="0.3">
      <c r="A240" s="675" t="s">
        <v>484</v>
      </c>
      <c r="B240" s="676" t="s">
        <v>485</v>
      </c>
      <c r="C240" s="677" t="s">
        <v>497</v>
      </c>
      <c r="D240" s="678" t="s">
        <v>498</v>
      </c>
      <c r="E240" s="677" t="s">
        <v>1841</v>
      </c>
      <c r="F240" s="678" t="s">
        <v>1842</v>
      </c>
      <c r="G240" s="677" t="s">
        <v>2111</v>
      </c>
      <c r="H240" s="677" t="s">
        <v>2112</v>
      </c>
      <c r="I240" s="680">
        <v>21.229999542236328</v>
      </c>
      <c r="J240" s="680">
        <v>100</v>
      </c>
      <c r="K240" s="681">
        <v>2123</v>
      </c>
    </row>
    <row r="241" spans="1:11" ht="14.4" customHeight="1" x14ac:dyDescent="0.3">
      <c r="A241" s="675" t="s">
        <v>484</v>
      </c>
      <c r="B241" s="676" t="s">
        <v>485</v>
      </c>
      <c r="C241" s="677" t="s">
        <v>497</v>
      </c>
      <c r="D241" s="678" t="s">
        <v>498</v>
      </c>
      <c r="E241" s="677" t="s">
        <v>1841</v>
      </c>
      <c r="F241" s="678" t="s">
        <v>1842</v>
      </c>
      <c r="G241" s="677" t="s">
        <v>2113</v>
      </c>
      <c r="H241" s="677" t="s">
        <v>2114</v>
      </c>
      <c r="I241" s="680">
        <v>1.9049999713897705</v>
      </c>
      <c r="J241" s="680">
        <v>150</v>
      </c>
      <c r="K241" s="681">
        <v>294.5</v>
      </c>
    </row>
    <row r="242" spans="1:11" ht="14.4" customHeight="1" x14ac:dyDescent="0.3">
      <c r="A242" s="675" t="s">
        <v>484</v>
      </c>
      <c r="B242" s="676" t="s">
        <v>485</v>
      </c>
      <c r="C242" s="677" t="s">
        <v>497</v>
      </c>
      <c r="D242" s="678" t="s">
        <v>498</v>
      </c>
      <c r="E242" s="677" t="s">
        <v>1841</v>
      </c>
      <c r="F242" s="678" t="s">
        <v>1842</v>
      </c>
      <c r="G242" s="677" t="s">
        <v>2115</v>
      </c>
      <c r="H242" s="677" t="s">
        <v>2116</v>
      </c>
      <c r="I242" s="680">
        <v>3.75</v>
      </c>
      <c r="J242" s="680">
        <v>80</v>
      </c>
      <c r="K242" s="681">
        <v>300</v>
      </c>
    </row>
    <row r="243" spans="1:11" ht="14.4" customHeight="1" x14ac:dyDescent="0.3">
      <c r="A243" s="675" t="s">
        <v>484</v>
      </c>
      <c r="B243" s="676" t="s">
        <v>485</v>
      </c>
      <c r="C243" s="677" t="s">
        <v>497</v>
      </c>
      <c r="D243" s="678" t="s">
        <v>498</v>
      </c>
      <c r="E243" s="677" t="s">
        <v>1841</v>
      </c>
      <c r="F243" s="678" t="s">
        <v>1842</v>
      </c>
      <c r="G243" s="677" t="s">
        <v>2117</v>
      </c>
      <c r="H243" s="677" t="s">
        <v>2118</v>
      </c>
      <c r="I243" s="680">
        <v>1.9845454692840576</v>
      </c>
      <c r="J243" s="680">
        <v>3150</v>
      </c>
      <c r="K243" s="681">
        <v>6251</v>
      </c>
    </row>
    <row r="244" spans="1:11" ht="14.4" customHeight="1" x14ac:dyDescent="0.3">
      <c r="A244" s="675" t="s">
        <v>484</v>
      </c>
      <c r="B244" s="676" t="s">
        <v>485</v>
      </c>
      <c r="C244" s="677" t="s">
        <v>497</v>
      </c>
      <c r="D244" s="678" t="s">
        <v>498</v>
      </c>
      <c r="E244" s="677" t="s">
        <v>1841</v>
      </c>
      <c r="F244" s="678" t="s">
        <v>1842</v>
      </c>
      <c r="G244" s="677" t="s">
        <v>2119</v>
      </c>
      <c r="H244" s="677" t="s">
        <v>2120</v>
      </c>
      <c r="I244" s="680">
        <v>2.0399999618530273</v>
      </c>
      <c r="J244" s="680">
        <v>500</v>
      </c>
      <c r="K244" s="681">
        <v>1019</v>
      </c>
    </row>
    <row r="245" spans="1:11" ht="14.4" customHeight="1" x14ac:dyDescent="0.3">
      <c r="A245" s="675" t="s">
        <v>484</v>
      </c>
      <c r="B245" s="676" t="s">
        <v>485</v>
      </c>
      <c r="C245" s="677" t="s">
        <v>497</v>
      </c>
      <c r="D245" s="678" t="s">
        <v>498</v>
      </c>
      <c r="E245" s="677" t="s">
        <v>1841</v>
      </c>
      <c r="F245" s="678" t="s">
        <v>1842</v>
      </c>
      <c r="G245" s="677" t="s">
        <v>2121</v>
      </c>
      <c r="H245" s="677" t="s">
        <v>2122</v>
      </c>
      <c r="I245" s="680">
        <v>1.8999999761581421</v>
      </c>
      <c r="J245" s="680">
        <v>100</v>
      </c>
      <c r="K245" s="681">
        <v>190</v>
      </c>
    </row>
    <row r="246" spans="1:11" ht="14.4" customHeight="1" x14ac:dyDescent="0.3">
      <c r="A246" s="675" t="s">
        <v>484</v>
      </c>
      <c r="B246" s="676" t="s">
        <v>485</v>
      </c>
      <c r="C246" s="677" t="s">
        <v>497</v>
      </c>
      <c r="D246" s="678" t="s">
        <v>498</v>
      </c>
      <c r="E246" s="677" t="s">
        <v>1841</v>
      </c>
      <c r="F246" s="678" t="s">
        <v>1842</v>
      </c>
      <c r="G246" s="677" t="s">
        <v>2123</v>
      </c>
      <c r="H246" s="677" t="s">
        <v>2124</v>
      </c>
      <c r="I246" s="680">
        <v>2.6966667175292969</v>
      </c>
      <c r="J246" s="680">
        <v>2250</v>
      </c>
      <c r="K246" s="681">
        <v>6067</v>
      </c>
    </row>
    <row r="247" spans="1:11" ht="14.4" customHeight="1" x14ac:dyDescent="0.3">
      <c r="A247" s="675" t="s">
        <v>484</v>
      </c>
      <c r="B247" s="676" t="s">
        <v>485</v>
      </c>
      <c r="C247" s="677" t="s">
        <v>497</v>
      </c>
      <c r="D247" s="678" t="s">
        <v>498</v>
      </c>
      <c r="E247" s="677" t="s">
        <v>1841</v>
      </c>
      <c r="F247" s="678" t="s">
        <v>1842</v>
      </c>
      <c r="G247" s="677" t="s">
        <v>2125</v>
      </c>
      <c r="H247" s="677" t="s">
        <v>2126</v>
      </c>
      <c r="I247" s="680">
        <v>3.0699999332427979</v>
      </c>
      <c r="J247" s="680">
        <v>600</v>
      </c>
      <c r="K247" s="681">
        <v>1842</v>
      </c>
    </row>
    <row r="248" spans="1:11" ht="14.4" customHeight="1" x14ac:dyDescent="0.3">
      <c r="A248" s="675" t="s">
        <v>484</v>
      </c>
      <c r="B248" s="676" t="s">
        <v>485</v>
      </c>
      <c r="C248" s="677" t="s">
        <v>497</v>
      </c>
      <c r="D248" s="678" t="s">
        <v>498</v>
      </c>
      <c r="E248" s="677" t="s">
        <v>1841</v>
      </c>
      <c r="F248" s="678" t="s">
        <v>1842</v>
      </c>
      <c r="G248" s="677" t="s">
        <v>2127</v>
      </c>
      <c r="H248" s="677" t="s">
        <v>2128</v>
      </c>
      <c r="I248" s="680">
        <v>1.9239999532699585</v>
      </c>
      <c r="J248" s="680">
        <v>300</v>
      </c>
      <c r="K248" s="681">
        <v>577</v>
      </c>
    </row>
    <row r="249" spans="1:11" ht="14.4" customHeight="1" x14ac:dyDescent="0.3">
      <c r="A249" s="675" t="s">
        <v>484</v>
      </c>
      <c r="B249" s="676" t="s">
        <v>485</v>
      </c>
      <c r="C249" s="677" t="s">
        <v>497</v>
      </c>
      <c r="D249" s="678" t="s">
        <v>498</v>
      </c>
      <c r="E249" s="677" t="s">
        <v>1841</v>
      </c>
      <c r="F249" s="678" t="s">
        <v>1842</v>
      </c>
      <c r="G249" s="677" t="s">
        <v>2129</v>
      </c>
      <c r="H249" s="677" t="s">
        <v>2130</v>
      </c>
      <c r="I249" s="680">
        <v>3.0933332443237305</v>
      </c>
      <c r="J249" s="680">
        <v>700</v>
      </c>
      <c r="K249" s="681">
        <v>2165</v>
      </c>
    </row>
    <row r="250" spans="1:11" ht="14.4" customHeight="1" x14ac:dyDescent="0.3">
      <c r="A250" s="675" t="s">
        <v>484</v>
      </c>
      <c r="B250" s="676" t="s">
        <v>485</v>
      </c>
      <c r="C250" s="677" t="s">
        <v>497</v>
      </c>
      <c r="D250" s="678" t="s">
        <v>498</v>
      </c>
      <c r="E250" s="677" t="s">
        <v>1841</v>
      </c>
      <c r="F250" s="678" t="s">
        <v>1842</v>
      </c>
      <c r="G250" s="677" t="s">
        <v>2131</v>
      </c>
      <c r="H250" s="677" t="s">
        <v>2132</v>
      </c>
      <c r="I250" s="680">
        <v>2.1670000791549682</v>
      </c>
      <c r="J250" s="680">
        <v>1650</v>
      </c>
      <c r="K250" s="681">
        <v>3575.5</v>
      </c>
    </row>
    <row r="251" spans="1:11" ht="14.4" customHeight="1" x14ac:dyDescent="0.3">
      <c r="A251" s="675" t="s">
        <v>484</v>
      </c>
      <c r="B251" s="676" t="s">
        <v>485</v>
      </c>
      <c r="C251" s="677" t="s">
        <v>497</v>
      </c>
      <c r="D251" s="678" t="s">
        <v>498</v>
      </c>
      <c r="E251" s="677" t="s">
        <v>1841</v>
      </c>
      <c r="F251" s="678" t="s">
        <v>1842</v>
      </c>
      <c r="G251" s="677" t="s">
        <v>2111</v>
      </c>
      <c r="H251" s="677" t="s">
        <v>2133</v>
      </c>
      <c r="I251" s="680">
        <v>21.229999542236328</v>
      </c>
      <c r="J251" s="680">
        <v>150</v>
      </c>
      <c r="K251" s="681">
        <v>3184.5</v>
      </c>
    </row>
    <row r="252" spans="1:11" ht="14.4" customHeight="1" x14ac:dyDescent="0.3">
      <c r="A252" s="675" t="s">
        <v>484</v>
      </c>
      <c r="B252" s="676" t="s">
        <v>485</v>
      </c>
      <c r="C252" s="677" t="s">
        <v>497</v>
      </c>
      <c r="D252" s="678" t="s">
        <v>498</v>
      </c>
      <c r="E252" s="677" t="s">
        <v>1841</v>
      </c>
      <c r="F252" s="678" t="s">
        <v>1842</v>
      </c>
      <c r="G252" s="677" t="s">
        <v>2134</v>
      </c>
      <c r="H252" s="677" t="s">
        <v>2135</v>
      </c>
      <c r="I252" s="680">
        <v>5</v>
      </c>
      <c r="J252" s="680">
        <v>250</v>
      </c>
      <c r="K252" s="681">
        <v>1250</v>
      </c>
    </row>
    <row r="253" spans="1:11" ht="14.4" customHeight="1" x14ac:dyDescent="0.3">
      <c r="A253" s="675" t="s">
        <v>484</v>
      </c>
      <c r="B253" s="676" t="s">
        <v>485</v>
      </c>
      <c r="C253" s="677" t="s">
        <v>497</v>
      </c>
      <c r="D253" s="678" t="s">
        <v>498</v>
      </c>
      <c r="E253" s="677" t="s">
        <v>1841</v>
      </c>
      <c r="F253" s="678" t="s">
        <v>1842</v>
      </c>
      <c r="G253" s="677" t="s">
        <v>2136</v>
      </c>
      <c r="H253" s="677" t="s">
        <v>2137</v>
      </c>
      <c r="I253" s="680">
        <v>2.5099999904632568</v>
      </c>
      <c r="J253" s="680">
        <v>100</v>
      </c>
      <c r="K253" s="681">
        <v>251</v>
      </c>
    </row>
    <row r="254" spans="1:11" ht="14.4" customHeight="1" x14ac:dyDescent="0.3">
      <c r="A254" s="675" t="s">
        <v>484</v>
      </c>
      <c r="B254" s="676" t="s">
        <v>485</v>
      </c>
      <c r="C254" s="677" t="s">
        <v>497</v>
      </c>
      <c r="D254" s="678" t="s">
        <v>498</v>
      </c>
      <c r="E254" s="677" t="s">
        <v>1841</v>
      </c>
      <c r="F254" s="678" t="s">
        <v>1842</v>
      </c>
      <c r="G254" s="677" t="s">
        <v>2138</v>
      </c>
      <c r="H254" s="677" t="s">
        <v>2139</v>
      </c>
      <c r="I254" s="680">
        <v>21.239999771118164</v>
      </c>
      <c r="J254" s="680">
        <v>90</v>
      </c>
      <c r="K254" s="681">
        <v>1911.5999755859375</v>
      </c>
    </row>
    <row r="255" spans="1:11" ht="14.4" customHeight="1" x14ac:dyDescent="0.3">
      <c r="A255" s="675" t="s">
        <v>484</v>
      </c>
      <c r="B255" s="676" t="s">
        <v>485</v>
      </c>
      <c r="C255" s="677" t="s">
        <v>497</v>
      </c>
      <c r="D255" s="678" t="s">
        <v>498</v>
      </c>
      <c r="E255" s="677" t="s">
        <v>1841</v>
      </c>
      <c r="F255" s="678" t="s">
        <v>1842</v>
      </c>
      <c r="G255" s="677" t="s">
        <v>2138</v>
      </c>
      <c r="H255" s="677" t="s">
        <v>2140</v>
      </c>
      <c r="I255" s="680">
        <v>21.239999771118164</v>
      </c>
      <c r="J255" s="680">
        <v>40</v>
      </c>
      <c r="K255" s="681">
        <v>849.5999755859375</v>
      </c>
    </row>
    <row r="256" spans="1:11" ht="14.4" customHeight="1" x14ac:dyDescent="0.3">
      <c r="A256" s="675" t="s">
        <v>484</v>
      </c>
      <c r="B256" s="676" t="s">
        <v>485</v>
      </c>
      <c r="C256" s="677" t="s">
        <v>497</v>
      </c>
      <c r="D256" s="678" t="s">
        <v>498</v>
      </c>
      <c r="E256" s="677" t="s">
        <v>1841</v>
      </c>
      <c r="F256" s="678" t="s">
        <v>1842</v>
      </c>
      <c r="G256" s="677" t="s">
        <v>2141</v>
      </c>
      <c r="H256" s="677" t="s">
        <v>2142</v>
      </c>
      <c r="I256" s="680">
        <v>2.690000057220459</v>
      </c>
      <c r="J256" s="680">
        <v>50</v>
      </c>
      <c r="K256" s="681">
        <v>134.5</v>
      </c>
    </row>
    <row r="257" spans="1:11" ht="14.4" customHeight="1" x14ac:dyDescent="0.3">
      <c r="A257" s="675" t="s">
        <v>484</v>
      </c>
      <c r="B257" s="676" t="s">
        <v>485</v>
      </c>
      <c r="C257" s="677" t="s">
        <v>497</v>
      </c>
      <c r="D257" s="678" t="s">
        <v>498</v>
      </c>
      <c r="E257" s="677" t="s">
        <v>2143</v>
      </c>
      <c r="F257" s="678" t="s">
        <v>2144</v>
      </c>
      <c r="G257" s="677" t="s">
        <v>2145</v>
      </c>
      <c r="H257" s="677" t="s">
        <v>2146</v>
      </c>
      <c r="I257" s="680">
        <v>10.262307974008413</v>
      </c>
      <c r="J257" s="680">
        <v>6100</v>
      </c>
      <c r="K257" s="681">
        <v>58269</v>
      </c>
    </row>
    <row r="258" spans="1:11" ht="14.4" customHeight="1" x14ac:dyDescent="0.3">
      <c r="A258" s="675" t="s">
        <v>484</v>
      </c>
      <c r="B258" s="676" t="s">
        <v>485</v>
      </c>
      <c r="C258" s="677" t="s">
        <v>497</v>
      </c>
      <c r="D258" s="678" t="s">
        <v>498</v>
      </c>
      <c r="E258" s="677" t="s">
        <v>2143</v>
      </c>
      <c r="F258" s="678" t="s">
        <v>2144</v>
      </c>
      <c r="G258" s="677" t="s">
        <v>2147</v>
      </c>
      <c r="H258" s="677" t="s">
        <v>2148</v>
      </c>
      <c r="I258" s="680">
        <v>162.62666829427084</v>
      </c>
      <c r="J258" s="680">
        <v>270</v>
      </c>
      <c r="K258" s="681">
        <v>43909.0205078125</v>
      </c>
    </row>
    <row r="259" spans="1:11" ht="14.4" customHeight="1" x14ac:dyDescent="0.3">
      <c r="A259" s="675" t="s">
        <v>484</v>
      </c>
      <c r="B259" s="676" t="s">
        <v>485</v>
      </c>
      <c r="C259" s="677" t="s">
        <v>497</v>
      </c>
      <c r="D259" s="678" t="s">
        <v>498</v>
      </c>
      <c r="E259" s="677" t="s">
        <v>2143</v>
      </c>
      <c r="F259" s="678" t="s">
        <v>2144</v>
      </c>
      <c r="G259" s="677" t="s">
        <v>2149</v>
      </c>
      <c r="H259" s="677" t="s">
        <v>2150</v>
      </c>
      <c r="I259" s="680">
        <v>1374.199951171875</v>
      </c>
      <c r="J259" s="680">
        <v>3</v>
      </c>
      <c r="K259" s="681">
        <v>4122.599853515625</v>
      </c>
    </row>
    <row r="260" spans="1:11" ht="14.4" customHeight="1" x14ac:dyDescent="0.3">
      <c r="A260" s="675" t="s">
        <v>484</v>
      </c>
      <c r="B260" s="676" t="s">
        <v>485</v>
      </c>
      <c r="C260" s="677" t="s">
        <v>497</v>
      </c>
      <c r="D260" s="678" t="s">
        <v>498</v>
      </c>
      <c r="E260" s="677" t="s">
        <v>2143</v>
      </c>
      <c r="F260" s="678" t="s">
        <v>2144</v>
      </c>
      <c r="G260" s="677" t="s">
        <v>2151</v>
      </c>
      <c r="H260" s="677" t="s">
        <v>2152</v>
      </c>
      <c r="I260" s="680">
        <v>7.0014286041259766</v>
      </c>
      <c r="J260" s="680">
        <v>1450</v>
      </c>
      <c r="K260" s="681">
        <v>10152.5</v>
      </c>
    </row>
    <row r="261" spans="1:11" ht="14.4" customHeight="1" x14ac:dyDescent="0.3">
      <c r="A261" s="675" t="s">
        <v>484</v>
      </c>
      <c r="B261" s="676" t="s">
        <v>485</v>
      </c>
      <c r="C261" s="677" t="s">
        <v>497</v>
      </c>
      <c r="D261" s="678" t="s">
        <v>498</v>
      </c>
      <c r="E261" s="677" t="s">
        <v>2153</v>
      </c>
      <c r="F261" s="678" t="s">
        <v>2154</v>
      </c>
      <c r="G261" s="677" t="s">
        <v>2155</v>
      </c>
      <c r="H261" s="677" t="s">
        <v>2156</v>
      </c>
      <c r="I261" s="680">
        <v>35.310001373291016</v>
      </c>
      <c r="J261" s="680">
        <v>72</v>
      </c>
      <c r="K261" s="681">
        <v>2541.9599609375</v>
      </c>
    </row>
    <row r="262" spans="1:11" ht="14.4" customHeight="1" x14ac:dyDescent="0.3">
      <c r="A262" s="675" t="s">
        <v>484</v>
      </c>
      <c r="B262" s="676" t="s">
        <v>485</v>
      </c>
      <c r="C262" s="677" t="s">
        <v>497</v>
      </c>
      <c r="D262" s="678" t="s">
        <v>498</v>
      </c>
      <c r="E262" s="677" t="s">
        <v>2153</v>
      </c>
      <c r="F262" s="678" t="s">
        <v>2154</v>
      </c>
      <c r="G262" s="677" t="s">
        <v>2157</v>
      </c>
      <c r="H262" s="677" t="s">
        <v>2158</v>
      </c>
      <c r="I262" s="680">
        <v>24.219999313354492</v>
      </c>
      <c r="J262" s="680">
        <v>36</v>
      </c>
      <c r="K262" s="681">
        <v>871.92999267578125</v>
      </c>
    </row>
    <row r="263" spans="1:11" ht="14.4" customHeight="1" x14ac:dyDescent="0.3">
      <c r="A263" s="675" t="s">
        <v>484</v>
      </c>
      <c r="B263" s="676" t="s">
        <v>485</v>
      </c>
      <c r="C263" s="677" t="s">
        <v>497</v>
      </c>
      <c r="D263" s="678" t="s">
        <v>498</v>
      </c>
      <c r="E263" s="677" t="s">
        <v>2153</v>
      </c>
      <c r="F263" s="678" t="s">
        <v>2154</v>
      </c>
      <c r="G263" s="677" t="s">
        <v>2159</v>
      </c>
      <c r="H263" s="677" t="s">
        <v>2160</v>
      </c>
      <c r="I263" s="680">
        <v>33.599998474121094</v>
      </c>
      <c r="J263" s="680">
        <v>144</v>
      </c>
      <c r="K263" s="681">
        <v>4838.759765625</v>
      </c>
    </row>
    <row r="264" spans="1:11" ht="14.4" customHeight="1" x14ac:dyDescent="0.3">
      <c r="A264" s="675" t="s">
        <v>484</v>
      </c>
      <c r="B264" s="676" t="s">
        <v>485</v>
      </c>
      <c r="C264" s="677" t="s">
        <v>497</v>
      </c>
      <c r="D264" s="678" t="s">
        <v>498</v>
      </c>
      <c r="E264" s="677" t="s">
        <v>2153</v>
      </c>
      <c r="F264" s="678" t="s">
        <v>2154</v>
      </c>
      <c r="G264" s="677" t="s">
        <v>2161</v>
      </c>
      <c r="H264" s="677" t="s">
        <v>2162</v>
      </c>
      <c r="I264" s="680">
        <v>45.029998779296875</v>
      </c>
      <c r="J264" s="680">
        <v>36</v>
      </c>
      <c r="K264" s="681">
        <v>1620.9300537109375</v>
      </c>
    </row>
    <row r="265" spans="1:11" ht="14.4" customHeight="1" x14ac:dyDescent="0.3">
      <c r="A265" s="675" t="s">
        <v>484</v>
      </c>
      <c r="B265" s="676" t="s">
        <v>485</v>
      </c>
      <c r="C265" s="677" t="s">
        <v>497</v>
      </c>
      <c r="D265" s="678" t="s">
        <v>498</v>
      </c>
      <c r="E265" s="677" t="s">
        <v>2153</v>
      </c>
      <c r="F265" s="678" t="s">
        <v>2154</v>
      </c>
      <c r="G265" s="677" t="s">
        <v>2163</v>
      </c>
      <c r="H265" s="677" t="s">
        <v>2164</v>
      </c>
      <c r="I265" s="680">
        <v>41.810001373291016</v>
      </c>
      <c r="J265" s="680">
        <v>36</v>
      </c>
      <c r="K265" s="681">
        <v>1505.1199951171875</v>
      </c>
    </row>
    <row r="266" spans="1:11" ht="14.4" customHeight="1" x14ac:dyDescent="0.3">
      <c r="A266" s="675" t="s">
        <v>484</v>
      </c>
      <c r="B266" s="676" t="s">
        <v>485</v>
      </c>
      <c r="C266" s="677" t="s">
        <v>497</v>
      </c>
      <c r="D266" s="678" t="s">
        <v>498</v>
      </c>
      <c r="E266" s="677" t="s">
        <v>2165</v>
      </c>
      <c r="F266" s="678" t="s">
        <v>2166</v>
      </c>
      <c r="G266" s="677" t="s">
        <v>2167</v>
      </c>
      <c r="H266" s="677" t="s">
        <v>2168</v>
      </c>
      <c r="I266" s="680">
        <v>11.539999961853027</v>
      </c>
      <c r="J266" s="680">
        <v>10</v>
      </c>
      <c r="K266" s="681">
        <v>115.43000030517578</v>
      </c>
    </row>
    <row r="267" spans="1:11" ht="14.4" customHeight="1" x14ac:dyDescent="0.3">
      <c r="A267" s="675" t="s">
        <v>484</v>
      </c>
      <c r="B267" s="676" t="s">
        <v>485</v>
      </c>
      <c r="C267" s="677" t="s">
        <v>497</v>
      </c>
      <c r="D267" s="678" t="s">
        <v>498</v>
      </c>
      <c r="E267" s="677" t="s">
        <v>2165</v>
      </c>
      <c r="F267" s="678" t="s">
        <v>2166</v>
      </c>
      <c r="G267" s="677" t="s">
        <v>2169</v>
      </c>
      <c r="H267" s="677" t="s">
        <v>2170</v>
      </c>
      <c r="I267" s="680">
        <v>0.30000001192092896</v>
      </c>
      <c r="J267" s="680">
        <v>100</v>
      </c>
      <c r="K267" s="681">
        <v>30</v>
      </c>
    </row>
    <row r="268" spans="1:11" ht="14.4" customHeight="1" x14ac:dyDescent="0.3">
      <c r="A268" s="675" t="s">
        <v>484</v>
      </c>
      <c r="B268" s="676" t="s">
        <v>485</v>
      </c>
      <c r="C268" s="677" t="s">
        <v>497</v>
      </c>
      <c r="D268" s="678" t="s">
        <v>498</v>
      </c>
      <c r="E268" s="677" t="s">
        <v>2165</v>
      </c>
      <c r="F268" s="678" t="s">
        <v>2166</v>
      </c>
      <c r="G268" s="677" t="s">
        <v>2171</v>
      </c>
      <c r="H268" s="677" t="s">
        <v>2172</v>
      </c>
      <c r="I268" s="680">
        <v>0.30571429218564716</v>
      </c>
      <c r="J268" s="680">
        <v>5800</v>
      </c>
      <c r="K268" s="681">
        <v>1776</v>
      </c>
    </row>
    <row r="269" spans="1:11" ht="14.4" customHeight="1" x14ac:dyDescent="0.3">
      <c r="A269" s="675" t="s">
        <v>484</v>
      </c>
      <c r="B269" s="676" t="s">
        <v>485</v>
      </c>
      <c r="C269" s="677" t="s">
        <v>497</v>
      </c>
      <c r="D269" s="678" t="s">
        <v>498</v>
      </c>
      <c r="E269" s="677" t="s">
        <v>2165</v>
      </c>
      <c r="F269" s="678" t="s">
        <v>2166</v>
      </c>
      <c r="G269" s="677" t="s">
        <v>2173</v>
      </c>
      <c r="H269" s="677" t="s">
        <v>2174</v>
      </c>
      <c r="I269" s="680">
        <v>0.30000001192092896</v>
      </c>
      <c r="J269" s="680">
        <v>600</v>
      </c>
      <c r="K269" s="681">
        <v>180</v>
      </c>
    </row>
    <row r="270" spans="1:11" ht="14.4" customHeight="1" x14ac:dyDescent="0.3">
      <c r="A270" s="675" t="s">
        <v>484</v>
      </c>
      <c r="B270" s="676" t="s">
        <v>485</v>
      </c>
      <c r="C270" s="677" t="s">
        <v>497</v>
      </c>
      <c r="D270" s="678" t="s">
        <v>498</v>
      </c>
      <c r="E270" s="677" t="s">
        <v>2165</v>
      </c>
      <c r="F270" s="678" t="s">
        <v>2166</v>
      </c>
      <c r="G270" s="677" t="s">
        <v>2175</v>
      </c>
      <c r="H270" s="677" t="s">
        <v>2176</v>
      </c>
      <c r="I270" s="680">
        <v>0.3033333420753479</v>
      </c>
      <c r="J270" s="680">
        <v>400</v>
      </c>
      <c r="K270" s="681">
        <v>122</v>
      </c>
    </row>
    <row r="271" spans="1:11" ht="14.4" customHeight="1" x14ac:dyDescent="0.3">
      <c r="A271" s="675" t="s">
        <v>484</v>
      </c>
      <c r="B271" s="676" t="s">
        <v>485</v>
      </c>
      <c r="C271" s="677" t="s">
        <v>497</v>
      </c>
      <c r="D271" s="678" t="s">
        <v>498</v>
      </c>
      <c r="E271" s="677" t="s">
        <v>2165</v>
      </c>
      <c r="F271" s="678" t="s">
        <v>2166</v>
      </c>
      <c r="G271" s="677" t="s">
        <v>2177</v>
      </c>
      <c r="H271" s="677" t="s">
        <v>2178</v>
      </c>
      <c r="I271" s="680">
        <v>0.68000000715255737</v>
      </c>
      <c r="J271" s="680">
        <v>100</v>
      </c>
      <c r="K271" s="681">
        <v>68</v>
      </c>
    </row>
    <row r="272" spans="1:11" ht="14.4" customHeight="1" x14ac:dyDescent="0.3">
      <c r="A272" s="675" t="s">
        <v>484</v>
      </c>
      <c r="B272" s="676" t="s">
        <v>485</v>
      </c>
      <c r="C272" s="677" t="s">
        <v>497</v>
      </c>
      <c r="D272" s="678" t="s">
        <v>498</v>
      </c>
      <c r="E272" s="677" t="s">
        <v>2165</v>
      </c>
      <c r="F272" s="678" t="s">
        <v>2166</v>
      </c>
      <c r="G272" s="677" t="s">
        <v>2179</v>
      </c>
      <c r="H272" s="677" t="s">
        <v>2180</v>
      </c>
      <c r="I272" s="680">
        <v>0.52562501095235348</v>
      </c>
      <c r="J272" s="680">
        <v>22600</v>
      </c>
      <c r="K272" s="681">
        <v>11818</v>
      </c>
    </row>
    <row r="273" spans="1:11" ht="14.4" customHeight="1" x14ac:dyDescent="0.3">
      <c r="A273" s="675" t="s">
        <v>484</v>
      </c>
      <c r="B273" s="676" t="s">
        <v>485</v>
      </c>
      <c r="C273" s="677" t="s">
        <v>497</v>
      </c>
      <c r="D273" s="678" t="s">
        <v>498</v>
      </c>
      <c r="E273" s="677" t="s">
        <v>2181</v>
      </c>
      <c r="F273" s="678" t="s">
        <v>2182</v>
      </c>
      <c r="G273" s="677" t="s">
        <v>2183</v>
      </c>
      <c r="H273" s="677" t="s">
        <v>2184</v>
      </c>
      <c r="I273" s="680">
        <v>0.6887499988079071</v>
      </c>
      <c r="J273" s="680">
        <v>25800</v>
      </c>
      <c r="K273" s="681">
        <v>17782</v>
      </c>
    </row>
    <row r="274" spans="1:11" ht="14.4" customHeight="1" x14ac:dyDescent="0.3">
      <c r="A274" s="675" t="s">
        <v>484</v>
      </c>
      <c r="B274" s="676" t="s">
        <v>485</v>
      </c>
      <c r="C274" s="677" t="s">
        <v>497</v>
      </c>
      <c r="D274" s="678" t="s">
        <v>498</v>
      </c>
      <c r="E274" s="677" t="s">
        <v>2181</v>
      </c>
      <c r="F274" s="678" t="s">
        <v>2182</v>
      </c>
      <c r="G274" s="677" t="s">
        <v>2185</v>
      </c>
      <c r="H274" s="677" t="s">
        <v>2186</v>
      </c>
      <c r="I274" s="680">
        <v>0.68916666507720947</v>
      </c>
      <c r="J274" s="680">
        <v>149000</v>
      </c>
      <c r="K274" s="681">
        <v>102770</v>
      </c>
    </row>
    <row r="275" spans="1:11" ht="14.4" customHeight="1" x14ac:dyDescent="0.3">
      <c r="A275" s="675" t="s">
        <v>484</v>
      </c>
      <c r="B275" s="676" t="s">
        <v>485</v>
      </c>
      <c r="C275" s="677" t="s">
        <v>497</v>
      </c>
      <c r="D275" s="678" t="s">
        <v>498</v>
      </c>
      <c r="E275" s="677" t="s">
        <v>2181</v>
      </c>
      <c r="F275" s="678" t="s">
        <v>2182</v>
      </c>
      <c r="G275" s="677" t="s">
        <v>2187</v>
      </c>
      <c r="H275" s="677" t="s">
        <v>2188</v>
      </c>
      <c r="I275" s="680">
        <v>0.68999999761581421</v>
      </c>
      <c r="J275" s="680">
        <v>720</v>
      </c>
      <c r="K275" s="681">
        <v>496.79998779296875</v>
      </c>
    </row>
    <row r="276" spans="1:11" ht="14.4" customHeight="1" x14ac:dyDescent="0.3">
      <c r="A276" s="675" t="s">
        <v>484</v>
      </c>
      <c r="B276" s="676" t="s">
        <v>485</v>
      </c>
      <c r="C276" s="677" t="s">
        <v>497</v>
      </c>
      <c r="D276" s="678" t="s">
        <v>498</v>
      </c>
      <c r="E276" s="677" t="s">
        <v>2181</v>
      </c>
      <c r="F276" s="678" t="s">
        <v>2182</v>
      </c>
      <c r="G276" s="677" t="s">
        <v>2189</v>
      </c>
      <c r="H276" s="677" t="s">
        <v>2190</v>
      </c>
      <c r="I276" s="680">
        <v>12.215999984741211</v>
      </c>
      <c r="J276" s="680">
        <v>250</v>
      </c>
      <c r="K276" s="681">
        <v>3054</v>
      </c>
    </row>
    <row r="277" spans="1:11" ht="14.4" customHeight="1" x14ac:dyDescent="0.3">
      <c r="A277" s="675" t="s">
        <v>484</v>
      </c>
      <c r="B277" s="676" t="s">
        <v>485</v>
      </c>
      <c r="C277" s="677" t="s">
        <v>497</v>
      </c>
      <c r="D277" s="678" t="s">
        <v>498</v>
      </c>
      <c r="E277" s="677" t="s">
        <v>2181</v>
      </c>
      <c r="F277" s="678" t="s">
        <v>2182</v>
      </c>
      <c r="G277" s="677" t="s">
        <v>2191</v>
      </c>
      <c r="H277" s="677" t="s">
        <v>2192</v>
      </c>
      <c r="I277" s="680">
        <v>11.009999752044678</v>
      </c>
      <c r="J277" s="680">
        <v>100</v>
      </c>
      <c r="K277" s="681">
        <v>1101</v>
      </c>
    </row>
    <row r="278" spans="1:11" ht="14.4" customHeight="1" x14ac:dyDescent="0.3">
      <c r="A278" s="675" t="s">
        <v>484</v>
      </c>
      <c r="B278" s="676" t="s">
        <v>485</v>
      </c>
      <c r="C278" s="677" t="s">
        <v>497</v>
      </c>
      <c r="D278" s="678" t="s">
        <v>498</v>
      </c>
      <c r="E278" s="677" t="s">
        <v>2181</v>
      </c>
      <c r="F278" s="678" t="s">
        <v>2182</v>
      </c>
      <c r="G278" s="677" t="s">
        <v>2193</v>
      </c>
      <c r="H278" s="677" t="s">
        <v>2194</v>
      </c>
      <c r="I278" s="680">
        <v>11.529999732971191</v>
      </c>
      <c r="J278" s="680">
        <v>150</v>
      </c>
      <c r="K278" s="681">
        <v>1729.5</v>
      </c>
    </row>
    <row r="279" spans="1:11" ht="14.4" customHeight="1" x14ac:dyDescent="0.3">
      <c r="A279" s="675" t="s">
        <v>484</v>
      </c>
      <c r="B279" s="676" t="s">
        <v>485</v>
      </c>
      <c r="C279" s="677" t="s">
        <v>497</v>
      </c>
      <c r="D279" s="678" t="s">
        <v>498</v>
      </c>
      <c r="E279" s="677" t="s">
        <v>2181</v>
      </c>
      <c r="F279" s="678" t="s">
        <v>2182</v>
      </c>
      <c r="G279" s="677" t="s">
        <v>2195</v>
      </c>
      <c r="H279" s="677" t="s">
        <v>2196</v>
      </c>
      <c r="I279" s="680">
        <v>12.560000419616699</v>
      </c>
      <c r="J279" s="680">
        <v>100</v>
      </c>
      <c r="K279" s="681">
        <v>1256</v>
      </c>
    </row>
    <row r="280" spans="1:11" ht="14.4" customHeight="1" x14ac:dyDescent="0.3">
      <c r="A280" s="675" t="s">
        <v>484</v>
      </c>
      <c r="B280" s="676" t="s">
        <v>485</v>
      </c>
      <c r="C280" s="677" t="s">
        <v>497</v>
      </c>
      <c r="D280" s="678" t="s">
        <v>498</v>
      </c>
      <c r="E280" s="677" t="s">
        <v>2181</v>
      </c>
      <c r="F280" s="678" t="s">
        <v>2182</v>
      </c>
      <c r="G280" s="677" t="s">
        <v>2197</v>
      </c>
      <c r="H280" s="677" t="s">
        <v>2198</v>
      </c>
      <c r="I280" s="680">
        <v>12.579999923706055</v>
      </c>
      <c r="J280" s="680">
        <v>50</v>
      </c>
      <c r="K280" s="681">
        <v>629</v>
      </c>
    </row>
    <row r="281" spans="1:11" ht="14.4" customHeight="1" x14ac:dyDescent="0.3">
      <c r="A281" s="675" t="s">
        <v>484</v>
      </c>
      <c r="B281" s="676" t="s">
        <v>485</v>
      </c>
      <c r="C281" s="677" t="s">
        <v>497</v>
      </c>
      <c r="D281" s="678" t="s">
        <v>498</v>
      </c>
      <c r="E281" s="677" t="s">
        <v>2181</v>
      </c>
      <c r="F281" s="678" t="s">
        <v>2182</v>
      </c>
      <c r="G281" s="677" t="s">
        <v>2199</v>
      </c>
      <c r="H281" s="677" t="s">
        <v>2200</v>
      </c>
      <c r="I281" s="680">
        <v>20.159999847412109</v>
      </c>
      <c r="J281" s="680">
        <v>100</v>
      </c>
      <c r="K281" s="681">
        <v>2015.8599853515625</v>
      </c>
    </row>
    <row r="282" spans="1:11" ht="14.4" customHeight="1" x14ac:dyDescent="0.3">
      <c r="A282" s="675" t="s">
        <v>484</v>
      </c>
      <c r="B282" s="676" t="s">
        <v>485</v>
      </c>
      <c r="C282" s="677" t="s">
        <v>497</v>
      </c>
      <c r="D282" s="678" t="s">
        <v>498</v>
      </c>
      <c r="E282" s="677" t="s">
        <v>2201</v>
      </c>
      <c r="F282" s="678" t="s">
        <v>2202</v>
      </c>
      <c r="G282" s="677" t="s">
        <v>2203</v>
      </c>
      <c r="H282" s="677" t="s">
        <v>2204</v>
      </c>
      <c r="I282" s="680">
        <v>319.91000366210937</v>
      </c>
      <c r="J282" s="680">
        <v>160</v>
      </c>
      <c r="K282" s="681">
        <v>51185.9912109375</v>
      </c>
    </row>
    <row r="283" spans="1:11" ht="14.4" customHeight="1" x14ac:dyDescent="0.3">
      <c r="A283" s="675" t="s">
        <v>484</v>
      </c>
      <c r="B283" s="676" t="s">
        <v>485</v>
      </c>
      <c r="C283" s="677" t="s">
        <v>497</v>
      </c>
      <c r="D283" s="678" t="s">
        <v>498</v>
      </c>
      <c r="E283" s="677" t="s">
        <v>2201</v>
      </c>
      <c r="F283" s="678" t="s">
        <v>2202</v>
      </c>
      <c r="G283" s="677" t="s">
        <v>2205</v>
      </c>
      <c r="H283" s="677" t="s">
        <v>2206</v>
      </c>
      <c r="I283" s="680">
        <v>442.3900146484375</v>
      </c>
      <c r="J283" s="680">
        <v>30</v>
      </c>
      <c r="K283" s="681">
        <v>13271.6396484375</v>
      </c>
    </row>
    <row r="284" spans="1:11" ht="14.4" customHeight="1" x14ac:dyDescent="0.3">
      <c r="A284" s="675" t="s">
        <v>484</v>
      </c>
      <c r="B284" s="676" t="s">
        <v>485</v>
      </c>
      <c r="C284" s="677" t="s">
        <v>497</v>
      </c>
      <c r="D284" s="678" t="s">
        <v>498</v>
      </c>
      <c r="E284" s="677" t="s">
        <v>2201</v>
      </c>
      <c r="F284" s="678" t="s">
        <v>2202</v>
      </c>
      <c r="G284" s="677" t="s">
        <v>2207</v>
      </c>
      <c r="H284" s="677" t="s">
        <v>2208</v>
      </c>
      <c r="I284" s="680">
        <v>568.788319905599</v>
      </c>
      <c r="J284" s="680">
        <v>50</v>
      </c>
      <c r="K284" s="681">
        <v>28439.24072265625</v>
      </c>
    </row>
    <row r="285" spans="1:11" ht="14.4" customHeight="1" x14ac:dyDescent="0.3">
      <c r="A285" s="675" t="s">
        <v>484</v>
      </c>
      <c r="B285" s="676" t="s">
        <v>485</v>
      </c>
      <c r="C285" s="677" t="s">
        <v>497</v>
      </c>
      <c r="D285" s="678" t="s">
        <v>498</v>
      </c>
      <c r="E285" s="677" t="s">
        <v>2201</v>
      </c>
      <c r="F285" s="678" t="s">
        <v>2202</v>
      </c>
      <c r="G285" s="677" t="s">
        <v>2209</v>
      </c>
      <c r="H285" s="677" t="s">
        <v>2210</v>
      </c>
      <c r="I285" s="680">
        <v>928.20001220703125</v>
      </c>
      <c r="J285" s="680">
        <v>10</v>
      </c>
      <c r="K285" s="681">
        <v>9282.0302734375</v>
      </c>
    </row>
    <row r="286" spans="1:11" ht="14.4" customHeight="1" x14ac:dyDescent="0.3">
      <c r="A286" s="675" t="s">
        <v>484</v>
      </c>
      <c r="B286" s="676" t="s">
        <v>485</v>
      </c>
      <c r="C286" s="677" t="s">
        <v>497</v>
      </c>
      <c r="D286" s="678" t="s">
        <v>498</v>
      </c>
      <c r="E286" s="677" t="s">
        <v>2211</v>
      </c>
      <c r="F286" s="678" t="s">
        <v>2212</v>
      </c>
      <c r="G286" s="677" t="s">
        <v>2213</v>
      </c>
      <c r="H286" s="677" t="s">
        <v>2214</v>
      </c>
      <c r="I286" s="680">
        <v>23.477142333984375</v>
      </c>
      <c r="J286" s="680">
        <v>210</v>
      </c>
      <c r="K286" s="681">
        <v>4930.2000732421875</v>
      </c>
    </row>
    <row r="287" spans="1:11" ht="14.4" customHeight="1" x14ac:dyDescent="0.3">
      <c r="A287" s="675" t="s">
        <v>484</v>
      </c>
      <c r="B287" s="676" t="s">
        <v>485</v>
      </c>
      <c r="C287" s="677" t="s">
        <v>497</v>
      </c>
      <c r="D287" s="678" t="s">
        <v>498</v>
      </c>
      <c r="E287" s="677" t="s">
        <v>2211</v>
      </c>
      <c r="F287" s="678" t="s">
        <v>2212</v>
      </c>
      <c r="G287" s="677" t="s">
        <v>2215</v>
      </c>
      <c r="H287" s="677" t="s">
        <v>2216</v>
      </c>
      <c r="I287" s="680">
        <v>15.210000038146973</v>
      </c>
      <c r="J287" s="680">
        <v>200</v>
      </c>
      <c r="K287" s="681">
        <v>3041.7299194335937</v>
      </c>
    </row>
    <row r="288" spans="1:11" ht="14.4" customHeight="1" x14ac:dyDescent="0.3">
      <c r="A288" s="675" t="s">
        <v>484</v>
      </c>
      <c r="B288" s="676" t="s">
        <v>485</v>
      </c>
      <c r="C288" s="677" t="s">
        <v>497</v>
      </c>
      <c r="D288" s="678" t="s">
        <v>498</v>
      </c>
      <c r="E288" s="677" t="s">
        <v>2211</v>
      </c>
      <c r="F288" s="678" t="s">
        <v>2212</v>
      </c>
      <c r="G288" s="677" t="s">
        <v>2217</v>
      </c>
      <c r="H288" s="677" t="s">
        <v>2218</v>
      </c>
      <c r="I288" s="680">
        <v>3.940000057220459</v>
      </c>
      <c r="J288" s="680">
        <v>100</v>
      </c>
      <c r="K288" s="681">
        <v>393.79998779296875</v>
      </c>
    </row>
    <row r="289" spans="1:11" ht="14.4" customHeight="1" x14ac:dyDescent="0.3">
      <c r="A289" s="675" t="s">
        <v>484</v>
      </c>
      <c r="B289" s="676" t="s">
        <v>485</v>
      </c>
      <c r="C289" s="677" t="s">
        <v>497</v>
      </c>
      <c r="D289" s="678" t="s">
        <v>498</v>
      </c>
      <c r="E289" s="677" t="s">
        <v>2211</v>
      </c>
      <c r="F289" s="678" t="s">
        <v>2212</v>
      </c>
      <c r="G289" s="677" t="s">
        <v>2219</v>
      </c>
      <c r="H289" s="677" t="s">
        <v>2220</v>
      </c>
      <c r="I289" s="680">
        <v>19.965713500976563</v>
      </c>
      <c r="J289" s="680">
        <v>500</v>
      </c>
      <c r="K289" s="681">
        <v>9982.6000213623047</v>
      </c>
    </row>
    <row r="290" spans="1:11" ht="14.4" customHeight="1" x14ac:dyDescent="0.3">
      <c r="A290" s="675" t="s">
        <v>484</v>
      </c>
      <c r="B290" s="676" t="s">
        <v>485</v>
      </c>
      <c r="C290" s="677" t="s">
        <v>497</v>
      </c>
      <c r="D290" s="678" t="s">
        <v>498</v>
      </c>
      <c r="E290" s="677" t="s">
        <v>2211</v>
      </c>
      <c r="F290" s="678" t="s">
        <v>2212</v>
      </c>
      <c r="G290" s="677" t="s">
        <v>2221</v>
      </c>
      <c r="H290" s="677" t="s">
        <v>2222</v>
      </c>
      <c r="I290" s="680">
        <v>3044.360107421875</v>
      </c>
      <c r="J290" s="680">
        <v>1</v>
      </c>
      <c r="K290" s="681">
        <v>3044.360107421875</v>
      </c>
    </row>
    <row r="291" spans="1:11" ht="14.4" customHeight="1" x14ac:dyDescent="0.3">
      <c r="A291" s="675" t="s">
        <v>484</v>
      </c>
      <c r="B291" s="676" t="s">
        <v>485</v>
      </c>
      <c r="C291" s="677" t="s">
        <v>497</v>
      </c>
      <c r="D291" s="678" t="s">
        <v>498</v>
      </c>
      <c r="E291" s="677" t="s">
        <v>2211</v>
      </c>
      <c r="F291" s="678" t="s">
        <v>2212</v>
      </c>
      <c r="G291" s="677" t="s">
        <v>2223</v>
      </c>
      <c r="H291" s="677" t="s">
        <v>2224</v>
      </c>
      <c r="I291" s="680">
        <v>154.8800048828125</v>
      </c>
      <c r="J291" s="680">
        <v>80</v>
      </c>
      <c r="K291" s="681">
        <v>12390.39990234375</v>
      </c>
    </row>
    <row r="292" spans="1:11" ht="14.4" customHeight="1" x14ac:dyDescent="0.3">
      <c r="A292" s="675" t="s">
        <v>484</v>
      </c>
      <c r="B292" s="676" t="s">
        <v>485</v>
      </c>
      <c r="C292" s="677" t="s">
        <v>497</v>
      </c>
      <c r="D292" s="678" t="s">
        <v>498</v>
      </c>
      <c r="E292" s="677" t="s">
        <v>2211</v>
      </c>
      <c r="F292" s="678" t="s">
        <v>2212</v>
      </c>
      <c r="G292" s="677" t="s">
        <v>2225</v>
      </c>
      <c r="H292" s="677" t="s">
        <v>2226</v>
      </c>
      <c r="I292" s="680">
        <v>21.729999542236328</v>
      </c>
      <c r="J292" s="680">
        <v>30</v>
      </c>
      <c r="K292" s="681">
        <v>651.80999755859375</v>
      </c>
    </row>
    <row r="293" spans="1:11" ht="14.4" customHeight="1" x14ac:dyDescent="0.3">
      <c r="A293" s="675" t="s">
        <v>484</v>
      </c>
      <c r="B293" s="676" t="s">
        <v>485</v>
      </c>
      <c r="C293" s="677" t="s">
        <v>497</v>
      </c>
      <c r="D293" s="678" t="s">
        <v>498</v>
      </c>
      <c r="E293" s="677" t="s">
        <v>2211</v>
      </c>
      <c r="F293" s="678" t="s">
        <v>2212</v>
      </c>
      <c r="G293" s="677" t="s">
        <v>2227</v>
      </c>
      <c r="H293" s="677" t="s">
        <v>2228</v>
      </c>
      <c r="I293" s="680">
        <v>50.599998474121094</v>
      </c>
      <c r="J293" s="680">
        <v>450</v>
      </c>
      <c r="K293" s="681">
        <v>22770.990600585938</v>
      </c>
    </row>
    <row r="294" spans="1:11" ht="14.4" customHeight="1" x14ac:dyDescent="0.3">
      <c r="A294" s="675" t="s">
        <v>484</v>
      </c>
      <c r="B294" s="676" t="s">
        <v>485</v>
      </c>
      <c r="C294" s="677" t="s">
        <v>497</v>
      </c>
      <c r="D294" s="678" t="s">
        <v>498</v>
      </c>
      <c r="E294" s="677" t="s">
        <v>2211</v>
      </c>
      <c r="F294" s="678" t="s">
        <v>2212</v>
      </c>
      <c r="G294" s="677" t="s">
        <v>2229</v>
      </c>
      <c r="H294" s="677" t="s">
        <v>2230</v>
      </c>
      <c r="I294" s="680">
        <v>1045.43994140625</v>
      </c>
      <c r="J294" s="680">
        <v>5</v>
      </c>
      <c r="K294" s="681">
        <v>5227.2001953125</v>
      </c>
    </row>
    <row r="295" spans="1:11" ht="14.4" customHeight="1" x14ac:dyDescent="0.3">
      <c r="A295" s="675" t="s">
        <v>484</v>
      </c>
      <c r="B295" s="676" t="s">
        <v>485</v>
      </c>
      <c r="C295" s="677" t="s">
        <v>497</v>
      </c>
      <c r="D295" s="678" t="s">
        <v>498</v>
      </c>
      <c r="E295" s="677" t="s">
        <v>2211</v>
      </c>
      <c r="F295" s="678" t="s">
        <v>2212</v>
      </c>
      <c r="G295" s="677" t="s">
        <v>2231</v>
      </c>
      <c r="H295" s="677" t="s">
        <v>2232</v>
      </c>
      <c r="I295" s="680">
        <v>440.44000244140625</v>
      </c>
      <c r="J295" s="680">
        <v>70</v>
      </c>
      <c r="K295" s="681">
        <v>30830.79931640625</v>
      </c>
    </row>
    <row r="296" spans="1:11" ht="14.4" customHeight="1" x14ac:dyDescent="0.3">
      <c r="A296" s="675" t="s">
        <v>484</v>
      </c>
      <c r="B296" s="676" t="s">
        <v>485</v>
      </c>
      <c r="C296" s="677" t="s">
        <v>497</v>
      </c>
      <c r="D296" s="678" t="s">
        <v>498</v>
      </c>
      <c r="E296" s="677" t="s">
        <v>2211</v>
      </c>
      <c r="F296" s="678" t="s">
        <v>2212</v>
      </c>
      <c r="G296" s="677" t="s">
        <v>2233</v>
      </c>
      <c r="H296" s="677" t="s">
        <v>2234</v>
      </c>
      <c r="I296" s="680">
        <v>252.16399536132812</v>
      </c>
      <c r="J296" s="680">
        <v>120</v>
      </c>
      <c r="K296" s="681">
        <v>29620.80029296875</v>
      </c>
    </row>
    <row r="297" spans="1:11" ht="14.4" customHeight="1" thickBot="1" x14ac:dyDescent="0.35">
      <c r="A297" s="682" t="s">
        <v>484</v>
      </c>
      <c r="B297" s="683" t="s">
        <v>485</v>
      </c>
      <c r="C297" s="684" t="s">
        <v>497</v>
      </c>
      <c r="D297" s="685" t="s">
        <v>498</v>
      </c>
      <c r="E297" s="684" t="s">
        <v>2235</v>
      </c>
      <c r="F297" s="685" t="s">
        <v>2236</v>
      </c>
      <c r="G297" s="684" t="s">
        <v>2237</v>
      </c>
      <c r="H297" s="684" t="s">
        <v>2238</v>
      </c>
      <c r="I297" s="687">
        <v>186.19999694824219</v>
      </c>
      <c r="J297" s="687">
        <v>2</v>
      </c>
      <c r="K297" s="688">
        <v>372.39999389648437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1" ht="18.600000000000001" thickBot="1" x14ac:dyDescent="0.4">
      <c r="A1" s="553" t="s">
        <v>117</v>
      </c>
      <c r="B1" s="553"/>
      <c r="C1" s="487"/>
      <c r="D1" s="487"/>
      <c r="E1" s="487"/>
      <c r="F1" s="487"/>
      <c r="G1" s="487"/>
      <c r="H1" s="487"/>
      <c r="I1" s="487"/>
      <c r="J1" s="487"/>
      <c r="K1" s="450"/>
    </row>
    <row r="2" spans="1:11" ht="15" thickBot="1" x14ac:dyDescent="0.35">
      <c r="A2" s="351" t="s">
        <v>288</v>
      </c>
      <c r="B2" s="352"/>
      <c r="C2" s="352"/>
      <c r="D2" s="352"/>
      <c r="E2" s="352"/>
      <c r="F2" s="352"/>
      <c r="G2" s="352"/>
      <c r="H2" s="352"/>
      <c r="I2" s="352"/>
      <c r="K2" s="450"/>
    </row>
    <row r="3" spans="1:11" x14ac:dyDescent="0.3">
      <c r="A3" s="368" t="s">
        <v>215</v>
      </c>
      <c r="B3" s="551" t="s">
        <v>199</v>
      </c>
      <c r="C3" s="353">
        <v>30</v>
      </c>
      <c r="D3" s="371">
        <v>100</v>
      </c>
      <c r="E3" s="371">
        <v>101</v>
      </c>
      <c r="F3" s="371">
        <v>303</v>
      </c>
      <c r="G3" s="371">
        <v>304</v>
      </c>
      <c r="H3" s="371">
        <v>305</v>
      </c>
      <c r="I3" s="353">
        <v>636</v>
      </c>
      <c r="J3" s="353">
        <v>642</v>
      </c>
      <c r="K3" s="450"/>
    </row>
    <row r="4" spans="1:11" ht="24.6" outlineLevel="1" thickBot="1" x14ac:dyDescent="0.35">
      <c r="A4" s="369">
        <v>2017</v>
      </c>
      <c r="B4" s="552"/>
      <c r="C4" s="354" t="s">
        <v>217</v>
      </c>
      <c r="D4" s="372" t="s">
        <v>238</v>
      </c>
      <c r="E4" s="372" t="s">
        <v>239</v>
      </c>
      <c r="F4" s="372" t="s">
        <v>240</v>
      </c>
      <c r="G4" s="372" t="s">
        <v>241</v>
      </c>
      <c r="H4" s="372" t="s">
        <v>242</v>
      </c>
      <c r="I4" s="354" t="s">
        <v>222</v>
      </c>
      <c r="J4" s="354" t="s">
        <v>223</v>
      </c>
      <c r="K4" s="450"/>
    </row>
    <row r="5" spans="1:11" x14ac:dyDescent="0.3">
      <c r="A5" s="355" t="s">
        <v>200</v>
      </c>
      <c r="B5" s="383"/>
      <c r="C5" s="384"/>
      <c r="D5" s="384"/>
      <c r="E5" s="384"/>
      <c r="F5" s="384"/>
      <c r="G5" s="384"/>
      <c r="H5" s="384"/>
      <c r="I5" s="384"/>
      <c r="J5" s="384"/>
      <c r="K5" s="450"/>
    </row>
    <row r="6" spans="1:11" ht="15" collapsed="1" thickBot="1" x14ac:dyDescent="0.35">
      <c r="A6" s="356" t="s">
        <v>81</v>
      </c>
      <c r="B6" s="385">
        <f xml:space="preserve">
TRUNC(IF($A$4&lt;=12,SUMIFS('ON Data'!F:F,'ON Data'!$D:$D,$A$4,'ON Data'!$E:$E,1),SUMIFS('ON Data'!F:F,'ON Data'!$E:$E,1)/'ON Data'!$D$3),1)</f>
        <v>59.8</v>
      </c>
      <c r="C6" s="386">
        <f xml:space="preserve">
TRUNC(IF($A$4&lt;=12,SUMIFS('ON Data'!I:I,'ON Data'!$D:$D,$A$4,'ON Data'!$E:$E,1),SUMIFS('ON Data'!I:I,'ON Data'!$E:$E,1)/'ON Data'!$D$3),1)</f>
        <v>1</v>
      </c>
      <c r="D6" s="386">
        <f xml:space="preserve">
TRUNC(IF($A$4&lt;=12,SUMIFS('ON Data'!K:K,'ON Data'!$D:$D,$A$4,'ON Data'!$E:$E,1),SUMIFS('ON Data'!K:K,'ON Data'!$E:$E,1)/'ON Data'!$D$3),1)</f>
        <v>1</v>
      </c>
      <c r="E6" s="386">
        <f xml:space="preserve">
TRUNC(IF($A$4&lt;=12,SUMIFS('ON Data'!L:L,'ON Data'!$D:$D,$A$4,'ON Data'!$E:$E,1),SUMIFS('ON Data'!L:L,'ON Data'!$E:$E,1)/'ON Data'!$D$3),1)</f>
        <v>7.3</v>
      </c>
      <c r="F6" s="386">
        <f xml:space="preserve">
TRUNC(IF($A$4&lt;=12,SUMIFS('ON Data'!Q:Q,'ON Data'!$D:$D,$A$4,'ON Data'!$E:$E,1),SUMIFS('ON Data'!Q:Q,'ON Data'!$E:$E,1)/'ON Data'!$D$3),1)</f>
        <v>17.7</v>
      </c>
      <c r="G6" s="386">
        <f xml:space="preserve">
TRUNC(IF($A$4&lt;=12,SUMIFS('ON Data'!R:R,'ON Data'!$D:$D,$A$4,'ON Data'!$E:$E,1),SUMIFS('ON Data'!R:R,'ON Data'!$E:$E,1)/'ON Data'!$D$3),1)</f>
        <v>18.3</v>
      </c>
      <c r="H6" s="386">
        <f xml:space="preserve">
TRUNC(IF($A$4&lt;=12,SUMIFS('ON Data'!S:S,'ON Data'!$D:$D,$A$4,'ON Data'!$E:$E,1),SUMIFS('ON Data'!S:S,'ON Data'!$E:$E,1)/'ON Data'!$D$3),1)</f>
        <v>8.4</v>
      </c>
      <c r="I6" s="386">
        <f xml:space="preserve">
TRUNC(IF($A$4&lt;=12,SUMIFS('ON Data'!AQ:AQ,'ON Data'!$D:$D,$A$4,'ON Data'!$E:$E,1),SUMIFS('ON Data'!AQ:AQ,'ON Data'!$E:$E,1)/'ON Data'!$D$3),1)</f>
        <v>3</v>
      </c>
      <c r="J6" s="386">
        <f xml:space="preserve">
TRUNC(IF($A$4&lt;=12,SUMIFS('ON Data'!AT:AT,'ON Data'!$D:$D,$A$4,'ON Data'!$E:$E,1),SUMIFS('ON Data'!AT:AT,'ON Data'!$E:$E,1)/'ON Data'!$D$3),1)</f>
        <v>3</v>
      </c>
      <c r="K6" s="450"/>
    </row>
    <row r="7" spans="1:11" ht="15" hidden="1" outlineLevel="1" thickBot="1" x14ac:dyDescent="0.35">
      <c r="A7" s="356" t="s">
        <v>118</v>
      </c>
      <c r="B7" s="385"/>
      <c r="C7" s="386"/>
      <c r="D7" s="386"/>
      <c r="E7" s="386"/>
      <c r="F7" s="386"/>
      <c r="G7" s="386"/>
      <c r="H7" s="386"/>
      <c r="I7" s="386"/>
      <c r="J7" s="386"/>
      <c r="K7" s="450"/>
    </row>
    <row r="8" spans="1:11" ht="15" hidden="1" outlineLevel="1" thickBot="1" x14ac:dyDescent="0.35">
      <c r="A8" s="356" t="s">
        <v>83</v>
      </c>
      <c r="B8" s="385"/>
      <c r="C8" s="386"/>
      <c r="D8" s="386"/>
      <c r="E8" s="386"/>
      <c r="F8" s="386"/>
      <c r="G8" s="386"/>
      <c r="H8" s="386"/>
      <c r="I8" s="386"/>
      <c r="J8" s="386"/>
      <c r="K8" s="450"/>
    </row>
    <row r="9" spans="1:11" ht="15" hidden="1" outlineLevel="1" thickBot="1" x14ac:dyDescent="0.35">
      <c r="A9" s="357" t="s">
        <v>56</v>
      </c>
      <c r="B9" s="387"/>
      <c r="C9" s="388"/>
      <c r="D9" s="388"/>
      <c r="E9" s="388"/>
      <c r="F9" s="388"/>
      <c r="G9" s="388"/>
      <c r="H9" s="388"/>
      <c r="I9" s="388"/>
      <c r="J9" s="388"/>
      <c r="K9" s="450"/>
    </row>
    <row r="10" spans="1:11" x14ac:dyDescent="0.3">
      <c r="A10" s="358" t="s">
        <v>201</v>
      </c>
      <c r="B10" s="373"/>
      <c r="C10" s="374"/>
      <c r="D10" s="374"/>
      <c r="E10" s="374"/>
      <c r="F10" s="374"/>
      <c r="G10" s="374"/>
      <c r="H10" s="374"/>
      <c r="I10" s="374"/>
      <c r="J10" s="374"/>
      <c r="K10" s="450"/>
    </row>
    <row r="11" spans="1:11" x14ac:dyDescent="0.3">
      <c r="A11" s="359" t="s">
        <v>202</v>
      </c>
      <c r="B11" s="375">
        <f xml:space="preserve">
IF($A$4&lt;=12,SUMIFS('ON Data'!F:F,'ON Data'!$D:$D,$A$4,'ON Data'!$E:$E,2),SUMIFS('ON Data'!F:F,'ON Data'!$E:$E,2))</f>
        <v>52340.950000000004</v>
      </c>
      <c r="C11" s="376">
        <f xml:space="preserve">
IF($A$4&lt;=12,SUMIFS('ON Data'!I:I,'ON Data'!$D:$D,$A$4,'ON Data'!$E:$E,2),SUMIFS('ON Data'!I:I,'ON Data'!$E:$E,2))</f>
        <v>960</v>
      </c>
      <c r="D11" s="376">
        <f xml:space="preserve">
IF($A$4&lt;=12,SUMIFS('ON Data'!K:K,'ON Data'!$D:$D,$A$4,'ON Data'!$E:$E,2),SUMIFS('ON Data'!K:K,'ON Data'!$E:$E,2))</f>
        <v>887</v>
      </c>
      <c r="E11" s="376">
        <f xml:space="preserve">
IF($A$4&lt;=12,SUMIFS('ON Data'!L:L,'ON Data'!$D:$D,$A$4,'ON Data'!$E:$E,2),SUMIFS('ON Data'!L:L,'ON Data'!$E:$E,2))</f>
        <v>6513.79</v>
      </c>
      <c r="F11" s="376">
        <f xml:space="preserve">
IF($A$4&lt;=12,SUMIFS('ON Data'!Q:Q,'ON Data'!$D:$D,$A$4,'ON Data'!$E:$E,2),SUMIFS('ON Data'!Q:Q,'ON Data'!$E:$E,2))</f>
        <v>15568.5</v>
      </c>
      <c r="G11" s="376">
        <f xml:space="preserve">
IF($A$4&lt;=12,SUMIFS('ON Data'!R:R,'ON Data'!$D:$D,$A$4,'ON Data'!$E:$E,2),SUMIFS('ON Data'!R:R,'ON Data'!$E:$E,2))</f>
        <v>15325.779999999999</v>
      </c>
      <c r="H11" s="376">
        <f xml:space="preserve">
IF($A$4&lt;=12,SUMIFS('ON Data'!S:S,'ON Data'!$D:$D,$A$4,'ON Data'!$E:$E,2),SUMIFS('ON Data'!S:S,'ON Data'!$E:$E,2))</f>
        <v>7697.880000000001</v>
      </c>
      <c r="I11" s="376">
        <f xml:space="preserve">
IF($A$4&lt;=12,SUMIFS('ON Data'!AQ:AQ,'ON Data'!$D:$D,$A$4,'ON Data'!$E:$E,2),SUMIFS('ON Data'!AQ:AQ,'ON Data'!$E:$E,2))</f>
        <v>2652</v>
      </c>
      <c r="J11" s="376">
        <f xml:space="preserve">
IF($A$4&lt;=12,SUMIFS('ON Data'!AT:AT,'ON Data'!$D:$D,$A$4,'ON Data'!$E:$E,2),SUMIFS('ON Data'!AT:AT,'ON Data'!$E:$E,2))</f>
        <v>2736</v>
      </c>
      <c r="K11" s="450"/>
    </row>
    <row r="12" spans="1:11" x14ac:dyDescent="0.3">
      <c r="A12" s="359" t="s">
        <v>203</v>
      </c>
      <c r="B12" s="375">
        <f xml:space="preserve">
IF($A$4&lt;=12,SUMIFS('ON Data'!F:F,'ON Data'!$D:$D,$A$4,'ON Data'!$E:$E,3),SUMIFS('ON Data'!F:F,'ON Data'!$E:$E,3))</f>
        <v>1351.1999999999998</v>
      </c>
      <c r="C12" s="376">
        <f xml:space="preserve">
IF($A$4&lt;=12,SUMIFS('ON Data'!I:I,'ON Data'!$D:$D,$A$4,'ON Data'!$E:$E,3),SUMIFS('ON Data'!I:I,'ON Data'!$E:$E,3))</f>
        <v>0</v>
      </c>
      <c r="D12" s="376">
        <f xml:space="preserve">
IF($A$4&lt;=12,SUMIFS('ON Data'!K:K,'ON Data'!$D:$D,$A$4,'ON Data'!$E:$E,3),SUMIFS('ON Data'!K:K,'ON Data'!$E:$E,3))</f>
        <v>0</v>
      </c>
      <c r="E12" s="376">
        <f xml:space="preserve">
IF($A$4&lt;=12,SUMIFS('ON Data'!L:L,'ON Data'!$D:$D,$A$4,'ON Data'!$E:$E,3),SUMIFS('ON Data'!L:L,'ON Data'!$E:$E,3))</f>
        <v>141.21</v>
      </c>
      <c r="F12" s="376">
        <f xml:space="preserve">
IF($A$4&lt;=12,SUMIFS('ON Data'!Q:Q,'ON Data'!$D:$D,$A$4,'ON Data'!$E:$E,3),SUMIFS('ON Data'!Q:Q,'ON Data'!$E:$E,3))</f>
        <v>263.25</v>
      </c>
      <c r="G12" s="376">
        <f xml:space="preserve">
IF($A$4&lt;=12,SUMIFS('ON Data'!R:R,'ON Data'!$D:$D,$A$4,'ON Data'!$E:$E,3),SUMIFS('ON Data'!R:R,'ON Data'!$E:$E,3))</f>
        <v>747.61</v>
      </c>
      <c r="H12" s="376">
        <f xml:space="preserve">
IF($A$4&lt;=12,SUMIFS('ON Data'!S:S,'ON Data'!$D:$D,$A$4,'ON Data'!$E:$E,3),SUMIFS('ON Data'!S:S,'ON Data'!$E:$E,3))</f>
        <v>199.13000000000002</v>
      </c>
      <c r="I12" s="376">
        <f xml:space="preserve">
IF($A$4&lt;=12,SUMIFS('ON Data'!AQ:AQ,'ON Data'!$D:$D,$A$4,'ON Data'!$E:$E,3),SUMIFS('ON Data'!AQ:AQ,'ON Data'!$E:$E,3))</f>
        <v>0</v>
      </c>
      <c r="J12" s="376">
        <f xml:space="preserve">
IF($A$4&lt;=12,SUMIFS('ON Data'!AT:AT,'ON Data'!$D:$D,$A$4,'ON Data'!$E:$E,3),SUMIFS('ON Data'!AT:AT,'ON Data'!$E:$E,3))</f>
        <v>0</v>
      </c>
      <c r="K12" s="450"/>
    </row>
    <row r="13" spans="1:11" x14ac:dyDescent="0.3">
      <c r="A13" s="359" t="s">
        <v>210</v>
      </c>
      <c r="B13" s="375">
        <f xml:space="preserve">
IF($A$4&lt;=12,SUMIFS('ON Data'!F:F,'ON Data'!$D:$D,$A$4,'ON Data'!$E:$E,4),SUMIFS('ON Data'!F:F,'ON Data'!$E:$E,4))</f>
        <v>4181</v>
      </c>
      <c r="C13" s="376">
        <f xml:space="preserve">
IF($A$4&lt;=12,SUMIFS('ON Data'!I:I,'ON Data'!$D:$D,$A$4,'ON Data'!$E:$E,4),SUMIFS('ON Data'!I:I,'ON Data'!$E:$E,4))</f>
        <v>0</v>
      </c>
      <c r="D13" s="376">
        <f xml:space="preserve">
IF($A$4&lt;=12,SUMIFS('ON Data'!K:K,'ON Data'!$D:$D,$A$4,'ON Data'!$E:$E,4),SUMIFS('ON Data'!K:K,'ON Data'!$E:$E,4))</f>
        <v>120</v>
      </c>
      <c r="E13" s="376">
        <f xml:space="preserve">
IF($A$4&lt;=12,SUMIFS('ON Data'!L:L,'ON Data'!$D:$D,$A$4,'ON Data'!$E:$E,4),SUMIFS('ON Data'!L:L,'ON Data'!$E:$E,4))</f>
        <v>862</v>
      </c>
      <c r="F13" s="376">
        <f xml:space="preserve">
IF($A$4&lt;=12,SUMIFS('ON Data'!Q:Q,'ON Data'!$D:$D,$A$4,'ON Data'!$E:$E,4),SUMIFS('ON Data'!Q:Q,'ON Data'!$E:$E,4))</f>
        <v>1082.5</v>
      </c>
      <c r="G13" s="376">
        <f xml:space="preserve">
IF($A$4&lt;=12,SUMIFS('ON Data'!R:R,'ON Data'!$D:$D,$A$4,'ON Data'!$E:$E,4),SUMIFS('ON Data'!R:R,'ON Data'!$E:$E,4))</f>
        <v>991.5</v>
      </c>
      <c r="H13" s="376">
        <f xml:space="preserve">
IF($A$4&lt;=12,SUMIFS('ON Data'!S:S,'ON Data'!$D:$D,$A$4,'ON Data'!$E:$E,4),SUMIFS('ON Data'!S:S,'ON Data'!$E:$E,4))</f>
        <v>490</v>
      </c>
      <c r="I13" s="376">
        <f xml:space="preserve">
IF($A$4&lt;=12,SUMIFS('ON Data'!AQ:AQ,'ON Data'!$D:$D,$A$4,'ON Data'!$E:$E,4),SUMIFS('ON Data'!AQ:AQ,'ON Data'!$E:$E,4))</f>
        <v>342</v>
      </c>
      <c r="J13" s="376">
        <f xml:space="preserve">
IF($A$4&lt;=12,SUMIFS('ON Data'!AT:AT,'ON Data'!$D:$D,$A$4,'ON Data'!$E:$E,4),SUMIFS('ON Data'!AT:AT,'ON Data'!$E:$E,4))</f>
        <v>293</v>
      </c>
      <c r="K13" s="450"/>
    </row>
    <row r="14" spans="1:11" ht="15" thickBot="1" x14ac:dyDescent="0.35">
      <c r="A14" s="360" t="s">
        <v>204</v>
      </c>
      <c r="B14" s="377">
        <f xml:space="preserve">
IF($A$4&lt;=12,SUMIFS('ON Data'!F:F,'ON Data'!$D:$D,$A$4,'ON Data'!$E:$E,5),SUMIFS('ON Data'!F:F,'ON Data'!$E:$E,5))</f>
        <v>157.5</v>
      </c>
      <c r="C14" s="378">
        <f xml:space="preserve">
IF($A$4&lt;=12,SUMIFS('ON Data'!I:I,'ON Data'!$D:$D,$A$4,'ON Data'!$E:$E,5),SUMIFS('ON Data'!I:I,'ON Data'!$E:$E,5))</f>
        <v>0</v>
      </c>
      <c r="D14" s="378">
        <f xml:space="preserve">
IF($A$4&lt;=12,SUMIFS('ON Data'!K:K,'ON Data'!$D:$D,$A$4,'ON Data'!$E:$E,5),SUMIFS('ON Data'!K:K,'ON Data'!$E:$E,5))</f>
        <v>0</v>
      </c>
      <c r="E14" s="378">
        <f xml:space="preserve">
IF($A$4&lt;=12,SUMIFS('ON Data'!L:L,'ON Data'!$D:$D,$A$4,'ON Data'!$E:$E,5),SUMIFS('ON Data'!L:L,'ON Data'!$E:$E,5))</f>
        <v>0</v>
      </c>
      <c r="F14" s="378">
        <f xml:space="preserve">
IF($A$4&lt;=12,SUMIFS('ON Data'!Q:Q,'ON Data'!$D:$D,$A$4,'ON Data'!$E:$E,5),SUMIFS('ON Data'!Q:Q,'ON Data'!$E:$E,5))</f>
        <v>0</v>
      </c>
      <c r="G14" s="378">
        <f xml:space="preserve">
IF($A$4&lt;=12,SUMIFS('ON Data'!R:R,'ON Data'!$D:$D,$A$4,'ON Data'!$E:$E,5),SUMIFS('ON Data'!R:R,'ON Data'!$E:$E,5))</f>
        <v>157.5</v>
      </c>
      <c r="H14" s="378">
        <f xml:space="preserve">
IF($A$4&lt;=12,SUMIFS('ON Data'!S:S,'ON Data'!$D:$D,$A$4,'ON Data'!$E:$E,5),SUMIFS('ON Data'!S:S,'ON Data'!$E:$E,5))</f>
        <v>0</v>
      </c>
      <c r="I14" s="378">
        <f xml:space="preserve">
IF($A$4&lt;=12,SUMIFS('ON Data'!AQ:AQ,'ON Data'!$D:$D,$A$4,'ON Data'!$E:$E,5),SUMIFS('ON Data'!AQ:AQ,'ON Data'!$E:$E,5))</f>
        <v>0</v>
      </c>
      <c r="J14" s="378">
        <f xml:space="preserve">
IF($A$4&lt;=12,SUMIFS('ON Data'!AT:AT,'ON Data'!$D:$D,$A$4,'ON Data'!$E:$E,5),SUMIFS('ON Data'!AT:AT,'ON Data'!$E:$E,5))</f>
        <v>0</v>
      </c>
      <c r="K14" s="450"/>
    </row>
    <row r="15" spans="1:11" x14ac:dyDescent="0.3">
      <c r="A15" s="264" t="s">
        <v>214</v>
      </c>
      <c r="B15" s="379"/>
      <c r="C15" s="380"/>
      <c r="D15" s="380"/>
      <c r="E15" s="380"/>
      <c r="F15" s="380"/>
      <c r="G15" s="380"/>
      <c r="H15" s="380"/>
      <c r="I15" s="380"/>
      <c r="J15" s="380"/>
      <c r="K15" s="450"/>
    </row>
    <row r="16" spans="1:11" x14ac:dyDescent="0.3">
      <c r="A16" s="361" t="s">
        <v>205</v>
      </c>
      <c r="B16" s="375">
        <f xml:space="preserve">
IF($A$4&lt;=12,SUMIFS('ON Data'!F:F,'ON Data'!$D:$D,$A$4,'ON Data'!$E:$E,7),SUMIFS('ON Data'!F:F,'ON Data'!$E:$E,7))</f>
        <v>0</v>
      </c>
      <c r="C16" s="376">
        <f xml:space="preserve">
IF($A$4&lt;=12,SUMIFS('ON Data'!I:I,'ON Data'!$D:$D,$A$4,'ON Data'!$E:$E,7),SUMIFS('ON Data'!I:I,'ON Data'!$E:$E,7))</f>
        <v>0</v>
      </c>
      <c r="D16" s="376">
        <f xml:space="preserve">
IF($A$4&lt;=12,SUMIFS('ON Data'!K:K,'ON Data'!$D:$D,$A$4,'ON Data'!$E:$E,7),SUMIFS('ON Data'!K:K,'ON Data'!$E:$E,7))</f>
        <v>0</v>
      </c>
      <c r="E16" s="376">
        <f xml:space="preserve">
IF($A$4&lt;=12,SUMIFS('ON Data'!L:L,'ON Data'!$D:$D,$A$4,'ON Data'!$E:$E,7),SUMIFS('ON Data'!L:L,'ON Data'!$E:$E,7))</f>
        <v>0</v>
      </c>
      <c r="F16" s="376">
        <f xml:space="preserve">
IF($A$4&lt;=12,SUMIFS('ON Data'!Q:Q,'ON Data'!$D:$D,$A$4,'ON Data'!$E:$E,7),SUMIFS('ON Data'!Q:Q,'ON Data'!$E:$E,7))</f>
        <v>0</v>
      </c>
      <c r="G16" s="376">
        <f xml:space="preserve">
IF($A$4&lt;=12,SUMIFS('ON Data'!R:R,'ON Data'!$D:$D,$A$4,'ON Data'!$E:$E,7),SUMIFS('ON Data'!R:R,'ON Data'!$E:$E,7))</f>
        <v>0</v>
      </c>
      <c r="H16" s="376">
        <f xml:space="preserve">
IF($A$4&lt;=12,SUMIFS('ON Data'!S:S,'ON Data'!$D:$D,$A$4,'ON Data'!$E:$E,7),SUMIFS('ON Data'!S:S,'ON Data'!$E:$E,7))</f>
        <v>0</v>
      </c>
      <c r="I16" s="376">
        <f xml:space="preserve">
IF($A$4&lt;=12,SUMIFS('ON Data'!AQ:AQ,'ON Data'!$D:$D,$A$4,'ON Data'!$E:$E,7),SUMIFS('ON Data'!AQ:AQ,'ON Data'!$E:$E,7))</f>
        <v>0</v>
      </c>
      <c r="J16" s="376">
        <f xml:space="preserve">
IF($A$4&lt;=12,SUMIFS('ON Data'!AT:AT,'ON Data'!$D:$D,$A$4,'ON Data'!$E:$E,7),SUMIFS('ON Data'!AT:AT,'ON Data'!$E:$E,7))</f>
        <v>0</v>
      </c>
      <c r="K16" s="450"/>
    </row>
    <row r="17" spans="1:46" x14ac:dyDescent="0.3">
      <c r="A17" s="361" t="s">
        <v>206</v>
      </c>
      <c r="B17" s="375">
        <f xml:space="preserve">
IF($A$4&lt;=12,SUMIFS('ON Data'!F:F,'ON Data'!$D:$D,$A$4,'ON Data'!$E:$E,8),SUMIFS('ON Data'!F:F,'ON Data'!$E:$E,8))</f>
        <v>0</v>
      </c>
      <c r="C17" s="376">
        <f xml:space="preserve">
IF($A$4&lt;=12,SUMIFS('ON Data'!I:I,'ON Data'!$D:$D,$A$4,'ON Data'!$E:$E,8),SUMIFS('ON Data'!I:I,'ON Data'!$E:$E,8))</f>
        <v>0</v>
      </c>
      <c r="D17" s="376">
        <f xml:space="preserve">
IF($A$4&lt;=12,SUMIFS('ON Data'!K:K,'ON Data'!$D:$D,$A$4,'ON Data'!$E:$E,8),SUMIFS('ON Data'!K:K,'ON Data'!$E:$E,8))</f>
        <v>0</v>
      </c>
      <c r="E17" s="376">
        <f xml:space="preserve">
IF($A$4&lt;=12,SUMIFS('ON Data'!L:L,'ON Data'!$D:$D,$A$4,'ON Data'!$E:$E,8),SUMIFS('ON Data'!L:L,'ON Data'!$E:$E,8))</f>
        <v>0</v>
      </c>
      <c r="F17" s="376">
        <f xml:space="preserve">
IF($A$4&lt;=12,SUMIFS('ON Data'!Q:Q,'ON Data'!$D:$D,$A$4,'ON Data'!$E:$E,8),SUMIFS('ON Data'!Q:Q,'ON Data'!$E:$E,8))</f>
        <v>0</v>
      </c>
      <c r="G17" s="376">
        <f xml:space="preserve">
IF($A$4&lt;=12,SUMIFS('ON Data'!R:R,'ON Data'!$D:$D,$A$4,'ON Data'!$E:$E,8),SUMIFS('ON Data'!R:R,'ON Data'!$E:$E,8))</f>
        <v>0</v>
      </c>
      <c r="H17" s="376">
        <f xml:space="preserve">
IF($A$4&lt;=12,SUMIFS('ON Data'!S:S,'ON Data'!$D:$D,$A$4,'ON Data'!$E:$E,8),SUMIFS('ON Data'!S:S,'ON Data'!$E:$E,8))</f>
        <v>0</v>
      </c>
      <c r="I17" s="376">
        <f xml:space="preserve">
IF($A$4&lt;=12,SUMIFS('ON Data'!AQ:AQ,'ON Data'!$D:$D,$A$4,'ON Data'!$E:$E,8),SUMIFS('ON Data'!AQ:AQ,'ON Data'!$E:$E,8))</f>
        <v>0</v>
      </c>
      <c r="J17" s="376">
        <f xml:space="preserve">
IF($A$4&lt;=12,SUMIFS('ON Data'!AT:AT,'ON Data'!$D:$D,$A$4,'ON Data'!$E:$E,8),SUMIFS('ON Data'!AT:AT,'ON Data'!$E:$E,8))</f>
        <v>0</v>
      </c>
      <c r="K17" s="450"/>
    </row>
    <row r="18" spans="1:46" x14ac:dyDescent="0.3">
      <c r="A18" s="361" t="s">
        <v>207</v>
      </c>
      <c r="B18" s="375">
        <f xml:space="preserve">
B19-B16-B17</f>
        <v>107902</v>
      </c>
      <c r="C18" s="376">
        <f t="shared" ref="C18:J18" si="0" xml:space="preserve">
C19-C16-C17</f>
        <v>0</v>
      </c>
      <c r="D18" s="376">
        <f t="shared" si="0"/>
        <v>0</v>
      </c>
      <c r="E18" s="376">
        <f t="shared" si="0"/>
        <v>0</v>
      </c>
      <c r="F18" s="376">
        <f t="shared" si="0"/>
        <v>29749</v>
      </c>
      <c r="G18" s="376">
        <f t="shared" si="0"/>
        <v>50141</v>
      </c>
      <c r="H18" s="376">
        <f t="shared" si="0"/>
        <v>28012</v>
      </c>
      <c r="I18" s="376">
        <f t="shared" si="0"/>
        <v>0</v>
      </c>
      <c r="J18" s="376">
        <f t="shared" si="0"/>
        <v>0</v>
      </c>
      <c r="K18" s="450"/>
    </row>
    <row r="19" spans="1:46" ht="15" thickBot="1" x14ac:dyDescent="0.35">
      <c r="A19" s="362" t="s">
        <v>208</v>
      </c>
      <c r="B19" s="381">
        <f xml:space="preserve">
IF($A$4&lt;=12,SUMIFS('ON Data'!F:F,'ON Data'!$D:$D,$A$4,'ON Data'!$E:$E,9),SUMIFS('ON Data'!F:F,'ON Data'!$E:$E,9))</f>
        <v>107902</v>
      </c>
      <c r="C19" s="382">
        <f xml:space="preserve">
IF($A$4&lt;=12,SUMIFS('ON Data'!I:I,'ON Data'!$D:$D,$A$4,'ON Data'!$E:$E,9),SUMIFS('ON Data'!I:I,'ON Data'!$E:$E,9))</f>
        <v>0</v>
      </c>
      <c r="D19" s="382">
        <f xml:space="preserve">
IF($A$4&lt;=12,SUMIFS('ON Data'!K:K,'ON Data'!$D:$D,$A$4,'ON Data'!$E:$E,9),SUMIFS('ON Data'!K:K,'ON Data'!$E:$E,9))</f>
        <v>0</v>
      </c>
      <c r="E19" s="382">
        <f xml:space="preserve">
IF($A$4&lt;=12,SUMIFS('ON Data'!L:L,'ON Data'!$D:$D,$A$4,'ON Data'!$E:$E,9),SUMIFS('ON Data'!L:L,'ON Data'!$E:$E,9))</f>
        <v>0</v>
      </c>
      <c r="F19" s="382">
        <f xml:space="preserve">
IF($A$4&lt;=12,SUMIFS('ON Data'!Q:Q,'ON Data'!$D:$D,$A$4,'ON Data'!$E:$E,9),SUMIFS('ON Data'!Q:Q,'ON Data'!$E:$E,9))</f>
        <v>29749</v>
      </c>
      <c r="G19" s="382">
        <f xml:space="preserve">
IF($A$4&lt;=12,SUMIFS('ON Data'!R:R,'ON Data'!$D:$D,$A$4,'ON Data'!$E:$E,9),SUMIFS('ON Data'!R:R,'ON Data'!$E:$E,9))</f>
        <v>50141</v>
      </c>
      <c r="H19" s="382">
        <f xml:space="preserve">
IF($A$4&lt;=12,SUMIFS('ON Data'!S:S,'ON Data'!$D:$D,$A$4,'ON Data'!$E:$E,9),SUMIFS('ON Data'!S:S,'ON Data'!$E:$E,9))</f>
        <v>28012</v>
      </c>
      <c r="I19" s="382">
        <f xml:space="preserve">
IF($A$4&lt;=12,SUMIFS('ON Data'!AQ:AQ,'ON Data'!$D:$D,$A$4,'ON Data'!$E:$E,9),SUMIFS('ON Data'!AQ:AQ,'ON Data'!$E:$E,9))</f>
        <v>0</v>
      </c>
      <c r="J19" s="382">
        <f xml:space="preserve">
IF($A$4&lt;=12,SUMIFS('ON Data'!AT:AT,'ON Data'!$D:$D,$A$4,'ON Data'!$E:$E,9),SUMIFS('ON Data'!AT:AT,'ON Data'!$E:$E,9))</f>
        <v>0</v>
      </c>
      <c r="K19" s="450"/>
    </row>
    <row r="20" spans="1:46" ht="15" collapsed="1" thickBot="1" x14ac:dyDescent="0.35">
      <c r="A20" s="363" t="s">
        <v>81</v>
      </c>
      <c r="B20" s="490">
        <f xml:space="preserve">
IF($A$4&lt;=12,SUMIFS('ON Data'!F:F,'ON Data'!$D:$D,$A$4,'ON Data'!$E:$E,6),SUMIFS('ON Data'!F:F,'ON Data'!$E:$E,6))</f>
        <v>16290761</v>
      </c>
      <c r="C20" s="491">
        <f xml:space="preserve">
IF($A$4&lt;=12,SUMIFS('ON Data'!I:I,'ON Data'!$D:$D,$A$4,'ON Data'!$E:$E,6),SUMIFS('ON Data'!I:I,'ON Data'!$E:$E,6))</f>
        <v>168981</v>
      </c>
      <c r="D20" s="491">
        <f xml:space="preserve">
IF($A$4&lt;=12,SUMIFS('ON Data'!K:K,'ON Data'!$D:$D,$A$4,'ON Data'!$E:$E,6),SUMIFS('ON Data'!K:K,'ON Data'!$E:$E,6))</f>
        <v>316864</v>
      </c>
      <c r="E20" s="491">
        <f xml:space="preserve">
IF($A$4&lt;=12,SUMIFS('ON Data'!L:L,'ON Data'!$D:$D,$A$4,'ON Data'!$E:$E,6),SUMIFS('ON Data'!L:L,'ON Data'!$E:$E,6))</f>
        <v>4045508</v>
      </c>
      <c r="F20" s="491">
        <f xml:space="preserve">
IF($A$4&lt;=12,SUMIFS('ON Data'!Q:Q,'ON Data'!$D:$D,$A$4,'ON Data'!$E:$E,6),SUMIFS('ON Data'!Q:Q,'ON Data'!$E:$E,6))</f>
        <v>3455216</v>
      </c>
      <c r="G20" s="491">
        <f xml:space="preserve">
IF($A$4&lt;=12,SUMIFS('ON Data'!R:R,'ON Data'!$D:$D,$A$4,'ON Data'!$E:$E,6),SUMIFS('ON Data'!R:R,'ON Data'!$E:$E,6))</f>
        <v>4774551</v>
      </c>
      <c r="H20" s="491">
        <f xml:space="preserve">
IF($A$4&lt;=12,SUMIFS('ON Data'!S:S,'ON Data'!$D:$D,$A$4,'ON Data'!$E:$E,6),SUMIFS('ON Data'!S:S,'ON Data'!$E:$E,6))</f>
        <v>2444348</v>
      </c>
      <c r="I20" s="491">
        <f xml:space="preserve">
IF($A$4&lt;=12,SUMIFS('ON Data'!AQ:AQ,'ON Data'!$D:$D,$A$4,'ON Data'!$E:$E,6),SUMIFS('ON Data'!AQ:AQ,'ON Data'!$E:$E,6))</f>
        <v>572216</v>
      </c>
      <c r="J20" s="491">
        <f xml:space="preserve">
IF($A$4&lt;=12,SUMIFS('ON Data'!AT:AT,'ON Data'!$D:$D,$A$4,'ON Data'!$E:$E,6),SUMIFS('ON Data'!AT:AT,'ON Data'!$E:$E,6))</f>
        <v>513077</v>
      </c>
      <c r="K20" s="450"/>
    </row>
    <row r="21" spans="1:46" ht="15" hidden="1" outlineLevel="1" thickBot="1" x14ac:dyDescent="0.35">
      <c r="A21" s="356" t="s">
        <v>118</v>
      </c>
      <c r="B21" s="484">
        <f xml:space="preserve">
IF($A$4&lt;=12,SUMIFS('ON Data'!F:F,'ON Data'!$D:$D,$A$4,'ON Data'!$E:$E,12),SUMIFS('ON Data'!F:F,'ON Data'!$E:$E,12))</f>
        <v>0</v>
      </c>
      <c r="C21" s="470"/>
      <c r="D21" s="470">
        <f xml:space="preserve">
IF($A$4&lt;=12,SUMIFS('ON Data'!K:K,'ON Data'!$D:$D,$A$4,'ON Data'!$E:$E,12),SUMIFS('ON Data'!K:K,'ON Data'!$E:$E,12))</f>
        <v>0</v>
      </c>
      <c r="E21" s="470">
        <f xml:space="preserve">
IF($A$4&lt;=12,SUMIFS('ON Data'!L:L,'ON Data'!$D:$D,$A$4,'ON Data'!$E:$E,12),SUMIFS('ON Data'!L:L,'ON Data'!$E:$E,12))</f>
        <v>0</v>
      </c>
      <c r="F21" s="470">
        <f xml:space="preserve">
IF($A$4&lt;=12,SUMIFS('ON Data'!Q:Q,'ON Data'!$D:$D,$A$4,'ON Data'!$E:$E,12),SUMIFS('ON Data'!Q:Q,'ON Data'!$E:$E,12))</f>
        <v>0</v>
      </c>
      <c r="G21" s="470">
        <f xml:space="preserve">
IF($A$4&lt;=12,SUMIFS('ON Data'!R:R,'ON Data'!$D:$D,$A$4,'ON Data'!$E:$E,12),SUMIFS('ON Data'!R:R,'ON Data'!$E:$E,12))</f>
        <v>0</v>
      </c>
      <c r="H21" s="470">
        <f xml:space="preserve">
IF($A$4&lt;=12,SUMIFS('ON Data'!S:S,'ON Data'!$D:$D,$A$4,'ON Data'!$E:$E,12),SUMIFS('ON Data'!S:S,'ON Data'!$E:$E,12))</f>
        <v>0</v>
      </c>
      <c r="I21" s="470">
        <f xml:space="preserve">
IF($A$4&lt;=12,SUMIFS('ON Data'!AQ:AQ,'ON Data'!$D:$D,$A$4,'ON Data'!$E:$E,12),SUMIFS('ON Data'!AQ:AQ,'ON Data'!$E:$E,12))</f>
        <v>0</v>
      </c>
      <c r="J21" s="470"/>
      <c r="K21" s="450"/>
    </row>
    <row r="22" spans="1:46" ht="15" hidden="1" outlineLevel="1" thickBot="1" x14ac:dyDescent="0.35">
      <c r="A22" s="356" t="s">
        <v>83</v>
      </c>
      <c r="B22" s="485" t="str">
        <f xml:space="preserve">
IF(OR(B21="",B21=0),"",B20/B21)</f>
        <v/>
      </c>
      <c r="C22" s="421"/>
      <c r="D22" s="421" t="str">
        <f t="shared" ref="D22:E22" si="1" xml:space="preserve">
IF(OR(D21="",D21=0),"",D20/D21)</f>
        <v/>
      </c>
      <c r="E22" s="421" t="str">
        <f t="shared" si="1"/>
        <v/>
      </c>
      <c r="F22" s="421" t="str">
        <f t="shared" ref="F22:I22" si="2" xml:space="preserve">
IF(OR(F21="",F21=0),"",F20/F21)</f>
        <v/>
      </c>
      <c r="G22" s="421" t="str">
        <f t="shared" si="2"/>
        <v/>
      </c>
      <c r="H22" s="421" t="str">
        <f t="shared" si="2"/>
        <v/>
      </c>
      <c r="I22" s="421" t="str">
        <f t="shared" si="2"/>
        <v/>
      </c>
      <c r="J22" s="421"/>
      <c r="K22" s="450"/>
    </row>
    <row r="23" spans="1:46" ht="15" hidden="1" outlineLevel="1" thickBot="1" x14ac:dyDescent="0.35">
      <c r="A23" s="364" t="s">
        <v>56</v>
      </c>
      <c r="B23" s="486">
        <f xml:space="preserve">
IF(B21="","",B20-B21)</f>
        <v>16290761</v>
      </c>
      <c r="C23" s="378"/>
      <c r="D23" s="378">
        <f t="shared" ref="D23:E23" si="3" xml:space="preserve">
IF(D21="","",D20-D21)</f>
        <v>316864</v>
      </c>
      <c r="E23" s="378">
        <f t="shared" si="3"/>
        <v>4045508</v>
      </c>
      <c r="F23" s="378">
        <f t="shared" ref="F23:I23" si="4" xml:space="preserve">
IF(F21="","",F20-F21)</f>
        <v>3455216</v>
      </c>
      <c r="G23" s="378">
        <f t="shared" si="4"/>
        <v>4774551</v>
      </c>
      <c r="H23" s="378">
        <f t="shared" si="4"/>
        <v>2444348</v>
      </c>
      <c r="I23" s="378">
        <f t="shared" si="4"/>
        <v>572216</v>
      </c>
      <c r="J23" s="378"/>
      <c r="K23" s="450"/>
    </row>
    <row r="24" spans="1:46" x14ac:dyDescent="0.3">
      <c r="A24" s="358" t="s">
        <v>209</v>
      </c>
      <c r="B24" s="393" t="s">
        <v>3</v>
      </c>
      <c r="C24" s="481" t="s">
        <v>283</v>
      </c>
      <c r="D24" s="482" t="s">
        <v>284</v>
      </c>
      <c r="E24" s="482" t="s">
        <v>287</v>
      </c>
      <c r="F24" s="483" t="s">
        <v>220</v>
      </c>
      <c r="AT24" s="450"/>
    </row>
    <row r="25" spans="1:46" x14ac:dyDescent="0.3">
      <c r="A25" s="359" t="s">
        <v>81</v>
      </c>
      <c r="B25" s="375">
        <f xml:space="preserve">
SUM(C25:F25)</f>
        <v>37830</v>
      </c>
      <c r="C25" s="472">
        <f xml:space="preserve">
IF($A$4&lt;=12,SUMIFS('ON Data'!$G:$G,'ON Data'!$D:$D,$A$4,'ON Data'!$E:$E,10),SUMIFS('ON Data'!$G:$G,'ON Data'!$E:$E,10))</f>
        <v>0</v>
      </c>
      <c r="D25" s="473">
        <f xml:space="preserve">
IF($A$4&lt;=12,SUMIFS('ON Data'!$J:$J,'ON Data'!$D:$D,$A$4,'ON Data'!$E:$E,10),SUMIFS('ON Data'!$J:$J,'ON Data'!$E:$E,10))</f>
        <v>0</v>
      </c>
      <c r="E25" s="473">
        <f xml:space="preserve">
IF($A$4&lt;=12,SUMIFS('ON Data'!$H:$H,'ON Data'!$D:$D,$A$4,'ON Data'!$E:$E,10),SUMIFS('ON Data'!$H:$H,'ON Data'!$E:$E,10))</f>
        <v>37830</v>
      </c>
      <c r="F25" s="474">
        <f xml:space="preserve">
IF($A$4&lt;=12,SUMIFS('ON Data'!$I:$I,'ON Data'!$D:$D,$A$4,'ON Data'!$E:$E,10),SUMIFS('ON Data'!$I:$I,'ON Data'!$E:$E,10))</f>
        <v>0</v>
      </c>
    </row>
    <row r="26" spans="1:46" x14ac:dyDescent="0.3">
      <c r="A26" s="365" t="s">
        <v>219</v>
      </c>
      <c r="B26" s="381">
        <f xml:space="preserve">
SUM(C26:F26)</f>
        <v>62900.950122330127</v>
      </c>
      <c r="C26" s="472">
        <f xml:space="preserve">
IF($A$4&lt;=12,SUMIFS('ON Data'!$G:$G,'ON Data'!$D:$D,$A$4,'ON Data'!$E:$E,11),SUMIFS('ON Data'!$G:$G,'ON Data'!$E:$E,11))</f>
        <v>12900.950122330121</v>
      </c>
      <c r="D26" s="473">
        <f xml:space="preserve">
IF($A$4&lt;=12,SUMIFS('ON Data'!$J:$J,'ON Data'!$D:$D,$A$4,'ON Data'!$E:$E,11),SUMIFS('ON Data'!$J:$J,'ON Data'!$E:$E,11))</f>
        <v>0</v>
      </c>
      <c r="E26" s="473">
        <f xml:space="preserve">
IF($A$4&lt;=12,SUMIFS('ON Data'!$H:$H,'ON Data'!$D:$D,$A$4,'ON Data'!$E:$E,11),SUMIFS('ON Data'!$H:$H,'ON Data'!$E:$E,11))</f>
        <v>50000.000000000007</v>
      </c>
      <c r="F26" s="474">
        <f xml:space="preserve">
IF($A$4&lt;=12,SUMIFS('ON Data'!$I:$I,'ON Data'!$D:$D,$A$4,'ON Data'!$E:$E,11),SUMIFS('ON Data'!$I:$I,'ON Data'!$E:$E,11))</f>
        <v>0</v>
      </c>
    </row>
    <row r="27" spans="1:46" x14ac:dyDescent="0.3">
      <c r="A27" s="365" t="s">
        <v>83</v>
      </c>
      <c r="B27" s="394">
        <f xml:space="preserve">
IF(B26=0,0,B25/B26)</f>
        <v>0.60142175796117547</v>
      </c>
      <c r="C27" s="475">
        <f xml:space="preserve">
IF(C26=0,0,C25/C26)</f>
        <v>0</v>
      </c>
      <c r="D27" s="476">
        <f t="shared" ref="D27:E27" si="5" xml:space="preserve">
IF(D26=0,0,D25/D26)</f>
        <v>0</v>
      </c>
      <c r="E27" s="476">
        <f t="shared" si="5"/>
        <v>0.75659999999999994</v>
      </c>
      <c r="F27" s="477">
        <f xml:space="preserve">
IF(F26=0,0,F25/F26)</f>
        <v>0</v>
      </c>
    </row>
    <row r="28" spans="1:46" ht="15" thickBot="1" x14ac:dyDescent="0.35">
      <c r="A28" s="365" t="s">
        <v>218</v>
      </c>
      <c r="B28" s="381">
        <f xml:space="preserve">
SUM(C28:F28)</f>
        <v>25070.950122330127</v>
      </c>
      <c r="C28" s="478">
        <f xml:space="preserve">
C26-C25</f>
        <v>12900.950122330121</v>
      </c>
      <c r="D28" s="479">
        <f t="shared" ref="D28:E28" si="6" xml:space="preserve">
D26-D25</f>
        <v>0</v>
      </c>
      <c r="E28" s="479">
        <f t="shared" si="6"/>
        <v>12170.000000000007</v>
      </c>
      <c r="F28" s="480">
        <f xml:space="preserve">
F26-F25</f>
        <v>0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50"/>
      <c r="R28" s="450"/>
      <c r="S28" s="450"/>
      <c r="T28" s="450"/>
      <c r="U28" s="450"/>
      <c r="V28" s="450"/>
      <c r="W28" s="450"/>
      <c r="X28" s="450"/>
      <c r="Y28" s="450"/>
      <c r="Z28" s="450"/>
      <c r="AA28" s="450"/>
      <c r="AB28" s="450"/>
      <c r="AC28" s="450"/>
      <c r="AD28" s="450"/>
      <c r="AE28" s="450"/>
      <c r="AF28" s="450"/>
      <c r="AG28" s="450"/>
      <c r="AH28" s="450"/>
      <c r="AI28" s="450"/>
      <c r="AJ28" s="450"/>
      <c r="AK28" s="450"/>
      <c r="AL28" s="450"/>
      <c r="AM28" s="450"/>
      <c r="AN28" s="450"/>
      <c r="AO28" s="450"/>
      <c r="AP28" s="450"/>
      <c r="AQ28" s="450"/>
      <c r="AR28" s="450"/>
      <c r="AS28" s="450"/>
    </row>
    <row r="29" spans="1:46" x14ac:dyDescent="0.3">
      <c r="A29" s="366"/>
      <c r="B29" s="366"/>
      <c r="C29" s="367"/>
      <c r="D29" s="366"/>
      <c r="E29" s="366"/>
      <c r="F29" s="366"/>
      <c r="G29" s="471"/>
      <c r="H29" s="471"/>
      <c r="I29" s="471"/>
      <c r="J29" s="471"/>
      <c r="K29" s="471"/>
      <c r="L29" s="471"/>
      <c r="M29" s="471"/>
      <c r="N29" s="471"/>
      <c r="O29" s="471"/>
      <c r="P29" s="471"/>
      <c r="Q29" s="471"/>
      <c r="R29" s="471"/>
      <c r="S29" s="471"/>
      <c r="T29" s="471"/>
      <c r="U29" s="471"/>
      <c r="V29" s="471"/>
      <c r="W29" s="471"/>
      <c r="X29" s="471"/>
      <c r="Y29" s="471"/>
      <c r="Z29" s="471"/>
      <c r="AA29" s="471"/>
      <c r="AB29" s="471"/>
      <c r="AC29" s="471"/>
      <c r="AD29" s="471"/>
      <c r="AE29" s="471"/>
      <c r="AF29" s="471"/>
      <c r="AG29" s="471"/>
      <c r="AH29" s="471"/>
      <c r="AI29" s="256"/>
      <c r="AJ29" s="256"/>
      <c r="AK29" s="256"/>
      <c r="AL29" s="256"/>
      <c r="AM29" s="256"/>
    </row>
    <row r="30" spans="1:46" x14ac:dyDescent="0.3">
      <c r="A30" s="206" t="s">
        <v>177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  <c r="AH30" s="231"/>
      <c r="AI30" s="231"/>
      <c r="AJ30" s="231"/>
      <c r="AK30" s="252"/>
      <c r="AL30" s="252"/>
      <c r="AM30" s="252"/>
    </row>
    <row r="31" spans="1:46" x14ac:dyDescent="0.3">
      <c r="A31" s="207" t="s">
        <v>216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52"/>
      <c r="AL31" s="252"/>
      <c r="AM31" s="252"/>
    </row>
    <row r="32" spans="1:46" ht="14.4" customHeight="1" x14ac:dyDescent="0.3">
      <c r="A32" s="390" t="s">
        <v>213</v>
      </c>
      <c r="B32" s="391"/>
      <c r="C32" s="391"/>
      <c r="D32" s="391"/>
      <c r="E32" s="391"/>
      <c r="F32" s="391"/>
      <c r="G32" s="391"/>
      <c r="H32" s="391"/>
      <c r="I32" s="391"/>
      <c r="J32" s="391"/>
      <c r="K32" s="391"/>
      <c r="L32" s="391"/>
      <c r="M32" s="391"/>
      <c r="N32" s="391"/>
      <c r="O32" s="391"/>
      <c r="P32" s="391"/>
      <c r="Q32" s="391"/>
      <c r="R32" s="391"/>
      <c r="S32" s="391"/>
      <c r="T32" s="391"/>
      <c r="U32" s="391"/>
      <c r="V32" s="391"/>
      <c r="W32" s="391"/>
      <c r="X32" s="391"/>
      <c r="Y32" s="391"/>
      <c r="Z32" s="391"/>
      <c r="AA32" s="391"/>
      <c r="AB32" s="391"/>
      <c r="AC32" s="391"/>
      <c r="AD32" s="391"/>
      <c r="AE32" s="391"/>
      <c r="AF32" s="391"/>
      <c r="AG32" s="391"/>
      <c r="AH32" s="391"/>
      <c r="AI32" s="391"/>
      <c r="AJ32" s="391"/>
    </row>
    <row r="33" spans="1:1" x14ac:dyDescent="0.3">
      <c r="A33" s="392" t="s">
        <v>279</v>
      </c>
    </row>
    <row r="34" spans="1:1" x14ac:dyDescent="0.3">
      <c r="A34" s="392" t="s">
        <v>280</v>
      </c>
    </row>
    <row r="35" spans="1:1" x14ac:dyDescent="0.3">
      <c r="A35" s="392" t="s">
        <v>281</v>
      </c>
    </row>
    <row r="36" spans="1:1" x14ac:dyDescent="0.3">
      <c r="A36" s="392" t="s">
        <v>282</v>
      </c>
    </row>
    <row r="37" spans="1:1" x14ac:dyDescent="0.3">
      <c r="A37" s="392" t="s">
        <v>221</v>
      </c>
    </row>
  </sheetData>
  <mergeCells count="2">
    <mergeCell ref="B3:B4"/>
    <mergeCell ref="A1:B1"/>
  </mergeCells>
  <conditionalFormatting sqref="C27">
    <cfRule type="cellIs" dxfId="29" priority="17" operator="greaterThan">
      <formula>1</formula>
    </cfRule>
  </conditionalFormatting>
  <conditionalFormatting sqref="C28">
    <cfRule type="cellIs" dxfId="28" priority="16" operator="lessThan">
      <formula>0</formula>
    </cfRule>
  </conditionalFormatting>
  <conditionalFormatting sqref="B22:J22">
    <cfRule type="cellIs" dxfId="27" priority="15" operator="greaterThan">
      <formula>1</formula>
    </cfRule>
  </conditionalFormatting>
  <conditionalFormatting sqref="B23:J23">
    <cfRule type="cellIs" dxfId="26" priority="14" operator="greaterThan">
      <formula>0</formula>
    </cfRule>
  </conditionalFormatting>
  <conditionalFormatting sqref="F27">
    <cfRule type="cellIs" dxfId="25" priority="9" operator="greaterThan">
      <formula>1</formula>
    </cfRule>
  </conditionalFormatting>
  <conditionalFormatting sqref="F28">
    <cfRule type="cellIs" dxfId="24" priority="8" operator="lessThan">
      <formula>0</formula>
    </cfRule>
  </conditionalFormatting>
  <conditionalFormatting sqref="E28">
    <cfRule type="cellIs" dxfId="23" priority="1" operator="lessThan">
      <formula>0</formula>
    </cfRule>
  </conditionalFormatting>
  <conditionalFormatting sqref="D28">
    <cfRule type="cellIs" dxfId="22" priority="3" operator="lessThan">
      <formula>0</formula>
    </cfRule>
  </conditionalFormatting>
  <conditionalFormatting sqref="D27">
    <cfRule type="cellIs" dxfId="21" priority="4" operator="greaterThan">
      <formula>1</formula>
    </cfRule>
  </conditionalFormatting>
  <conditionalFormatting sqref="E27">
    <cfRule type="cellIs" dxfId="20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5"/>
  <sheetViews>
    <sheetView showGridLines="0" workbookViewId="0"/>
  </sheetViews>
  <sheetFormatPr defaultRowHeight="14.4" x14ac:dyDescent="0.3"/>
  <cols>
    <col min="1" max="16384" width="8.88671875" style="347"/>
  </cols>
  <sheetData>
    <row r="1" spans="1:49" x14ac:dyDescent="0.3">
      <c r="A1" s="347" t="s">
        <v>2240</v>
      </c>
    </row>
    <row r="2" spans="1:49" x14ac:dyDescent="0.3">
      <c r="A2" s="351" t="s">
        <v>288</v>
      </c>
    </row>
    <row r="3" spans="1:49" x14ac:dyDescent="0.3">
      <c r="A3" s="347" t="s">
        <v>186</v>
      </c>
      <c r="B3" s="370">
        <v>2017</v>
      </c>
      <c r="D3" s="348">
        <f>MAX(D5:D1048576)</f>
        <v>6</v>
      </c>
      <c r="F3" s="348">
        <f>SUMIF($E5:$E1048576,"&lt;10",F5:F1048576)</f>
        <v>16457052.950000001</v>
      </c>
      <c r="G3" s="348">
        <f t="shared" ref="G3:AW3" si="0">SUMIF($E5:$E1048576,"&lt;10",G5:G1048576)</f>
        <v>0</v>
      </c>
      <c r="H3" s="348">
        <f t="shared" si="0"/>
        <v>0</v>
      </c>
      <c r="I3" s="348">
        <f t="shared" si="0"/>
        <v>169947</v>
      </c>
      <c r="J3" s="348">
        <f t="shared" si="0"/>
        <v>0</v>
      </c>
      <c r="K3" s="348">
        <f t="shared" si="0"/>
        <v>317877</v>
      </c>
      <c r="L3" s="348">
        <f t="shared" si="0"/>
        <v>4053069.05</v>
      </c>
      <c r="M3" s="348">
        <f t="shared" si="0"/>
        <v>0</v>
      </c>
      <c r="N3" s="348">
        <f t="shared" si="0"/>
        <v>0</v>
      </c>
      <c r="O3" s="348">
        <f t="shared" si="0"/>
        <v>0</v>
      </c>
      <c r="P3" s="348">
        <f t="shared" si="0"/>
        <v>0</v>
      </c>
      <c r="Q3" s="348">
        <f t="shared" si="0"/>
        <v>3501985.75</v>
      </c>
      <c r="R3" s="348">
        <f t="shared" si="0"/>
        <v>4842024.6400000006</v>
      </c>
      <c r="S3" s="348">
        <f t="shared" si="0"/>
        <v>2480797.5099999998</v>
      </c>
      <c r="T3" s="348">
        <f t="shared" si="0"/>
        <v>0</v>
      </c>
      <c r="U3" s="348">
        <f t="shared" si="0"/>
        <v>0</v>
      </c>
      <c r="V3" s="348">
        <f t="shared" si="0"/>
        <v>0</v>
      </c>
      <c r="W3" s="348">
        <f t="shared" si="0"/>
        <v>0</v>
      </c>
      <c r="X3" s="348">
        <f t="shared" si="0"/>
        <v>0</v>
      </c>
      <c r="Y3" s="348">
        <f t="shared" si="0"/>
        <v>0</v>
      </c>
      <c r="Z3" s="348">
        <f t="shared" si="0"/>
        <v>0</v>
      </c>
      <c r="AA3" s="348">
        <f t="shared" si="0"/>
        <v>0</v>
      </c>
      <c r="AB3" s="348">
        <f t="shared" si="0"/>
        <v>0</v>
      </c>
      <c r="AC3" s="348">
        <f t="shared" si="0"/>
        <v>0</v>
      </c>
      <c r="AD3" s="348">
        <f t="shared" si="0"/>
        <v>0</v>
      </c>
      <c r="AE3" s="348">
        <f t="shared" si="0"/>
        <v>0</v>
      </c>
      <c r="AF3" s="348">
        <f t="shared" si="0"/>
        <v>0</v>
      </c>
      <c r="AG3" s="348">
        <f t="shared" si="0"/>
        <v>0</v>
      </c>
      <c r="AH3" s="348">
        <f t="shared" si="0"/>
        <v>0</v>
      </c>
      <c r="AI3" s="348">
        <f t="shared" si="0"/>
        <v>0</v>
      </c>
      <c r="AJ3" s="348">
        <f t="shared" si="0"/>
        <v>0</v>
      </c>
      <c r="AK3" s="348">
        <f t="shared" si="0"/>
        <v>0</v>
      </c>
      <c r="AL3" s="348">
        <f t="shared" si="0"/>
        <v>0</v>
      </c>
      <c r="AM3" s="348">
        <f t="shared" si="0"/>
        <v>0</v>
      </c>
      <c r="AN3" s="348">
        <f t="shared" si="0"/>
        <v>0</v>
      </c>
      <c r="AO3" s="348">
        <f t="shared" si="0"/>
        <v>0</v>
      </c>
      <c r="AP3" s="348">
        <f t="shared" si="0"/>
        <v>0</v>
      </c>
      <c r="AQ3" s="348">
        <f t="shared" si="0"/>
        <v>575228</v>
      </c>
      <c r="AR3" s="348">
        <f t="shared" si="0"/>
        <v>0</v>
      </c>
      <c r="AS3" s="348">
        <f t="shared" si="0"/>
        <v>0</v>
      </c>
      <c r="AT3" s="348">
        <f t="shared" si="0"/>
        <v>516124</v>
      </c>
      <c r="AU3" s="348">
        <f t="shared" si="0"/>
        <v>0</v>
      </c>
      <c r="AV3" s="348">
        <f t="shared" si="0"/>
        <v>0</v>
      </c>
      <c r="AW3" s="348">
        <f t="shared" si="0"/>
        <v>0</v>
      </c>
    </row>
    <row r="4" spans="1:49" x14ac:dyDescent="0.3">
      <c r="A4" s="347" t="s">
        <v>187</v>
      </c>
      <c r="B4" s="370">
        <v>1</v>
      </c>
      <c r="C4" s="349" t="s">
        <v>5</v>
      </c>
      <c r="D4" s="350" t="s">
        <v>55</v>
      </c>
      <c r="E4" s="350" t="s">
        <v>185</v>
      </c>
      <c r="F4" s="350" t="s">
        <v>3</v>
      </c>
      <c r="G4" s="350">
        <v>0</v>
      </c>
      <c r="H4" s="350">
        <v>25</v>
      </c>
      <c r="I4" s="350">
        <v>30</v>
      </c>
      <c r="J4" s="350">
        <v>99</v>
      </c>
      <c r="K4" s="350">
        <v>100</v>
      </c>
      <c r="L4" s="350">
        <v>101</v>
      </c>
      <c r="M4" s="350">
        <v>102</v>
      </c>
      <c r="N4" s="350">
        <v>103</v>
      </c>
      <c r="O4" s="350">
        <v>203</v>
      </c>
      <c r="P4" s="350">
        <v>302</v>
      </c>
      <c r="Q4" s="350">
        <v>303</v>
      </c>
      <c r="R4" s="350">
        <v>304</v>
      </c>
      <c r="S4" s="350">
        <v>305</v>
      </c>
      <c r="T4" s="350">
        <v>306</v>
      </c>
      <c r="U4" s="350">
        <v>407</v>
      </c>
      <c r="V4" s="350">
        <v>408</v>
      </c>
      <c r="W4" s="350">
        <v>409</v>
      </c>
      <c r="X4" s="350">
        <v>410</v>
      </c>
      <c r="Y4" s="350">
        <v>415</v>
      </c>
      <c r="Z4" s="350">
        <v>416</v>
      </c>
      <c r="AA4" s="350">
        <v>418</v>
      </c>
      <c r="AB4" s="350">
        <v>419</v>
      </c>
      <c r="AC4" s="350">
        <v>420</v>
      </c>
      <c r="AD4" s="350">
        <v>421</v>
      </c>
      <c r="AE4" s="350">
        <v>422</v>
      </c>
      <c r="AF4" s="350">
        <v>520</v>
      </c>
      <c r="AG4" s="350">
        <v>521</v>
      </c>
      <c r="AH4" s="350">
        <v>522</v>
      </c>
      <c r="AI4" s="350">
        <v>523</v>
      </c>
      <c r="AJ4" s="350">
        <v>524</v>
      </c>
      <c r="AK4" s="350">
        <v>525</v>
      </c>
      <c r="AL4" s="350">
        <v>526</v>
      </c>
      <c r="AM4" s="350">
        <v>527</v>
      </c>
      <c r="AN4" s="350">
        <v>528</v>
      </c>
      <c r="AO4" s="350">
        <v>629</v>
      </c>
      <c r="AP4" s="350">
        <v>630</v>
      </c>
      <c r="AQ4" s="350">
        <v>636</v>
      </c>
      <c r="AR4" s="350">
        <v>637</v>
      </c>
      <c r="AS4" s="350">
        <v>640</v>
      </c>
      <c r="AT4" s="350">
        <v>642</v>
      </c>
      <c r="AU4" s="350">
        <v>743</v>
      </c>
      <c r="AV4" s="350">
        <v>745</v>
      </c>
      <c r="AW4" s="350">
        <v>746</v>
      </c>
    </row>
    <row r="5" spans="1:49" x14ac:dyDescent="0.3">
      <c r="A5" s="347" t="s">
        <v>188</v>
      </c>
      <c r="B5" s="370">
        <v>2</v>
      </c>
      <c r="C5" s="347">
        <v>59</v>
      </c>
      <c r="D5" s="347">
        <v>1</v>
      </c>
      <c r="E5" s="347">
        <v>1</v>
      </c>
      <c r="F5" s="347">
        <v>61.3</v>
      </c>
      <c r="G5" s="347">
        <v>0</v>
      </c>
      <c r="H5" s="347">
        <v>0</v>
      </c>
      <c r="I5" s="347">
        <v>1</v>
      </c>
      <c r="J5" s="347">
        <v>0</v>
      </c>
      <c r="K5" s="347">
        <v>1</v>
      </c>
      <c r="L5" s="347">
        <v>7.55</v>
      </c>
      <c r="M5" s="347">
        <v>0</v>
      </c>
      <c r="N5" s="347">
        <v>0</v>
      </c>
      <c r="O5" s="347">
        <v>0</v>
      </c>
      <c r="P5" s="347">
        <v>0</v>
      </c>
      <c r="Q5" s="347">
        <v>18.5</v>
      </c>
      <c r="R5" s="347">
        <v>19</v>
      </c>
      <c r="S5" s="347">
        <v>8.25</v>
      </c>
      <c r="T5" s="347">
        <v>0</v>
      </c>
      <c r="U5" s="347">
        <v>0</v>
      </c>
      <c r="V5" s="347">
        <v>0</v>
      </c>
      <c r="W5" s="347">
        <v>0</v>
      </c>
      <c r="X5" s="347">
        <v>0</v>
      </c>
      <c r="Y5" s="347">
        <v>0</v>
      </c>
      <c r="Z5" s="347">
        <v>0</v>
      </c>
      <c r="AA5" s="347">
        <v>0</v>
      </c>
      <c r="AB5" s="347">
        <v>0</v>
      </c>
      <c r="AC5" s="347">
        <v>0</v>
      </c>
      <c r="AD5" s="347">
        <v>0</v>
      </c>
      <c r="AE5" s="347">
        <v>0</v>
      </c>
      <c r="AF5" s="347">
        <v>0</v>
      </c>
      <c r="AG5" s="347">
        <v>0</v>
      </c>
      <c r="AH5" s="347">
        <v>0</v>
      </c>
      <c r="AI5" s="347">
        <v>0</v>
      </c>
      <c r="AJ5" s="347">
        <v>0</v>
      </c>
      <c r="AK5" s="347">
        <v>0</v>
      </c>
      <c r="AL5" s="347">
        <v>0</v>
      </c>
      <c r="AM5" s="347">
        <v>0</v>
      </c>
      <c r="AN5" s="347">
        <v>0</v>
      </c>
      <c r="AO5" s="347">
        <v>0</v>
      </c>
      <c r="AP5" s="347">
        <v>0</v>
      </c>
      <c r="AQ5" s="347">
        <v>3</v>
      </c>
      <c r="AR5" s="347">
        <v>0</v>
      </c>
      <c r="AS5" s="347">
        <v>0</v>
      </c>
      <c r="AT5" s="347">
        <v>3</v>
      </c>
      <c r="AU5" s="347">
        <v>0</v>
      </c>
      <c r="AV5" s="347">
        <v>0</v>
      </c>
      <c r="AW5" s="347">
        <v>0</v>
      </c>
    </row>
    <row r="6" spans="1:49" x14ac:dyDescent="0.3">
      <c r="A6" s="347" t="s">
        <v>189</v>
      </c>
      <c r="B6" s="370">
        <v>3</v>
      </c>
      <c r="C6" s="347">
        <v>59</v>
      </c>
      <c r="D6" s="347">
        <v>1</v>
      </c>
      <c r="E6" s="347">
        <v>2</v>
      </c>
      <c r="F6" s="347">
        <v>9236.6200000000008</v>
      </c>
      <c r="G6" s="347">
        <v>0</v>
      </c>
      <c r="H6" s="347">
        <v>0</v>
      </c>
      <c r="I6" s="347">
        <v>176</v>
      </c>
      <c r="J6" s="347">
        <v>0</v>
      </c>
      <c r="K6" s="347">
        <v>147</v>
      </c>
      <c r="L6" s="347">
        <v>1239.77</v>
      </c>
      <c r="M6" s="347">
        <v>0</v>
      </c>
      <c r="N6" s="347">
        <v>0</v>
      </c>
      <c r="O6" s="347">
        <v>0</v>
      </c>
      <c r="P6" s="347">
        <v>0</v>
      </c>
      <c r="Q6" s="347">
        <v>2886</v>
      </c>
      <c r="R6" s="347">
        <v>2713.08</v>
      </c>
      <c r="S6" s="347">
        <v>1167.27</v>
      </c>
      <c r="T6" s="347">
        <v>0</v>
      </c>
      <c r="U6" s="347">
        <v>0</v>
      </c>
      <c r="V6" s="347">
        <v>0</v>
      </c>
      <c r="W6" s="347">
        <v>0</v>
      </c>
      <c r="X6" s="347">
        <v>0</v>
      </c>
      <c r="Y6" s="347">
        <v>0</v>
      </c>
      <c r="Z6" s="347">
        <v>0</v>
      </c>
      <c r="AA6" s="347">
        <v>0</v>
      </c>
      <c r="AB6" s="347">
        <v>0</v>
      </c>
      <c r="AC6" s="347">
        <v>0</v>
      </c>
      <c r="AD6" s="347">
        <v>0</v>
      </c>
      <c r="AE6" s="347">
        <v>0</v>
      </c>
      <c r="AF6" s="347">
        <v>0</v>
      </c>
      <c r="AG6" s="347">
        <v>0</v>
      </c>
      <c r="AH6" s="347">
        <v>0</v>
      </c>
      <c r="AI6" s="347">
        <v>0</v>
      </c>
      <c r="AJ6" s="347">
        <v>0</v>
      </c>
      <c r="AK6" s="347">
        <v>0</v>
      </c>
      <c r="AL6" s="347">
        <v>0</v>
      </c>
      <c r="AM6" s="347">
        <v>0</v>
      </c>
      <c r="AN6" s="347">
        <v>0</v>
      </c>
      <c r="AO6" s="347">
        <v>0</v>
      </c>
      <c r="AP6" s="347">
        <v>0</v>
      </c>
      <c r="AQ6" s="347">
        <v>412.5</v>
      </c>
      <c r="AR6" s="347">
        <v>0</v>
      </c>
      <c r="AS6" s="347">
        <v>0</v>
      </c>
      <c r="AT6" s="347">
        <v>495</v>
      </c>
      <c r="AU6" s="347">
        <v>0</v>
      </c>
      <c r="AV6" s="347">
        <v>0</v>
      </c>
      <c r="AW6" s="347">
        <v>0</v>
      </c>
    </row>
    <row r="7" spans="1:49" x14ac:dyDescent="0.3">
      <c r="A7" s="347" t="s">
        <v>190</v>
      </c>
      <c r="B7" s="370">
        <v>4</v>
      </c>
      <c r="C7" s="347">
        <v>59</v>
      </c>
      <c r="D7" s="347">
        <v>1</v>
      </c>
      <c r="E7" s="347">
        <v>3</v>
      </c>
      <c r="F7" s="347">
        <v>226.92</v>
      </c>
      <c r="G7" s="347">
        <v>0</v>
      </c>
      <c r="H7" s="347">
        <v>0</v>
      </c>
      <c r="I7" s="347">
        <v>0</v>
      </c>
      <c r="J7" s="347">
        <v>0</v>
      </c>
      <c r="K7" s="347">
        <v>0</v>
      </c>
      <c r="L7" s="347">
        <v>22</v>
      </c>
      <c r="M7" s="347">
        <v>0</v>
      </c>
      <c r="N7" s="347">
        <v>0</v>
      </c>
      <c r="O7" s="347">
        <v>0</v>
      </c>
      <c r="P7" s="347">
        <v>0</v>
      </c>
      <c r="Q7" s="347">
        <v>56.25</v>
      </c>
      <c r="R7" s="347">
        <v>126.94</v>
      </c>
      <c r="S7" s="347">
        <v>21.73</v>
      </c>
      <c r="T7" s="347">
        <v>0</v>
      </c>
      <c r="U7" s="347">
        <v>0</v>
      </c>
      <c r="V7" s="347">
        <v>0</v>
      </c>
      <c r="W7" s="347">
        <v>0</v>
      </c>
      <c r="X7" s="347">
        <v>0</v>
      </c>
      <c r="Y7" s="347">
        <v>0</v>
      </c>
      <c r="Z7" s="347">
        <v>0</v>
      </c>
      <c r="AA7" s="347">
        <v>0</v>
      </c>
      <c r="AB7" s="347">
        <v>0</v>
      </c>
      <c r="AC7" s="347">
        <v>0</v>
      </c>
      <c r="AD7" s="347">
        <v>0</v>
      </c>
      <c r="AE7" s="347">
        <v>0</v>
      </c>
      <c r="AF7" s="347">
        <v>0</v>
      </c>
      <c r="AG7" s="347">
        <v>0</v>
      </c>
      <c r="AH7" s="347">
        <v>0</v>
      </c>
      <c r="AI7" s="347">
        <v>0</v>
      </c>
      <c r="AJ7" s="347">
        <v>0</v>
      </c>
      <c r="AK7" s="347">
        <v>0</v>
      </c>
      <c r="AL7" s="347">
        <v>0</v>
      </c>
      <c r="AM7" s="347">
        <v>0</v>
      </c>
      <c r="AN7" s="347">
        <v>0</v>
      </c>
      <c r="AO7" s="347">
        <v>0</v>
      </c>
      <c r="AP7" s="347">
        <v>0</v>
      </c>
      <c r="AQ7" s="347">
        <v>0</v>
      </c>
      <c r="AR7" s="347">
        <v>0</v>
      </c>
      <c r="AS7" s="347">
        <v>0</v>
      </c>
      <c r="AT7" s="347">
        <v>0</v>
      </c>
      <c r="AU7" s="347">
        <v>0</v>
      </c>
      <c r="AV7" s="347">
        <v>0</v>
      </c>
      <c r="AW7" s="347">
        <v>0</v>
      </c>
    </row>
    <row r="8" spans="1:49" x14ac:dyDescent="0.3">
      <c r="A8" s="347" t="s">
        <v>191</v>
      </c>
      <c r="B8" s="370">
        <v>5</v>
      </c>
      <c r="C8" s="347">
        <v>59</v>
      </c>
      <c r="D8" s="347">
        <v>1</v>
      </c>
      <c r="E8" s="347">
        <v>4</v>
      </c>
      <c r="F8" s="347">
        <v>689</v>
      </c>
      <c r="G8" s="347">
        <v>0</v>
      </c>
      <c r="H8" s="347">
        <v>0</v>
      </c>
      <c r="I8" s="347">
        <v>0</v>
      </c>
      <c r="J8" s="347">
        <v>0</v>
      </c>
      <c r="K8" s="347">
        <v>11</v>
      </c>
      <c r="L8" s="347">
        <v>91</v>
      </c>
      <c r="M8" s="347">
        <v>0</v>
      </c>
      <c r="N8" s="347">
        <v>0</v>
      </c>
      <c r="O8" s="347">
        <v>0</v>
      </c>
      <c r="P8" s="347">
        <v>0</v>
      </c>
      <c r="Q8" s="347">
        <v>212.5</v>
      </c>
      <c r="R8" s="347">
        <v>157.5</v>
      </c>
      <c r="S8" s="347">
        <v>83.5</v>
      </c>
      <c r="T8" s="347">
        <v>0</v>
      </c>
      <c r="U8" s="347">
        <v>0</v>
      </c>
      <c r="V8" s="347">
        <v>0</v>
      </c>
      <c r="W8" s="347">
        <v>0</v>
      </c>
      <c r="X8" s="347">
        <v>0</v>
      </c>
      <c r="Y8" s="347">
        <v>0</v>
      </c>
      <c r="Z8" s="347">
        <v>0</v>
      </c>
      <c r="AA8" s="347">
        <v>0</v>
      </c>
      <c r="AB8" s="347">
        <v>0</v>
      </c>
      <c r="AC8" s="347">
        <v>0</v>
      </c>
      <c r="AD8" s="347">
        <v>0</v>
      </c>
      <c r="AE8" s="347">
        <v>0</v>
      </c>
      <c r="AF8" s="347">
        <v>0</v>
      </c>
      <c r="AG8" s="347">
        <v>0</v>
      </c>
      <c r="AH8" s="347">
        <v>0</v>
      </c>
      <c r="AI8" s="347">
        <v>0</v>
      </c>
      <c r="AJ8" s="347">
        <v>0</v>
      </c>
      <c r="AK8" s="347">
        <v>0</v>
      </c>
      <c r="AL8" s="347">
        <v>0</v>
      </c>
      <c r="AM8" s="347">
        <v>0</v>
      </c>
      <c r="AN8" s="347">
        <v>0</v>
      </c>
      <c r="AO8" s="347">
        <v>0</v>
      </c>
      <c r="AP8" s="347">
        <v>0</v>
      </c>
      <c r="AQ8" s="347">
        <v>48</v>
      </c>
      <c r="AR8" s="347">
        <v>0</v>
      </c>
      <c r="AS8" s="347">
        <v>0</v>
      </c>
      <c r="AT8" s="347">
        <v>85.5</v>
      </c>
      <c r="AU8" s="347">
        <v>0</v>
      </c>
      <c r="AV8" s="347">
        <v>0</v>
      </c>
      <c r="AW8" s="347">
        <v>0</v>
      </c>
    </row>
    <row r="9" spans="1:49" x14ac:dyDescent="0.3">
      <c r="A9" s="347" t="s">
        <v>192</v>
      </c>
      <c r="B9" s="370">
        <v>6</v>
      </c>
      <c r="C9" s="347">
        <v>59</v>
      </c>
      <c r="D9" s="347">
        <v>1</v>
      </c>
      <c r="E9" s="347">
        <v>6</v>
      </c>
      <c r="F9" s="347">
        <v>2699848</v>
      </c>
      <c r="G9" s="347">
        <v>0</v>
      </c>
      <c r="H9" s="347">
        <v>0</v>
      </c>
      <c r="I9" s="347">
        <v>28110</v>
      </c>
      <c r="J9" s="347">
        <v>0</v>
      </c>
      <c r="K9" s="347">
        <v>47169</v>
      </c>
      <c r="L9" s="347">
        <v>635591</v>
      </c>
      <c r="M9" s="347">
        <v>0</v>
      </c>
      <c r="N9" s="347">
        <v>0</v>
      </c>
      <c r="O9" s="347">
        <v>0</v>
      </c>
      <c r="P9" s="347">
        <v>0</v>
      </c>
      <c r="Q9" s="347">
        <v>613565</v>
      </c>
      <c r="R9" s="347">
        <v>811922</v>
      </c>
      <c r="S9" s="347">
        <v>383666</v>
      </c>
      <c r="T9" s="347">
        <v>0</v>
      </c>
      <c r="U9" s="347">
        <v>0</v>
      </c>
      <c r="V9" s="347">
        <v>0</v>
      </c>
      <c r="W9" s="347">
        <v>0</v>
      </c>
      <c r="X9" s="347">
        <v>0</v>
      </c>
      <c r="Y9" s="347">
        <v>0</v>
      </c>
      <c r="Z9" s="347">
        <v>0</v>
      </c>
      <c r="AA9" s="347">
        <v>0</v>
      </c>
      <c r="AB9" s="347">
        <v>0</v>
      </c>
      <c r="AC9" s="347">
        <v>0</v>
      </c>
      <c r="AD9" s="347">
        <v>0</v>
      </c>
      <c r="AE9" s="347">
        <v>0</v>
      </c>
      <c r="AF9" s="347">
        <v>0</v>
      </c>
      <c r="AG9" s="347">
        <v>0</v>
      </c>
      <c r="AH9" s="347">
        <v>0</v>
      </c>
      <c r="AI9" s="347">
        <v>0</v>
      </c>
      <c r="AJ9" s="347">
        <v>0</v>
      </c>
      <c r="AK9" s="347">
        <v>0</v>
      </c>
      <c r="AL9" s="347">
        <v>0</v>
      </c>
      <c r="AM9" s="347">
        <v>0</v>
      </c>
      <c r="AN9" s="347">
        <v>0</v>
      </c>
      <c r="AO9" s="347">
        <v>0</v>
      </c>
      <c r="AP9" s="347">
        <v>0</v>
      </c>
      <c r="AQ9" s="347">
        <v>86665</v>
      </c>
      <c r="AR9" s="347">
        <v>0</v>
      </c>
      <c r="AS9" s="347">
        <v>0</v>
      </c>
      <c r="AT9" s="347">
        <v>93160</v>
      </c>
      <c r="AU9" s="347">
        <v>0</v>
      </c>
      <c r="AV9" s="347">
        <v>0</v>
      </c>
      <c r="AW9" s="347">
        <v>0</v>
      </c>
    </row>
    <row r="10" spans="1:49" x14ac:dyDescent="0.3">
      <c r="A10" s="347" t="s">
        <v>193</v>
      </c>
      <c r="B10" s="370">
        <v>7</v>
      </c>
      <c r="C10" s="347">
        <v>59</v>
      </c>
      <c r="D10" s="347">
        <v>1</v>
      </c>
      <c r="E10" s="347">
        <v>9</v>
      </c>
      <c r="F10" s="347">
        <v>10576</v>
      </c>
      <c r="G10" s="347">
        <v>0</v>
      </c>
      <c r="H10" s="347">
        <v>0</v>
      </c>
      <c r="I10" s="347">
        <v>0</v>
      </c>
      <c r="J10" s="347">
        <v>0</v>
      </c>
      <c r="K10" s="347">
        <v>0</v>
      </c>
      <c r="L10" s="347">
        <v>0</v>
      </c>
      <c r="M10" s="347">
        <v>0</v>
      </c>
      <c r="N10" s="347">
        <v>0</v>
      </c>
      <c r="O10" s="347">
        <v>0</v>
      </c>
      <c r="P10" s="347">
        <v>0</v>
      </c>
      <c r="Q10" s="347">
        <v>3525</v>
      </c>
      <c r="R10" s="347">
        <v>3525</v>
      </c>
      <c r="S10" s="347">
        <v>3526</v>
      </c>
      <c r="T10" s="347">
        <v>0</v>
      </c>
      <c r="U10" s="347">
        <v>0</v>
      </c>
      <c r="V10" s="347">
        <v>0</v>
      </c>
      <c r="W10" s="347">
        <v>0</v>
      </c>
      <c r="X10" s="347">
        <v>0</v>
      </c>
      <c r="Y10" s="347">
        <v>0</v>
      </c>
      <c r="Z10" s="347">
        <v>0</v>
      </c>
      <c r="AA10" s="347">
        <v>0</v>
      </c>
      <c r="AB10" s="347">
        <v>0</v>
      </c>
      <c r="AC10" s="347">
        <v>0</v>
      </c>
      <c r="AD10" s="347">
        <v>0</v>
      </c>
      <c r="AE10" s="347">
        <v>0</v>
      </c>
      <c r="AF10" s="347">
        <v>0</v>
      </c>
      <c r="AG10" s="347">
        <v>0</v>
      </c>
      <c r="AH10" s="347">
        <v>0</v>
      </c>
      <c r="AI10" s="347">
        <v>0</v>
      </c>
      <c r="AJ10" s="347">
        <v>0</v>
      </c>
      <c r="AK10" s="347">
        <v>0</v>
      </c>
      <c r="AL10" s="347">
        <v>0</v>
      </c>
      <c r="AM10" s="347">
        <v>0</v>
      </c>
      <c r="AN10" s="347">
        <v>0</v>
      </c>
      <c r="AO10" s="347">
        <v>0</v>
      </c>
      <c r="AP10" s="347">
        <v>0</v>
      </c>
      <c r="AQ10" s="347">
        <v>0</v>
      </c>
      <c r="AR10" s="347">
        <v>0</v>
      </c>
      <c r="AS10" s="347">
        <v>0</v>
      </c>
      <c r="AT10" s="347">
        <v>0</v>
      </c>
      <c r="AU10" s="347">
        <v>0</v>
      </c>
      <c r="AV10" s="347">
        <v>0</v>
      </c>
      <c r="AW10" s="347">
        <v>0</v>
      </c>
    </row>
    <row r="11" spans="1:49" x14ac:dyDescent="0.3">
      <c r="A11" s="347" t="s">
        <v>194</v>
      </c>
      <c r="B11" s="370">
        <v>8</v>
      </c>
      <c r="C11" s="347">
        <v>59</v>
      </c>
      <c r="D11" s="347">
        <v>1</v>
      </c>
      <c r="E11" s="347">
        <v>10</v>
      </c>
      <c r="F11" s="347">
        <v>7528</v>
      </c>
      <c r="G11" s="347">
        <v>0</v>
      </c>
      <c r="H11" s="347">
        <v>7528</v>
      </c>
      <c r="I11" s="347">
        <v>0</v>
      </c>
      <c r="J11" s="347">
        <v>0</v>
      </c>
      <c r="K11" s="347">
        <v>0</v>
      </c>
      <c r="L11" s="347">
        <v>0</v>
      </c>
      <c r="M11" s="347">
        <v>0</v>
      </c>
      <c r="N11" s="347">
        <v>0</v>
      </c>
      <c r="O11" s="347">
        <v>0</v>
      </c>
      <c r="P11" s="347">
        <v>0</v>
      </c>
      <c r="Q11" s="347">
        <v>0</v>
      </c>
      <c r="R11" s="347">
        <v>0</v>
      </c>
      <c r="S11" s="347">
        <v>0</v>
      </c>
      <c r="T11" s="347">
        <v>0</v>
      </c>
      <c r="U11" s="347">
        <v>0</v>
      </c>
      <c r="V11" s="347">
        <v>0</v>
      </c>
      <c r="W11" s="347">
        <v>0</v>
      </c>
      <c r="X11" s="347">
        <v>0</v>
      </c>
      <c r="Y11" s="347">
        <v>0</v>
      </c>
      <c r="Z11" s="347">
        <v>0</v>
      </c>
      <c r="AA11" s="347">
        <v>0</v>
      </c>
      <c r="AB11" s="347">
        <v>0</v>
      </c>
      <c r="AC11" s="347">
        <v>0</v>
      </c>
      <c r="AD11" s="347">
        <v>0</v>
      </c>
      <c r="AE11" s="347">
        <v>0</v>
      </c>
      <c r="AF11" s="347">
        <v>0</v>
      </c>
      <c r="AG11" s="347">
        <v>0</v>
      </c>
      <c r="AH11" s="347">
        <v>0</v>
      </c>
      <c r="AI11" s="347">
        <v>0</v>
      </c>
      <c r="AJ11" s="347">
        <v>0</v>
      </c>
      <c r="AK11" s="347">
        <v>0</v>
      </c>
      <c r="AL11" s="347">
        <v>0</v>
      </c>
      <c r="AM11" s="347">
        <v>0</v>
      </c>
      <c r="AN11" s="347">
        <v>0</v>
      </c>
      <c r="AO11" s="347">
        <v>0</v>
      </c>
      <c r="AP11" s="347">
        <v>0</v>
      </c>
      <c r="AQ11" s="347">
        <v>0</v>
      </c>
      <c r="AR11" s="347">
        <v>0</v>
      </c>
      <c r="AS11" s="347">
        <v>0</v>
      </c>
      <c r="AT11" s="347">
        <v>0</v>
      </c>
      <c r="AU11" s="347">
        <v>0</v>
      </c>
      <c r="AV11" s="347">
        <v>0</v>
      </c>
      <c r="AW11" s="347">
        <v>0</v>
      </c>
    </row>
    <row r="12" spans="1:49" x14ac:dyDescent="0.3">
      <c r="A12" s="347" t="s">
        <v>195</v>
      </c>
      <c r="B12" s="370">
        <v>9</v>
      </c>
      <c r="C12" s="347">
        <v>59</v>
      </c>
      <c r="D12" s="347">
        <v>1</v>
      </c>
      <c r="E12" s="347">
        <v>11</v>
      </c>
      <c r="F12" s="347">
        <v>10483.491687055021</v>
      </c>
      <c r="G12" s="347">
        <v>2150.158353721687</v>
      </c>
      <c r="H12" s="347">
        <v>8333.3333333333339</v>
      </c>
      <c r="I12" s="347">
        <v>0</v>
      </c>
      <c r="J12" s="347">
        <v>0</v>
      </c>
      <c r="K12" s="347">
        <v>0</v>
      </c>
      <c r="L12" s="347">
        <v>0</v>
      </c>
      <c r="M12" s="347">
        <v>0</v>
      </c>
      <c r="N12" s="347">
        <v>0</v>
      </c>
      <c r="O12" s="347">
        <v>0</v>
      </c>
      <c r="P12" s="347">
        <v>0</v>
      </c>
      <c r="Q12" s="347">
        <v>0</v>
      </c>
      <c r="R12" s="347">
        <v>0</v>
      </c>
      <c r="S12" s="347">
        <v>0</v>
      </c>
      <c r="T12" s="347">
        <v>0</v>
      </c>
      <c r="U12" s="347">
        <v>0</v>
      </c>
      <c r="V12" s="347">
        <v>0</v>
      </c>
      <c r="W12" s="347">
        <v>0</v>
      </c>
      <c r="X12" s="347">
        <v>0</v>
      </c>
      <c r="Y12" s="347">
        <v>0</v>
      </c>
      <c r="Z12" s="347">
        <v>0</v>
      </c>
      <c r="AA12" s="347">
        <v>0</v>
      </c>
      <c r="AB12" s="347">
        <v>0</v>
      </c>
      <c r="AC12" s="347">
        <v>0</v>
      </c>
      <c r="AD12" s="347">
        <v>0</v>
      </c>
      <c r="AE12" s="347">
        <v>0</v>
      </c>
      <c r="AF12" s="347">
        <v>0</v>
      </c>
      <c r="AG12" s="347">
        <v>0</v>
      </c>
      <c r="AH12" s="347">
        <v>0</v>
      </c>
      <c r="AI12" s="347">
        <v>0</v>
      </c>
      <c r="AJ12" s="347">
        <v>0</v>
      </c>
      <c r="AK12" s="347">
        <v>0</v>
      </c>
      <c r="AL12" s="347">
        <v>0</v>
      </c>
      <c r="AM12" s="347">
        <v>0</v>
      </c>
      <c r="AN12" s="347">
        <v>0</v>
      </c>
      <c r="AO12" s="347">
        <v>0</v>
      </c>
      <c r="AP12" s="347">
        <v>0</v>
      </c>
      <c r="AQ12" s="347">
        <v>0</v>
      </c>
      <c r="AR12" s="347">
        <v>0</v>
      </c>
      <c r="AS12" s="347">
        <v>0</v>
      </c>
      <c r="AT12" s="347">
        <v>0</v>
      </c>
      <c r="AU12" s="347">
        <v>0</v>
      </c>
      <c r="AV12" s="347">
        <v>0</v>
      </c>
      <c r="AW12" s="347">
        <v>0</v>
      </c>
    </row>
    <row r="13" spans="1:49" x14ac:dyDescent="0.3">
      <c r="A13" s="347" t="s">
        <v>196</v>
      </c>
      <c r="B13" s="370">
        <v>10</v>
      </c>
      <c r="C13" s="347">
        <v>59</v>
      </c>
      <c r="D13" s="347">
        <v>2</v>
      </c>
      <c r="E13" s="347">
        <v>1</v>
      </c>
      <c r="F13" s="347">
        <v>59.05</v>
      </c>
      <c r="G13" s="347">
        <v>0</v>
      </c>
      <c r="H13" s="347">
        <v>0</v>
      </c>
      <c r="I13" s="347">
        <v>1</v>
      </c>
      <c r="J13" s="347">
        <v>0</v>
      </c>
      <c r="K13" s="347">
        <v>1</v>
      </c>
      <c r="L13" s="347">
        <v>7.3</v>
      </c>
      <c r="M13" s="347">
        <v>0</v>
      </c>
      <c r="N13" s="347">
        <v>0</v>
      </c>
      <c r="O13" s="347">
        <v>0</v>
      </c>
      <c r="P13" s="347">
        <v>0</v>
      </c>
      <c r="Q13" s="347">
        <v>18.5</v>
      </c>
      <c r="R13" s="347">
        <v>18</v>
      </c>
      <c r="S13" s="347">
        <v>7.25</v>
      </c>
      <c r="T13" s="347">
        <v>0</v>
      </c>
      <c r="U13" s="347">
        <v>0</v>
      </c>
      <c r="V13" s="347">
        <v>0</v>
      </c>
      <c r="W13" s="347">
        <v>0</v>
      </c>
      <c r="X13" s="347">
        <v>0</v>
      </c>
      <c r="Y13" s="347">
        <v>0</v>
      </c>
      <c r="Z13" s="347">
        <v>0</v>
      </c>
      <c r="AA13" s="347">
        <v>0</v>
      </c>
      <c r="AB13" s="347">
        <v>0</v>
      </c>
      <c r="AC13" s="347">
        <v>0</v>
      </c>
      <c r="AD13" s="347">
        <v>0</v>
      </c>
      <c r="AE13" s="347">
        <v>0</v>
      </c>
      <c r="AF13" s="347">
        <v>0</v>
      </c>
      <c r="AG13" s="347">
        <v>0</v>
      </c>
      <c r="AH13" s="347">
        <v>0</v>
      </c>
      <c r="AI13" s="347">
        <v>0</v>
      </c>
      <c r="AJ13" s="347">
        <v>0</v>
      </c>
      <c r="AK13" s="347">
        <v>0</v>
      </c>
      <c r="AL13" s="347">
        <v>0</v>
      </c>
      <c r="AM13" s="347">
        <v>0</v>
      </c>
      <c r="AN13" s="347">
        <v>0</v>
      </c>
      <c r="AO13" s="347">
        <v>0</v>
      </c>
      <c r="AP13" s="347">
        <v>0</v>
      </c>
      <c r="AQ13" s="347">
        <v>3</v>
      </c>
      <c r="AR13" s="347">
        <v>0</v>
      </c>
      <c r="AS13" s="347">
        <v>0</v>
      </c>
      <c r="AT13" s="347">
        <v>3</v>
      </c>
      <c r="AU13" s="347">
        <v>0</v>
      </c>
      <c r="AV13" s="347">
        <v>0</v>
      </c>
      <c r="AW13" s="347">
        <v>0</v>
      </c>
    </row>
    <row r="14" spans="1:49" x14ac:dyDescent="0.3">
      <c r="A14" s="347" t="s">
        <v>197</v>
      </c>
      <c r="B14" s="370">
        <v>11</v>
      </c>
      <c r="C14" s="347">
        <v>59</v>
      </c>
      <c r="D14" s="347">
        <v>2</v>
      </c>
      <c r="E14" s="347">
        <v>2</v>
      </c>
      <c r="F14" s="347">
        <v>8065.6</v>
      </c>
      <c r="G14" s="347">
        <v>0</v>
      </c>
      <c r="H14" s="347">
        <v>0</v>
      </c>
      <c r="I14" s="347">
        <v>160</v>
      </c>
      <c r="J14" s="347">
        <v>0</v>
      </c>
      <c r="K14" s="347">
        <v>150</v>
      </c>
      <c r="L14" s="347">
        <v>986.52</v>
      </c>
      <c r="M14" s="347">
        <v>0</v>
      </c>
      <c r="N14" s="347">
        <v>0</v>
      </c>
      <c r="O14" s="347">
        <v>0</v>
      </c>
      <c r="P14" s="347">
        <v>0</v>
      </c>
      <c r="Q14" s="347">
        <v>2499</v>
      </c>
      <c r="R14" s="347">
        <v>2356.56</v>
      </c>
      <c r="S14" s="347">
        <v>1073.52</v>
      </c>
      <c r="T14" s="347">
        <v>0</v>
      </c>
      <c r="U14" s="347">
        <v>0</v>
      </c>
      <c r="V14" s="347">
        <v>0</v>
      </c>
      <c r="W14" s="347">
        <v>0</v>
      </c>
      <c r="X14" s="347">
        <v>0</v>
      </c>
      <c r="Y14" s="347">
        <v>0</v>
      </c>
      <c r="Z14" s="347">
        <v>0</v>
      </c>
      <c r="AA14" s="347">
        <v>0</v>
      </c>
      <c r="AB14" s="347">
        <v>0</v>
      </c>
      <c r="AC14" s="347">
        <v>0</v>
      </c>
      <c r="AD14" s="347">
        <v>0</v>
      </c>
      <c r="AE14" s="347">
        <v>0</v>
      </c>
      <c r="AF14" s="347">
        <v>0</v>
      </c>
      <c r="AG14" s="347">
        <v>0</v>
      </c>
      <c r="AH14" s="347">
        <v>0</v>
      </c>
      <c r="AI14" s="347">
        <v>0</v>
      </c>
      <c r="AJ14" s="347">
        <v>0</v>
      </c>
      <c r="AK14" s="347">
        <v>0</v>
      </c>
      <c r="AL14" s="347">
        <v>0</v>
      </c>
      <c r="AM14" s="347">
        <v>0</v>
      </c>
      <c r="AN14" s="347">
        <v>0</v>
      </c>
      <c r="AO14" s="347">
        <v>0</v>
      </c>
      <c r="AP14" s="347">
        <v>0</v>
      </c>
      <c r="AQ14" s="347">
        <v>390</v>
      </c>
      <c r="AR14" s="347">
        <v>0</v>
      </c>
      <c r="AS14" s="347">
        <v>0</v>
      </c>
      <c r="AT14" s="347">
        <v>450</v>
      </c>
      <c r="AU14" s="347">
        <v>0</v>
      </c>
      <c r="AV14" s="347">
        <v>0</v>
      </c>
      <c r="AW14" s="347">
        <v>0</v>
      </c>
    </row>
    <row r="15" spans="1:49" x14ac:dyDescent="0.3">
      <c r="A15" s="347" t="s">
        <v>198</v>
      </c>
      <c r="B15" s="370">
        <v>12</v>
      </c>
      <c r="C15" s="347">
        <v>59</v>
      </c>
      <c r="D15" s="347">
        <v>2</v>
      </c>
      <c r="E15" s="347">
        <v>3</v>
      </c>
      <c r="F15" s="347">
        <v>205.27</v>
      </c>
      <c r="G15" s="347">
        <v>0</v>
      </c>
      <c r="H15" s="347">
        <v>0</v>
      </c>
      <c r="I15" s="347">
        <v>0</v>
      </c>
      <c r="J15" s="347">
        <v>0</v>
      </c>
      <c r="K15" s="347">
        <v>0</v>
      </c>
      <c r="L15" s="347">
        <v>38.21</v>
      </c>
      <c r="M15" s="347">
        <v>0</v>
      </c>
      <c r="N15" s="347">
        <v>0</v>
      </c>
      <c r="O15" s="347">
        <v>0</v>
      </c>
      <c r="P15" s="347">
        <v>0</v>
      </c>
      <c r="Q15" s="347">
        <v>49.5</v>
      </c>
      <c r="R15" s="347">
        <v>80.81</v>
      </c>
      <c r="S15" s="347">
        <v>36.75</v>
      </c>
      <c r="T15" s="347">
        <v>0</v>
      </c>
      <c r="U15" s="347">
        <v>0</v>
      </c>
      <c r="V15" s="347">
        <v>0</v>
      </c>
      <c r="W15" s="347">
        <v>0</v>
      </c>
      <c r="X15" s="347">
        <v>0</v>
      </c>
      <c r="Y15" s="347">
        <v>0</v>
      </c>
      <c r="Z15" s="347">
        <v>0</v>
      </c>
      <c r="AA15" s="347">
        <v>0</v>
      </c>
      <c r="AB15" s="347">
        <v>0</v>
      </c>
      <c r="AC15" s="347">
        <v>0</v>
      </c>
      <c r="AD15" s="347">
        <v>0</v>
      </c>
      <c r="AE15" s="347">
        <v>0</v>
      </c>
      <c r="AF15" s="347">
        <v>0</v>
      </c>
      <c r="AG15" s="347">
        <v>0</v>
      </c>
      <c r="AH15" s="347">
        <v>0</v>
      </c>
      <c r="AI15" s="347">
        <v>0</v>
      </c>
      <c r="AJ15" s="347">
        <v>0</v>
      </c>
      <c r="AK15" s="347">
        <v>0</v>
      </c>
      <c r="AL15" s="347">
        <v>0</v>
      </c>
      <c r="AM15" s="347">
        <v>0</v>
      </c>
      <c r="AN15" s="347">
        <v>0</v>
      </c>
      <c r="AO15" s="347">
        <v>0</v>
      </c>
      <c r="AP15" s="347">
        <v>0</v>
      </c>
      <c r="AQ15" s="347">
        <v>0</v>
      </c>
      <c r="AR15" s="347">
        <v>0</v>
      </c>
      <c r="AS15" s="347">
        <v>0</v>
      </c>
      <c r="AT15" s="347">
        <v>0</v>
      </c>
      <c r="AU15" s="347">
        <v>0</v>
      </c>
      <c r="AV15" s="347">
        <v>0</v>
      </c>
      <c r="AW15" s="347">
        <v>0</v>
      </c>
    </row>
    <row r="16" spans="1:49" x14ac:dyDescent="0.3">
      <c r="A16" s="347" t="s">
        <v>186</v>
      </c>
      <c r="B16" s="370">
        <v>2017</v>
      </c>
      <c r="C16" s="347">
        <v>59</v>
      </c>
      <c r="D16" s="347">
        <v>2</v>
      </c>
      <c r="E16" s="347">
        <v>4</v>
      </c>
      <c r="F16" s="347">
        <v>426</v>
      </c>
      <c r="G16" s="347">
        <v>0</v>
      </c>
      <c r="H16" s="347">
        <v>0</v>
      </c>
      <c r="I16" s="347">
        <v>0</v>
      </c>
      <c r="J16" s="347">
        <v>0</v>
      </c>
      <c r="K16" s="347">
        <v>22</v>
      </c>
      <c r="L16" s="347">
        <v>131</v>
      </c>
      <c r="M16" s="347">
        <v>0</v>
      </c>
      <c r="N16" s="347">
        <v>0</v>
      </c>
      <c r="O16" s="347">
        <v>0</v>
      </c>
      <c r="P16" s="347">
        <v>0</v>
      </c>
      <c r="Q16" s="347">
        <v>70</v>
      </c>
      <c r="R16" s="347">
        <v>94</v>
      </c>
      <c r="S16" s="347">
        <v>15</v>
      </c>
      <c r="T16" s="347">
        <v>0</v>
      </c>
      <c r="U16" s="347">
        <v>0</v>
      </c>
      <c r="V16" s="347">
        <v>0</v>
      </c>
      <c r="W16" s="347">
        <v>0</v>
      </c>
      <c r="X16" s="347">
        <v>0</v>
      </c>
      <c r="Y16" s="347">
        <v>0</v>
      </c>
      <c r="Z16" s="347">
        <v>0</v>
      </c>
      <c r="AA16" s="347">
        <v>0</v>
      </c>
      <c r="AB16" s="347">
        <v>0</v>
      </c>
      <c r="AC16" s="347">
        <v>0</v>
      </c>
      <c r="AD16" s="347">
        <v>0</v>
      </c>
      <c r="AE16" s="347">
        <v>0</v>
      </c>
      <c r="AF16" s="347">
        <v>0</v>
      </c>
      <c r="AG16" s="347">
        <v>0</v>
      </c>
      <c r="AH16" s="347">
        <v>0</v>
      </c>
      <c r="AI16" s="347">
        <v>0</v>
      </c>
      <c r="AJ16" s="347">
        <v>0</v>
      </c>
      <c r="AK16" s="347">
        <v>0</v>
      </c>
      <c r="AL16" s="347">
        <v>0</v>
      </c>
      <c r="AM16" s="347">
        <v>0</v>
      </c>
      <c r="AN16" s="347">
        <v>0</v>
      </c>
      <c r="AO16" s="347">
        <v>0</v>
      </c>
      <c r="AP16" s="347">
        <v>0</v>
      </c>
      <c r="AQ16" s="347">
        <v>49</v>
      </c>
      <c r="AR16" s="347">
        <v>0</v>
      </c>
      <c r="AS16" s="347">
        <v>0</v>
      </c>
      <c r="AT16" s="347">
        <v>45</v>
      </c>
      <c r="AU16" s="347">
        <v>0</v>
      </c>
      <c r="AV16" s="347">
        <v>0</v>
      </c>
      <c r="AW16" s="347">
        <v>0</v>
      </c>
    </row>
    <row r="17" spans="3:49" x14ac:dyDescent="0.3">
      <c r="C17" s="347">
        <v>59</v>
      </c>
      <c r="D17" s="347">
        <v>2</v>
      </c>
      <c r="E17" s="347">
        <v>5</v>
      </c>
      <c r="F17" s="347">
        <v>48</v>
      </c>
      <c r="G17" s="347">
        <v>0</v>
      </c>
      <c r="H17" s="347">
        <v>0</v>
      </c>
      <c r="I17" s="347">
        <v>0</v>
      </c>
      <c r="J17" s="347">
        <v>0</v>
      </c>
      <c r="K17" s="347">
        <v>0</v>
      </c>
      <c r="L17" s="347">
        <v>0</v>
      </c>
      <c r="M17" s="347">
        <v>0</v>
      </c>
      <c r="N17" s="347">
        <v>0</v>
      </c>
      <c r="O17" s="347">
        <v>0</v>
      </c>
      <c r="P17" s="347">
        <v>0</v>
      </c>
      <c r="Q17" s="347">
        <v>0</v>
      </c>
      <c r="R17" s="347">
        <v>48</v>
      </c>
      <c r="S17" s="347">
        <v>0</v>
      </c>
      <c r="T17" s="347">
        <v>0</v>
      </c>
      <c r="U17" s="347">
        <v>0</v>
      </c>
      <c r="V17" s="347">
        <v>0</v>
      </c>
      <c r="W17" s="347">
        <v>0</v>
      </c>
      <c r="X17" s="347">
        <v>0</v>
      </c>
      <c r="Y17" s="347">
        <v>0</v>
      </c>
      <c r="Z17" s="347">
        <v>0</v>
      </c>
      <c r="AA17" s="347">
        <v>0</v>
      </c>
      <c r="AB17" s="347">
        <v>0</v>
      </c>
      <c r="AC17" s="347">
        <v>0</v>
      </c>
      <c r="AD17" s="347">
        <v>0</v>
      </c>
      <c r="AE17" s="347">
        <v>0</v>
      </c>
      <c r="AF17" s="347">
        <v>0</v>
      </c>
      <c r="AG17" s="347">
        <v>0</v>
      </c>
      <c r="AH17" s="347">
        <v>0</v>
      </c>
      <c r="AI17" s="347">
        <v>0</v>
      </c>
      <c r="AJ17" s="347">
        <v>0</v>
      </c>
      <c r="AK17" s="347">
        <v>0</v>
      </c>
      <c r="AL17" s="347">
        <v>0</v>
      </c>
      <c r="AM17" s="347">
        <v>0</v>
      </c>
      <c r="AN17" s="347">
        <v>0</v>
      </c>
      <c r="AO17" s="347">
        <v>0</v>
      </c>
      <c r="AP17" s="347">
        <v>0</v>
      </c>
      <c r="AQ17" s="347">
        <v>0</v>
      </c>
      <c r="AR17" s="347">
        <v>0</v>
      </c>
      <c r="AS17" s="347">
        <v>0</v>
      </c>
      <c r="AT17" s="347">
        <v>0</v>
      </c>
      <c r="AU17" s="347">
        <v>0</v>
      </c>
      <c r="AV17" s="347">
        <v>0</v>
      </c>
      <c r="AW17" s="347">
        <v>0</v>
      </c>
    </row>
    <row r="18" spans="3:49" x14ac:dyDescent="0.3">
      <c r="C18" s="347">
        <v>59</v>
      </c>
      <c r="D18" s="347">
        <v>2</v>
      </c>
      <c r="E18" s="347">
        <v>6</v>
      </c>
      <c r="F18" s="347">
        <v>2582123</v>
      </c>
      <c r="G18" s="347">
        <v>0</v>
      </c>
      <c r="H18" s="347">
        <v>0</v>
      </c>
      <c r="I18" s="347">
        <v>28110</v>
      </c>
      <c r="J18" s="347">
        <v>0</v>
      </c>
      <c r="K18" s="347">
        <v>52503</v>
      </c>
      <c r="L18" s="347">
        <v>677722</v>
      </c>
      <c r="M18" s="347">
        <v>0</v>
      </c>
      <c r="N18" s="347">
        <v>0</v>
      </c>
      <c r="O18" s="347">
        <v>0</v>
      </c>
      <c r="P18" s="347">
        <v>0</v>
      </c>
      <c r="Q18" s="347">
        <v>563550</v>
      </c>
      <c r="R18" s="347">
        <v>750619</v>
      </c>
      <c r="S18" s="347">
        <v>342093</v>
      </c>
      <c r="T18" s="347">
        <v>0</v>
      </c>
      <c r="U18" s="347">
        <v>0</v>
      </c>
      <c r="V18" s="347">
        <v>0</v>
      </c>
      <c r="W18" s="347">
        <v>0</v>
      </c>
      <c r="X18" s="347">
        <v>0</v>
      </c>
      <c r="Y18" s="347">
        <v>0</v>
      </c>
      <c r="Z18" s="347">
        <v>0</v>
      </c>
      <c r="AA18" s="347">
        <v>0</v>
      </c>
      <c r="AB18" s="347">
        <v>0</v>
      </c>
      <c r="AC18" s="347">
        <v>0</v>
      </c>
      <c r="AD18" s="347">
        <v>0</v>
      </c>
      <c r="AE18" s="347">
        <v>0</v>
      </c>
      <c r="AF18" s="347">
        <v>0</v>
      </c>
      <c r="AG18" s="347">
        <v>0</v>
      </c>
      <c r="AH18" s="347">
        <v>0</v>
      </c>
      <c r="AI18" s="347">
        <v>0</v>
      </c>
      <c r="AJ18" s="347">
        <v>0</v>
      </c>
      <c r="AK18" s="347">
        <v>0</v>
      </c>
      <c r="AL18" s="347">
        <v>0</v>
      </c>
      <c r="AM18" s="347">
        <v>0</v>
      </c>
      <c r="AN18" s="347">
        <v>0</v>
      </c>
      <c r="AO18" s="347">
        <v>0</v>
      </c>
      <c r="AP18" s="347">
        <v>0</v>
      </c>
      <c r="AQ18" s="347">
        <v>85119</v>
      </c>
      <c r="AR18" s="347">
        <v>0</v>
      </c>
      <c r="AS18" s="347">
        <v>0</v>
      </c>
      <c r="AT18" s="347">
        <v>82407</v>
      </c>
      <c r="AU18" s="347">
        <v>0</v>
      </c>
      <c r="AV18" s="347">
        <v>0</v>
      </c>
      <c r="AW18" s="347">
        <v>0</v>
      </c>
    </row>
    <row r="19" spans="3:49" x14ac:dyDescent="0.3">
      <c r="C19" s="347">
        <v>59</v>
      </c>
      <c r="D19" s="347">
        <v>2</v>
      </c>
      <c r="E19" s="347">
        <v>9</v>
      </c>
      <c r="F19" s="347">
        <v>10576</v>
      </c>
      <c r="G19" s="347">
        <v>0</v>
      </c>
      <c r="H19" s="347">
        <v>0</v>
      </c>
      <c r="I19" s="347">
        <v>0</v>
      </c>
      <c r="J19" s="347">
        <v>0</v>
      </c>
      <c r="K19" s="347">
        <v>0</v>
      </c>
      <c r="L19" s="347">
        <v>0</v>
      </c>
      <c r="M19" s="347">
        <v>0</v>
      </c>
      <c r="N19" s="347">
        <v>0</v>
      </c>
      <c r="O19" s="347">
        <v>0</v>
      </c>
      <c r="P19" s="347">
        <v>0</v>
      </c>
      <c r="Q19" s="347">
        <v>6576</v>
      </c>
      <c r="R19" s="347">
        <v>0</v>
      </c>
      <c r="S19" s="347">
        <v>4000</v>
      </c>
      <c r="T19" s="347">
        <v>0</v>
      </c>
      <c r="U19" s="347">
        <v>0</v>
      </c>
      <c r="V19" s="347">
        <v>0</v>
      </c>
      <c r="W19" s="347">
        <v>0</v>
      </c>
      <c r="X19" s="347">
        <v>0</v>
      </c>
      <c r="Y19" s="347">
        <v>0</v>
      </c>
      <c r="Z19" s="347">
        <v>0</v>
      </c>
      <c r="AA19" s="347">
        <v>0</v>
      </c>
      <c r="AB19" s="347">
        <v>0</v>
      </c>
      <c r="AC19" s="347">
        <v>0</v>
      </c>
      <c r="AD19" s="347">
        <v>0</v>
      </c>
      <c r="AE19" s="347">
        <v>0</v>
      </c>
      <c r="AF19" s="347">
        <v>0</v>
      </c>
      <c r="AG19" s="347">
        <v>0</v>
      </c>
      <c r="AH19" s="347">
        <v>0</v>
      </c>
      <c r="AI19" s="347">
        <v>0</v>
      </c>
      <c r="AJ19" s="347">
        <v>0</v>
      </c>
      <c r="AK19" s="347">
        <v>0</v>
      </c>
      <c r="AL19" s="347">
        <v>0</v>
      </c>
      <c r="AM19" s="347">
        <v>0</v>
      </c>
      <c r="AN19" s="347">
        <v>0</v>
      </c>
      <c r="AO19" s="347">
        <v>0</v>
      </c>
      <c r="AP19" s="347">
        <v>0</v>
      </c>
      <c r="AQ19" s="347">
        <v>0</v>
      </c>
      <c r="AR19" s="347">
        <v>0</v>
      </c>
      <c r="AS19" s="347">
        <v>0</v>
      </c>
      <c r="AT19" s="347">
        <v>0</v>
      </c>
      <c r="AU19" s="347">
        <v>0</v>
      </c>
      <c r="AV19" s="347">
        <v>0</v>
      </c>
      <c r="AW19" s="347">
        <v>0</v>
      </c>
    </row>
    <row r="20" spans="3:49" x14ac:dyDescent="0.3">
      <c r="C20" s="347">
        <v>59</v>
      </c>
      <c r="D20" s="347">
        <v>2</v>
      </c>
      <c r="E20" s="347">
        <v>10</v>
      </c>
      <c r="F20" s="347">
        <v>11648</v>
      </c>
      <c r="G20" s="347">
        <v>0</v>
      </c>
      <c r="H20" s="347">
        <v>11648</v>
      </c>
      <c r="I20" s="347">
        <v>0</v>
      </c>
      <c r="J20" s="347">
        <v>0</v>
      </c>
      <c r="K20" s="347">
        <v>0</v>
      </c>
      <c r="L20" s="347">
        <v>0</v>
      </c>
      <c r="M20" s="347">
        <v>0</v>
      </c>
      <c r="N20" s="347">
        <v>0</v>
      </c>
      <c r="O20" s="347">
        <v>0</v>
      </c>
      <c r="P20" s="347">
        <v>0</v>
      </c>
      <c r="Q20" s="347">
        <v>0</v>
      </c>
      <c r="R20" s="347">
        <v>0</v>
      </c>
      <c r="S20" s="347">
        <v>0</v>
      </c>
      <c r="T20" s="347">
        <v>0</v>
      </c>
      <c r="U20" s="347">
        <v>0</v>
      </c>
      <c r="V20" s="347">
        <v>0</v>
      </c>
      <c r="W20" s="347">
        <v>0</v>
      </c>
      <c r="X20" s="347">
        <v>0</v>
      </c>
      <c r="Y20" s="347">
        <v>0</v>
      </c>
      <c r="Z20" s="347">
        <v>0</v>
      </c>
      <c r="AA20" s="347">
        <v>0</v>
      </c>
      <c r="AB20" s="347">
        <v>0</v>
      </c>
      <c r="AC20" s="347">
        <v>0</v>
      </c>
      <c r="AD20" s="347">
        <v>0</v>
      </c>
      <c r="AE20" s="347">
        <v>0</v>
      </c>
      <c r="AF20" s="347">
        <v>0</v>
      </c>
      <c r="AG20" s="347">
        <v>0</v>
      </c>
      <c r="AH20" s="347">
        <v>0</v>
      </c>
      <c r="AI20" s="347">
        <v>0</v>
      </c>
      <c r="AJ20" s="347">
        <v>0</v>
      </c>
      <c r="AK20" s="347">
        <v>0</v>
      </c>
      <c r="AL20" s="347">
        <v>0</v>
      </c>
      <c r="AM20" s="347">
        <v>0</v>
      </c>
      <c r="AN20" s="347">
        <v>0</v>
      </c>
      <c r="AO20" s="347">
        <v>0</v>
      </c>
      <c r="AP20" s="347">
        <v>0</v>
      </c>
      <c r="AQ20" s="347">
        <v>0</v>
      </c>
      <c r="AR20" s="347">
        <v>0</v>
      </c>
      <c r="AS20" s="347">
        <v>0</v>
      </c>
      <c r="AT20" s="347">
        <v>0</v>
      </c>
      <c r="AU20" s="347">
        <v>0</v>
      </c>
      <c r="AV20" s="347">
        <v>0</v>
      </c>
      <c r="AW20" s="347">
        <v>0</v>
      </c>
    </row>
    <row r="21" spans="3:49" x14ac:dyDescent="0.3">
      <c r="C21" s="347">
        <v>59</v>
      </c>
      <c r="D21" s="347">
        <v>2</v>
      </c>
      <c r="E21" s="347">
        <v>11</v>
      </c>
      <c r="F21" s="347">
        <v>10483.491687055021</v>
      </c>
      <c r="G21" s="347">
        <v>2150.158353721687</v>
      </c>
      <c r="H21" s="347">
        <v>8333.3333333333339</v>
      </c>
      <c r="I21" s="347">
        <v>0</v>
      </c>
      <c r="J21" s="347">
        <v>0</v>
      </c>
      <c r="K21" s="347">
        <v>0</v>
      </c>
      <c r="L21" s="347">
        <v>0</v>
      </c>
      <c r="M21" s="347">
        <v>0</v>
      </c>
      <c r="N21" s="347">
        <v>0</v>
      </c>
      <c r="O21" s="347">
        <v>0</v>
      </c>
      <c r="P21" s="347">
        <v>0</v>
      </c>
      <c r="Q21" s="347">
        <v>0</v>
      </c>
      <c r="R21" s="347">
        <v>0</v>
      </c>
      <c r="S21" s="347">
        <v>0</v>
      </c>
      <c r="T21" s="347">
        <v>0</v>
      </c>
      <c r="U21" s="347">
        <v>0</v>
      </c>
      <c r="V21" s="347">
        <v>0</v>
      </c>
      <c r="W21" s="347">
        <v>0</v>
      </c>
      <c r="X21" s="347">
        <v>0</v>
      </c>
      <c r="Y21" s="347">
        <v>0</v>
      </c>
      <c r="Z21" s="347">
        <v>0</v>
      </c>
      <c r="AA21" s="347">
        <v>0</v>
      </c>
      <c r="AB21" s="347">
        <v>0</v>
      </c>
      <c r="AC21" s="347">
        <v>0</v>
      </c>
      <c r="AD21" s="347">
        <v>0</v>
      </c>
      <c r="AE21" s="347">
        <v>0</v>
      </c>
      <c r="AF21" s="347">
        <v>0</v>
      </c>
      <c r="AG21" s="347">
        <v>0</v>
      </c>
      <c r="AH21" s="347">
        <v>0</v>
      </c>
      <c r="AI21" s="347">
        <v>0</v>
      </c>
      <c r="AJ21" s="347">
        <v>0</v>
      </c>
      <c r="AK21" s="347">
        <v>0</v>
      </c>
      <c r="AL21" s="347">
        <v>0</v>
      </c>
      <c r="AM21" s="347">
        <v>0</v>
      </c>
      <c r="AN21" s="347">
        <v>0</v>
      </c>
      <c r="AO21" s="347">
        <v>0</v>
      </c>
      <c r="AP21" s="347">
        <v>0</v>
      </c>
      <c r="AQ21" s="347">
        <v>0</v>
      </c>
      <c r="AR21" s="347">
        <v>0</v>
      </c>
      <c r="AS21" s="347">
        <v>0</v>
      </c>
      <c r="AT21" s="347">
        <v>0</v>
      </c>
      <c r="AU21" s="347">
        <v>0</v>
      </c>
      <c r="AV21" s="347">
        <v>0</v>
      </c>
      <c r="AW21" s="347">
        <v>0</v>
      </c>
    </row>
    <row r="22" spans="3:49" x14ac:dyDescent="0.3">
      <c r="C22" s="347">
        <v>59</v>
      </c>
      <c r="D22" s="347">
        <v>3</v>
      </c>
      <c r="E22" s="347">
        <v>1</v>
      </c>
      <c r="F22" s="347">
        <v>59.05</v>
      </c>
      <c r="G22" s="347">
        <v>0</v>
      </c>
      <c r="H22" s="347">
        <v>0</v>
      </c>
      <c r="I22" s="347">
        <v>1</v>
      </c>
      <c r="J22" s="347">
        <v>0</v>
      </c>
      <c r="K22" s="347">
        <v>1</v>
      </c>
      <c r="L22" s="347">
        <v>7.3</v>
      </c>
      <c r="M22" s="347">
        <v>0</v>
      </c>
      <c r="N22" s="347">
        <v>0</v>
      </c>
      <c r="O22" s="347">
        <v>0</v>
      </c>
      <c r="P22" s="347">
        <v>0</v>
      </c>
      <c r="Q22" s="347">
        <v>18.5</v>
      </c>
      <c r="R22" s="347">
        <v>18</v>
      </c>
      <c r="S22" s="347">
        <v>7.25</v>
      </c>
      <c r="T22" s="347">
        <v>0</v>
      </c>
      <c r="U22" s="347">
        <v>0</v>
      </c>
      <c r="V22" s="347">
        <v>0</v>
      </c>
      <c r="W22" s="347">
        <v>0</v>
      </c>
      <c r="X22" s="347">
        <v>0</v>
      </c>
      <c r="Y22" s="347">
        <v>0</v>
      </c>
      <c r="Z22" s="347">
        <v>0</v>
      </c>
      <c r="AA22" s="347">
        <v>0</v>
      </c>
      <c r="AB22" s="347">
        <v>0</v>
      </c>
      <c r="AC22" s="347">
        <v>0</v>
      </c>
      <c r="AD22" s="347">
        <v>0</v>
      </c>
      <c r="AE22" s="347">
        <v>0</v>
      </c>
      <c r="AF22" s="347">
        <v>0</v>
      </c>
      <c r="AG22" s="347">
        <v>0</v>
      </c>
      <c r="AH22" s="347">
        <v>0</v>
      </c>
      <c r="AI22" s="347">
        <v>0</v>
      </c>
      <c r="AJ22" s="347">
        <v>0</v>
      </c>
      <c r="AK22" s="347">
        <v>0</v>
      </c>
      <c r="AL22" s="347">
        <v>0</v>
      </c>
      <c r="AM22" s="347">
        <v>0</v>
      </c>
      <c r="AN22" s="347">
        <v>0</v>
      </c>
      <c r="AO22" s="347">
        <v>0</v>
      </c>
      <c r="AP22" s="347">
        <v>0</v>
      </c>
      <c r="AQ22" s="347">
        <v>3</v>
      </c>
      <c r="AR22" s="347">
        <v>0</v>
      </c>
      <c r="AS22" s="347">
        <v>0</v>
      </c>
      <c r="AT22" s="347">
        <v>3</v>
      </c>
      <c r="AU22" s="347">
        <v>0</v>
      </c>
      <c r="AV22" s="347">
        <v>0</v>
      </c>
      <c r="AW22" s="347">
        <v>0</v>
      </c>
    </row>
    <row r="23" spans="3:49" x14ac:dyDescent="0.3">
      <c r="C23" s="347">
        <v>59</v>
      </c>
      <c r="D23" s="347">
        <v>3</v>
      </c>
      <c r="E23" s="347">
        <v>2</v>
      </c>
      <c r="F23" s="347">
        <v>9028.2199999999993</v>
      </c>
      <c r="G23" s="347">
        <v>0</v>
      </c>
      <c r="H23" s="347">
        <v>0</v>
      </c>
      <c r="I23" s="347">
        <v>184</v>
      </c>
      <c r="J23" s="347">
        <v>0</v>
      </c>
      <c r="K23" s="347">
        <v>136.5</v>
      </c>
      <c r="L23" s="347">
        <v>1087.75</v>
      </c>
      <c r="M23" s="347">
        <v>0</v>
      </c>
      <c r="N23" s="347">
        <v>0</v>
      </c>
      <c r="O23" s="347">
        <v>0</v>
      </c>
      <c r="P23" s="347">
        <v>0</v>
      </c>
      <c r="Q23" s="347">
        <v>2921.25</v>
      </c>
      <c r="R23" s="347">
        <v>2607.0700000000002</v>
      </c>
      <c r="S23" s="347">
        <v>1139.1500000000001</v>
      </c>
      <c r="T23" s="347">
        <v>0</v>
      </c>
      <c r="U23" s="347">
        <v>0</v>
      </c>
      <c r="V23" s="347">
        <v>0</v>
      </c>
      <c r="W23" s="347">
        <v>0</v>
      </c>
      <c r="X23" s="347">
        <v>0</v>
      </c>
      <c r="Y23" s="347">
        <v>0</v>
      </c>
      <c r="Z23" s="347">
        <v>0</v>
      </c>
      <c r="AA23" s="347">
        <v>0</v>
      </c>
      <c r="AB23" s="347">
        <v>0</v>
      </c>
      <c r="AC23" s="347">
        <v>0</v>
      </c>
      <c r="AD23" s="347">
        <v>0</v>
      </c>
      <c r="AE23" s="347">
        <v>0</v>
      </c>
      <c r="AF23" s="347">
        <v>0</v>
      </c>
      <c r="AG23" s="347">
        <v>0</v>
      </c>
      <c r="AH23" s="347">
        <v>0</v>
      </c>
      <c r="AI23" s="347">
        <v>0</v>
      </c>
      <c r="AJ23" s="347">
        <v>0</v>
      </c>
      <c r="AK23" s="347">
        <v>0</v>
      </c>
      <c r="AL23" s="347">
        <v>0</v>
      </c>
      <c r="AM23" s="347">
        <v>0</v>
      </c>
      <c r="AN23" s="347">
        <v>0</v>
      </c>
      <c r="AO23" s="347">
        <v>0</v>
      </c>
      <c r="AP23" s="347">
        <v>0</v>
      </c>
      <c r="AQ23" s="347">
        <v>505.5</v>
      </c>
      <c r="AR23" s="347">
        <v>0</v>
      </c>
      <c r="AS23" s="347">
        <v>0</v>
      </c>
      <c r="AT23" s="347">
        <v>447</v>
      </c>
      <c r="AU23" s="347">
        <v>0</v>
      </c>
      <c r="AV23" s="347">
        <v>0</v>
      </c>
      <c r="AW23" s="347">
        <v>0</v>
      </c>
    </row>
    <row r="24" spans="3:49" x14ac:dyDescent="0.3">
      <c r="C24" s="347">
        <v>59</v>
      </c>
      <c r="D24" s="347">
        <v>3</v>
      </c>
      <c r="E24" s="347">
        <v>3</v>
      </c>
      <c r="F24" s="347">
        <v>237.34</v>
      </c>
      <c r="G24" s="347">
        <v>0</v>
      </c>
      <c r="H24" s="347">
        <v>0</v>
      </c>
      <c r="I24" s="347">
        <v>0</v>
      </c>
      <c r="J24" s="347">
        <v>0</v>
      </c>
      <c r="K24" s="347">
        <v>0</v>
      </c>
      <c r="L24" s="347">
        <v>22</v>
      </c>
      <c r="M24" s="347">
        <v>0</v>
      </c>
      <c r="N24" s="347">
        <v>0</v>
      </c>
      <c r="O24" s="347">
        <v>0</v>
      </c>
      <c r="P24" s="347">
        <v>0</v>
      </c>
      <c r="Q24" s="347">
        <v>66.5</v>
      </c>
      <c r="R24" s="347">
        <v>136.38</v>
      </c>
      <c r="S24" s="347">
        <v>12.46</v>
      </c>
      <c r="T24" s="347">
        <v>0</v>
      </c>
      <c r="U24" s="347">
        <v>0</v>
      </c>
      <c r="V24" s="347">
        <v>0</v>
      </c>
      <c r="W24" s="347">
        <v>0</v>
      </c>
      <c r="X24" s="347">
        <v>0</v>
      </c>
      <c r="Y24" s="347">
        <v>0</v>
      </c>
      <c r="Z24" s="347">
        <v>0</v>
      </c>
      <c r="AA24" s="347">
        <v>0</v>
      </c>
      <c r="AB24" s="347">
        <v>0</v>
      </c>
      <c r="AC24" s="347">
        <v>0</v>
      </c>
      <c r="AD24" s="347">
        <v>0</v>
      </c>
      <c r="AE24" s="347">
        <v>0</v>
      </c>
      <c r="AF24" s="347">
        <v>0</v>
      </c>
      <c r="AG24" s="347">
        <v>0</v>
      </c>
      <c r="AH24" s="347">
        <v>0</v>
      </c>
      <c r="AI24" s="347">
        <v>0</v>
      </c>
      <c r="AJ24" s="347">
        <v>0</v>
      </c>
      <c r="AK24" s="347">
        <v>0</v>
      </c>
      <c r="AL24" s="347">
        <v>0</v>
      </c>
      <c r="AM24" s="347">
        <v>0</v>
      </c>
      <c r="AN24" s="347">
        <v>0</v>
      </c>
      <c r="AO24" s="347">
        <v>0</v>
      </c>
      <c r="AP24" s="347">
        <v>0</v>
      </c>
      <c r="AQ24" s="347">
        <v>0</v>
      </c>
      <c r="AR24" s="347">
        <v>0</v>
      </c>
      <c r="AS24" s="347">
        <v>0</v>
      </c>
      <c r="AT24" s="347">
        <v>0</v>
      </c>
      <c r="AU24" s="347">
        <v>0</v>
      </c>
      <c r="AV24" s="347">
        <v>0</v>
      </c>
      <c r="AW24" s="347">
        <v>0</v>
      </c>
    </row>
    <row r="25" spans="3:49" x14ac:dyDescent="0.3">
      <c r="C25" s="347">
        <v>59</v>
      </c>
      <c r="D25" s="347">
        <v>3</v>
      </c>
      <c r="E25" s="347">
        <v>4</v>
      </c>
      <c r="F25" s="347">
        <v>433</v>
      </c>
      <c r="G25" s="347">
        <v>0</v>
      </c>
      <c r="H25" s="347">
        <v>0</v>
      </c>
      <c r="I25" s="347">
        <v>0</v>
      </c>
      <c r="J25" s="347">
        <v>0</v>
      </c>
      <c r="K25" s="347">
        <v>16</v>
      </c>
      <c r="L25" s="347">
        <v>151</v>
      </c>
      <c r="M25" s="347">
        <v>0</v>
      </c>
      <c r="N25" s="347">
        <v>0</v>
      </c>
      <c r="O25" s="347">
        <v>0</v>
      </c>
      <c r="P25" s="347">
        <v>0</v>
      </c>
      <c r="Q25" s="347">
        <v>110</v>
      </c>
      <c r="R25" s="347">
        <v>106</v>
      </c>
      <c r="S25" s="347">
        <v>10</v>
      </c>
      <c r="T25" s="347">
        <v>0</v>
      </c>
      <c r="U25" s="347">
        <v>0</v>
      </c>
      <c r="V25" s="347">
        <v>0</v>
      </c>
      <c r="W25" s="347">
        <v>0</v>
      </c>
      <c r="X25" s="347">
        <v>0</v>
      </c>
      <c r="Y25" s="347">
        <v>0</v>
      </c>
      <c r="Z25" s="347">
        <v>0</v>
      </c>
      <c r="AA25" s="347">
        <v>0</v>
      </c>
      <c r="AB25" s="347">
        <v>0</v>
      </c>
      <c r="AC25" s="347">
        <v>0</v>
      </c>
      <c r="AD25" s="347">
        <v>0</v>
      </c>
      <c r="AE25" s="347">
        <v>0</v>
      </c>
      <c r="AF25" s="347">
        <v>0</v>
      </c>
      <c r="AG25" s="347">
        <v>0</v>
      </c>
      <c r="AH25" s="347">
        <v>0</v>
      </c>
      <c r="AI25" s="347">
        <v>0</v>
      </c>
      <c r="AJ25" s="347">
        <v>0</v>
      </c>
      <c r="AK25" s="347">
        <v>0</v>
      </c>
      <c r="AL25" s="347">
        <v>0</v>
      </c>
      <c r="AM25" s="347">
        <v>0</v>
      </c>
      <c r="AN25" s="347">
        <v>0</v>
      </c>
      <c r="AO25" s="347">
        <v>0</v>
      </c>
      <c r="AP25" s="347">
        <v>0</v>
      </c>
      <c r="AQ25" s="347">
        <v>30</v>
      </c>
      <c r="AR25" s="347">
        <v>0</v>
      </c>
      <c r="AS25" s="347">
        <v>0</v>
      </c>
      <c r="AT25" s="347">
        <v>10</v>
      </c>
      <c r="AU25" s="347">
        <v>0</v>
      </c>
      <c r="AV25" s="347">
        <v>0</v>
      </c>
      <c r="AW25" s="347">
        <v>0</v>
      </c>
    </row>
    <row r="26" spans="3:49" x14ac:dyDescent="0.3">
      <c r="C26" s="347">
        <v>59</v>
      </c>
      <c r="D26" s="347">
        <v>3</v>
      </c>
      <c r="E26" s="347">
        <v>5</v>
      </c>
      <c r="F26" s="347">
        <v>24</v>
      </c>
      <c r="G26" s="347">
        <v>0</v>
      </c>
      <c r="H26" s="347">
        <v>0</v>
      </c>
      <c r="I26" s="347">
        <v>0</v>
      </c>
      <c r="J26" s="347">
        <v>0</v>
      </c>
      <c r="K26" s="347">
        <v>0</v>
      </c>
      <c r="L26" s="347">
        <v>0</v>
      </c>
      <c r="M26" s="347">
        <v>0</v>
      </c>
      <c r="N26" s="347">
        <v>0</v>
      </c>
      <c r="O26" s="347">
        <v>0</v>
      </c>
      <c r="P26" s="347">
        <v>0</v>
      </c>
      <c r="Q26" s="347">
        <v>0</v>
      </c>
      <c r="R26" s="347">
        <v>24</v>
      </c>
      <c r="S26" s="347">
        <v>0</v>
      </c>
      <c r="T26" s="347">
        <v>0</v>
      </c>
      <c r="U26" s="347">
        <v>0</v>
      </c>
      <c r="V26" s="347">
        <v>0</v>
      </c>
      <c r="W26" s="347">
        <v>0</v>
      </c>
      <c r="X26" s="347">
        <v>0</v>
      </c>
      <c r="Y26" s="347">
        <v>0</v>
      </c>
      <c r="Z26" s="347">
        <v>0</v>
      </c>
      <c r="AA26" s="347">
        <v>0</v>
      </c>
      <c r="AB26" s="347">
        <v>0</v>
      </c>
      <c r="AC26" s="347">
        <v>0</v>
      </c>
      <c r="AD26" s="347">
        <v>0</v>
      </c>
      <c r="AE26" s="347">
        <v>0</v>
      </c>
      <c r="AF26" s="347">
        <v>0</v>
      </c>
      <c r="AG26" s="347">
        <v>0</v>
      </c>
      <c r="AH26" s="347">
        <v>0</v>
      </c>
      <c r="AI26" s="347">
        <v>0</v>
      </c>
      <c r="AJ26" s="347">
        <v>0</v>
      </c>
      <c r="AK26" s="347">
        <v>0</v>
      </c>
      <c r="AL26" s="347">
        <v>0</v>
      </c>
      <c r="AM26" s="347">
        <v>0</v>
      </c>
      <c r="AN26" s="347">
        <v>0</v>
      </c>
      <c r="AO26" s="347">
        <v>0</v>
      </c>
      <c r="AP26" s="347">
        <v>0</v>
      </c>
      <c r="AQ26" s="347">
        <v>0</v>
      </c>
      <c r="AR26" s="347">
        <v>0</v>
      </c>
      <c r="AS26" s="347">
        <v>0</v>
      </c>
      <c r="AT26" s="347">
        <v>0</v>
      </c>
      <c r="AU26" s="347">
        <v>0</v>
      </c>
      <c r="AV26" s="347">
        <v>0</v>
      </c>
      <c r="AW26" s="347">
        <v>0</v>
      </c>
    </row>
    <row r="27" spans="3:49" x14ac:dyDescent="0.3">
      <c r="C27" s="347">
        <v>59</v>
      </c>
      <c r="D27" s="347">
        <v>3</v>
      </c>
      <c r="E27" s="347">
        <v>6</v>
      </c>
      <c r="F27" s="347">
        <v>2560720</v>
      </c>
      <c r="G27" s="347">
        <v>0</v>
      </c>
      <c r="H27" s="347">
        <v>0</v>
      </c>
      <c r="I27" s="347">
        <v>28110</v>
      </c>
      <c r="J27" s="347">
        <v>0</v>
      </c>
      <c r="K27" s="347">
        <v>50617</v>
      </c>
      <c r="L27" s="347">
        <v>667179</v>
      </c>
      <c r="M27" s="347">
        <v>0</v>
      </c>
      <c r="N27" s="347">
        <v>0</v>
      </c>
      <c r="O27" s="347">
        <v>0</v>
      </c>
      <c r="P27" s="347">
        <v>0</v>
      </c>
      <c r="Q27" s="347">
        <v>583966</v>
      </c>
      <c r="R27" s="347">
        <v>749683</v>
      </c>
      <c r="S27" s="347">
        <v>317707</v>
      </c>
      <c r="T27" s="347">
        <v>0</v>
      </c>
      <c r="U27" s="347">
        <v>0</v>
      </c>
      <c r="V27" s="347">
        <v>0</v>
      </c>
      <c r="W27" s="347">
        <v>0</v>
      </c>
      <c r="X27" s="347">
        <v>0</v>
      </c>
      <c r="Y27" s="347">
        <v>0</v>
      </c>
      <c r="Z27" s="347">
        <v>0</v>
      </c>
      <c r="AA27" s="347">
        <v>0</v>
      </c>
      <c r="AB27" s="347">
        <v>0</v>
      </c>
      <c r="AC27" s="347">
        <v>0</v>
      </c>
      <c r="AD27" s="347">
        <v>0</v>
      </c>
      <c r="AE27" s="347">
        <v>0</v>
      </c>
      <c r="AF27" s="347">
        <v>0</v>
      </c>
      <c r="AG27" s="347">
        <v>0</v>
      </c>
      <c r="AH27" s="347">
        <v>0</v>
      </c>
      <c r="AI27" s="347">
        <v>0</v>
      </c>
      <c r="AJ27" s="347">
        <v>0</v>
      </c>
      <c r="AK27" s="347">
        <v>0</v>
      </c>
      <c r="AL27" s="347">
        <v>0</v>
      </c>
      <c r="AM27" s="347">
        <v>0</v>
      </c>
      <c r="AN27" s="347">
        <v>0</v>
      </c>
      <c r="AO27" s="347">
        <v>0</v>
      </c>
      <c r="AP27" s="347">
        <v>0</v>
      </c>
      <c r="AQ27" s="347">
        <v>88067</v>
      </c>
      <c r="AR27" s="347">
        <v>0</v>
      </c>
      <c r="AS27" s="347">
        <v>0</v>
      </c>
      <c r="AT27" s="347">
        <v>75391</v>
      </c>
      <c r="AU27" s="347">
        <v>0</v>
      </c>
      <c r="AV27" s="347">
        <v>0</v>
      </c>
      <c r="AW27" s="347">
        <v>0</v>
      </c>
    </row>
    <row r="28" spans="3:49" x14ac:dyDescent="0.3">
      <c r="C28" s="347">
        <v>59</v>
      </c>
      <c r="D28" s="347">
        <v>3</v>
      </c>
      <c r="E28" s="347">
        <v>9</v>
      </c>
      <c r="F28" s="347">
        <v>10575</v>
      </c>
      <c r="G28" s="347">
        <v>0</v>
      </c>
      <c r="H28" s="347">
        <v>0</v>
      </c>
      <c r="I28" s="347">
        <v>0</v>
      </c>
      <c r="J28" s="347">
        <v>0</v>
      </c>
      <c r="K28" s="347">
        <v>0</v>
      </c>
      <c r="L28" s="347">
        <v>0</v>
      </c>
      <c r="M28" s="347">
        <v>0</v>
      </c>
      <c r="N28" s="347">
        <v>0</v>
      </c>
      <c r="O28" s="347">
        <v>0</v>
      </c>
      <c r="P28" s="347">
        <v>0</v>
      </c>
      <c r="Q28" s="347">
        <v>3525</v>
      </c>
      <c r="R28" s="347">
        <v>7050</v>
      </c>
      <c r="S28" s="347">
        <v>0</v>
      </c>
      <c r="T28" s="347">
        <v>0</v>
      </c>
      <c r="U28" s="347">
        <v>0</v>
      </c>
      <c r="V28" s="347">
        <v>0</v>
      </c>
      <c r="W28" s="347">
        <v>0</v>
      </c>
      <c r="X28" s="347">
        <v>0</v>
      </c>
      <c r="Y28" s="347">
        <v>0</v>
      </c>
      <c r="Z28" s="347">
        <v>0</v>
      </c>
      <c r="AA28" s="347">
        <v>0</v>
      </c>
      <c r="AB28" s="347">
        <v>0</v>
      </c>
      <c r="AC28" s="347">
        <v>0</v>
      </c>
      <c r="AD28" s="347">
        <v>0</v>
      </c>
      <c r="AE28" s="347">
        <v>0</v>
      </c>
      <c r="AF28" s="347">
        <v>0</v>
      </c>
      <c r="AG28" s="347">
        <v>0</v>
      </c>
      <c r="AH28" s="347">
        <v>0</v>
      </c>
      <c r="AI28" s="347">
        <v>0</v>
      </c>
      <c r="AJ28" s="347">
        <v>0</v>
      </c>
      <c r="AK28" s="347">
        <v>0</v>
      </c>
      <c r="AL28" s="347">
        <v>0</v>
      </c>
      <c r="AM28" s="347">
        <v>0</v>
      </c>
      <c r="AN28" s="347">
        <v>0</v>
      </c>
      <c r="AO28" s="347">
        <v>0</v>
      </c>
      <c r="AP28" s="347">
        <v>0</v>
      </c>
      <c r="AQ28" s="347">
        <v>0</v>
      </c>
      <c r="AR28" s="347">
        <v>0</v>
      </c>
      <c r="AS28" s="347">
        <v>0</v>
      </c>
      <c r="AT28" s="347">
        <v>0</v>
      </c>
      <c r="AU28" s="347">
        <v>0</v>
      </c>
      <c r="AV28" s="347">
        <v>0</v>
      </c>
      <c r="AW28" s="347">
        <v>0</v>
      </c>
    </row>
    <row r="29" spans="3:49" x14ac:dyDescent="0.3">
      <c r="C29" s="347">
        <v>59</v>
      </c>
      <c r="D29" s="347">
        <v>3</v>
      </c>
      <c r="E29" s="347">
        <v>10</v>
      </c>
      <c r="F29" s="347">
        <v>1500</v>
      </c>
      <c r="G29" s="347">
        <v>0</v>
      </c>
      <c r="H29" s="347">
        <v>1500</v>
      </c>
      <c r="I29" s="347">
        <v>0</v>
      </c>
      <c r="J29" s="347">
        <v>0</v>
      </c>
      <c r="K29" s="347">
        <v>0</v>
      </c>
      <c r="L29" s="347">
        <v>0</v>
      </c>
      <c r="M29" s="347">
        <v>0</v>
      </c>
      <c r="N29" s="347">
        <v>0</v>
      </c>
      <c r="O29" s="347">
        <v>0</v>
      </c>
      <c r="P29" s="347">
        <v>0</v>
      </c>
      <c r="Q29" s="347">
        <v>0</v>
      </c>
      <c r="R29" s="347">
        <v>0</v>
      </c>
      <c r="S29" s="347">
        <v>0</v>
      </c>
      <c r="T29" s="347">
        <v>0</v>
      </c>
      <c r="U29" s="347">
        <v>0</v>
      </c>
      <c r="V29" s="347">
        <v>0</v>
      </c>
      <c r="W29" s="347">
        <v>0</v>
      </c>
      <c r="X29" s="347">
        <v>0</v>
      </c>
      <c r="Y29" s="347">
        <v>0</v>
      </c>
      <c r="Z29" s="347">
        <v>0</v>
      </c>
      <c r="AA29" s="347">
        <v>0</v>
      </c>
      <c r="AB29" s="347">
        <v>0</v>
      </c>
      <c r="AC29" s="347">
        <v>0</v>
      </c>
      <c r="AD29" s="347">
        <v>0</v>
      </c>
      <c r="AE29" s="347">
        <v>0</v>
      </c>
      <c r="AF29" s="347">
        <v>0</v>
      </c>
      <c r="AG29" s="347">
        <v>0</v>
      </c>
      <c r="AH29" s="347">
        <v>0</v>
      </c>
      <c r="AI29" s="347">
        <v>0</v>
      </c>
      <c r="AJ29" s="347">
        <v>0</v>
      </c>
      <c r="AK29" s="347">
        <v>0</v>
      </c>
      <c r="AL29" s="347">
        <v>0</v>
      </c>
      <c r="AM29" s="347">
        <v>0</v>
      </c>
      <c r="AN29" s="347">
        <v>0</v>
      </c>
      <c r="AO29" s="347">
        <v>0</v>
      </c>
      <c r="AP29" s="347">
        <v>0</v>
      </c>
      <c r="AQ29" s="347">
        <v>0</v>
      </c>
      <c r="AR29" s="347">
        <v>0</v>
      </c>
      <c r="AS29" s="347">
        <v>0</v>
      </c>
      <c r="AT29" s="347">
        <v>0</v>
      </c>
      <c r="AU29" s="347">
        <v>0</v>
      </c>
      <c r="AV29" s="347">
        <v>0</v>
      </c>
      <c r="AW29" s="347">
        <v>0</v>
      </c>
    </row>
    <row r="30" spans="3:49" x14ac:dyDescent="0.3">
      <c r="C30" s="347">
        <v>59</v>
      </c>
      <c r="D30" s="347">
        <v>3</v>
      </c>
      <c r="E30" s="347">
        <v>11</v>
      </c>
      <c r="F30" s="347">
        <v>10483.491687055021</v>
      </c>
      <c r="G30" s="347">
        <v>2150.158353721687</v>
      </c>
      <c r="H30" s="347">
        <v>8333.3333333333339</v>
      </c>
      <c r="I30" s="347">
        <v>0</v>
      </c>
      <c r="J30" s="347">
        <v>0</v>
      </c>
      <c r="K30" s="347">
        <v>0</v>
      </c>
      <c r="L30" s="347">
        <v>0</v>
      </c>
      <c r="M30" s="347">
        <v>0</v>
      </c>
      <c r="N30" s="347">
        <v>0</v>
      </c>
      <c r="O30" s="347">
        <v>0</v>
      </c>
      <c r="P30" s="347">
        <v>0</v>
      </c>
      <c r="Q30" s="347">
        <v>0</v>
      </c>
      <c r="R30" s="347">
        <v>0</v>
      </c>
      <c r="S30" s="347">
        <v>0</v>
      </c>
      <c r="T30" s="347">
        <v>0</v>
      </c>
      <c r="U30" s="347">
        <v>0</v>
      </c>
      <c r="V30" s="347">
        <v>0</v>
      </c>
      <c r="W30" s="347">
        <v>0</v>
      </c>
      <c r="X30" s="347">
        <v>0</v>
      </c>
      <c r="Y30" s="347">
        <v>0</v>
      </c>
      <c r="Z30" s="347">
        <v>0</v>
      </c>
      <c r="AA30" s="347">
        <v>0</v>
      </c>
      <c r="AB30" s="347">
        <v>0</v>
      </c>
      <c r="AC30" s="347">
        <v>0</v>
      </c>
      <c r="AD30" s="347">
        <v>0</v>
      </c>
      <c r="AE30" s="347">
        <v>0</v>
      </c>
      <c r="AF30" s="347">
        <v>0</v>
      </c>
      <c r="AG30" s="347">
        <v>0</v>
      </c>
      <c r="AH30" s="347">
        <v>0</v>
      </c>
      <c r="AI30" s="347">
        <v>0</v>
      </c>
      <c r="AJ30" s="347">
        <v>0</v>
      </c>
      <c r="AK30" s="347">
        <v>0</v>
      </c>
      <c r="AL30" s="347">
        <v>0</v>
      </c>
      <c r="AM30" s="347">
        <v>0</v>
      </c>
      <c r="AN30" s="347">
        <v>0</v>
      </c>
      <c r="AO30" s="347">
        <v>0</v>
      </c>
      <c r="AP30" s="347">
        <v>0</v>
      </c>
      <c r="AQ30" s="347">
        <v>0</v>
      </c>
      <c r="AR30" s="347">
        <v>0</v>
      </c>
      <c r="AS30" s="347">
        <v>0</v>
      </c>
      <c r="AT30" s="347">
        <v>0</v>
      </c>
      <c r="AU30" s="347">
        <v>0</v>
      </c>
      <c r="AV30" s="347">
        <v>0</v>
      </c>
      <c r="AW30" s="347">
        <v>0</v>
      </c>
    </row>
    <row r="31" spans="3:49" x14ac:dyDescent="0.3">
      <c r="C31" s="347">
        <v>59</v>
      </c>
      <c r="D31" s="347">
        <v>4</v>
      </c>
      <c r="E31" s="347">
        <v>1</v>
      </c>
      <c r="F31" s="347">
        <v>60.3</v>
      </c>
      <c r="G31" s="347">
        <v>0</v>
      </c>
      <c r="H31" s="347">
        <v>0</v>
      </c>
      <c r="I31" s="347">
        <v>1</v>
      </c>
      <c r="J31" s="347">
        <v>0</v>
      </c>
      <c r="K31" s="347">
        <v>1</v>
      </c>
      <c r="L31" s="347">
        <v>7.3</v>
      </c>
      <c r="M31" s="347">
        <v>0</v>
      </c>
      <c r="N31" s="347">
        <v>0</v>
      </c>
      <c r="O31" s="347">
        <v>0</v>
      </c>
      <c r="P31" s="347">
        <v>0</v>
      </c>
      <c r="Q31" s="347">
        <v>17.5</v>
      </c>
      <c r="R31" s="347">
        <v>18.25</v>
      </c>
      <c r="S31" s="347">
        <v>9.25</v>
      </c>
      <c r="T31" s="347">
        <v>0</v>
      </c>
      <c r="U31" s="347">
        <v>0</v>
      </c>
      <c r="V31" s="347">
        <v>0</v>
      </c>
      <c r="W31" s="347">
        <v>0</v>
      </c>
      <c r="X31" s="347">
        <v>0</v>
      </c>
      <c r="Y31" s="347">
        <v>0</v>
      </c>
      <c r="Z31" s="347">
        <v>0</v>
      </c>
      <c r="AA31" s="347">
        <v>0</v>
      </c>
      <c r="AB31" s="347">
        <v>0</v>
      </c>
      <c r="AC31" s="347">
        <v>0</v>
      </c>
      <c r="AD31" s="347">
        <v>0</v>
      </c>
      <c r="AE31" s="347">
        <v>0</v>
      </c>
      <c r="AF31" s="347">
        <v>0</v>
      </c>
      <c r="AG31" s="347">
        <v>0</v>
      </c>
      <c r="AH31" s="347">
        <v>0</v>
      </c>
      <c r="AI31" s="347">
        <v>0</v>
      </c>
      <c r="AJ31" s="347">
        <v>0</v>
      </c>
      <c r="AK31" s="347">
        <v>0</v>
      </c>
      <c r="AL31" s="347">
        <v>0</v>
      </c>
      <c r="AM31" s="347">
        <v>0</v>
      </c>
      <c r="AN31" s="347">
        <v>0</v>
      </c>
      <c r="AO31" s="347">
        <v>0</v>
      </c>
      <c r="AP31" s="347">
        <v>0</v>
      </c>
      <c r="AQ31" s="347">
        <v>3</v>
      </c>
      <c r="AR31" s="347">
        <v>0</v>
      </c>
      <c r="AS31" s="347">
        <v>0</v>
      </c>
      <c r="AT31" s="347">
        <v>3</v>
      </c>
      <c r="AU31" s="347">
        <v>0</v>
      </c>
      <c r="AV31" s="347">
        <v>0</v>
      </c>
      <c r="AW31" s="347">
        <v>0</v>
      </c>
    </row>
    <row r="32" spans="3:49" x14ac:dyDescent="0.3">
      <c r="C32" s="347">
        <v>59</v>
      </c>
      <c r="D32" s="347">
        <v>4</v>
      </c>
      <c r="E32" s="347">
        <v>2</v>
      </c>
      <c r="F32" s="347">
        <v>8372.58</v>
      </c>
      <c r="G32" s="347">
        <v>0</v>
      </c>
      <c r="H32" s="347">
        <v>0</v>
      </c>
      <c r="I32" s="347">
        <v>120</v>
      </c>
      <c r="J32" s="347">
        <v>0</v>
      </c>
      <c r="K32" s="347">
        <v>150</v>
      </c>
      <c r="L32" s="347">
        <v>1095</v>
      </c>
      <c r="M32" s="347">
        <v>0</v>
      </c>
      <c r="N32" s="347">
        <v>0</v>
      </c>
      <c r="O32" s="347">
        <v>0</v>
      </c>
      <c r="P32" s="347">
        <v>0</v>
      </c>
      <c r="Q32" s="347">
        <v>2439</v>
      </c>
      <c r="R32" s="347">
        <v>2331.06</v>
      </c>
      <c r="S32" s="347">
        <v>1397.52</v>
      </c>
      <c r="T32" s="347">
        <v>0</v>
      </c>
      <c r="U32" s="347">
        <v>0</v>
      </c>
      <c r="V32" s="347">
        <v>0</v>
      </c>
      <c r="W32" s="347">
        <v>0</v>
      </c>
      <c r="X32" s="347">
        <v>0</v>
      </c>
      <c r="Y32" s="347">
        <v>0</v>
      </c>
      <c r="Z32" s="347">
        <v>0</v>
      </c>
      <c r="AA32" s="347">
        <v>0</v>
      </c>
      <c r="AB32" s="347">
        <v>0</v>
      </c>
      <c r="AC32" s="347">
        <v>0</v>
      </c>
      <c r="AD32" s="347">
        <v>0</v>
      </c>
      <c r="AE32" s="347">
        <v>0</v>
      </c>
      <c r="AF32" s="347">
        <v>0</v>
      </c>
      <c r="AG32" s="347">
        <v>0</v>
      </c>
      <c r="AH32" s="347">
        <v>0</v>
      </c>
      <c r="AI32" s="347">
        <v>0</v>
      </c>
      <c r="AJ32" s="347">
        <v>0</v>
      </c>
      <c r="AK32" s="347">
        <v>0</v>
      </c>
      <c r="AL32" s="347">
        <v>0</v>
      </c>
      <c r="AM32" s="347">
        <v>0</v>
      </c>
      <c r="AN32" s="347">
        <v>0</v>
      </c>
      <c r="AO32" s="347">
        <v>0</v>
      </c>
      <c r="AP32" s="347">
        <v>0</v>
      </c>
      <c r="AQ32" s="347">
        <v>450</v>
      </c>
      <c r="AR32" s="347">
        <v>0</v>
      </c>
      <c r="AS32" s="347">
        <v>0</v>
      </c>
      <c r="AT32" s="347">
        <v>390</v>
      </c>
      <c r="AU32" s="347">
        <v>0</v>
      </c>
      <c r="AV32" s="347">
        <v>0</v>
      </c>
      <c r="AW32" s="347">
        <v>0</v>
      </c>
    </row>
    <row r="33" spans="3:49" x14ac:dyDescent="0.3">
      <c r="C33" s="347">
        <v>59</v>
      </c>
      <c r="D33" s="347">
        <v>4</v>
      </c>
      <c r="E33" s="347">
        <v>3</v>
      </c>
      <c r="F33" s="347">
        <v>293.25</v>
      </c>
      <c r="G33" s="347">
        <v>0</v>
      </c>
      <c r="H33" s="347">
        <v>0</v>
      </c>
      <c r="I33" s="347">
        <v>0</v>
      </c>
      <c r="J33" s="347">
        <v>0</v>
      </c>
      <c r="K33" s="347">
        <v>0</v>
      </c>
      <c r="L33" s="347">
        <v>29</v>
      </c>
      <c r="M33" s="347">
        <v>0</v>
      </c>
      <c r="N33" s="347">
        <v>0</v>
      </c>
      <c r="O33" s="347">
        <v>0</v>
      </c>
      <c r="P33" s="347">
        <v>0</v>
      </c>
      <c r="Q33" s="347">
        <v>43</v>
      </c>
      <c r="R33" s="347">
        <v>132.77000000000001</v>
      </c>
      <c r="S33" s="347">
        <v>88.48</v>
      </c>
      <c r="T33" s="347">
        <v>0</v>
      </c>
      <c r="U33" s="347">
        <v>0</v>
      </c>
      <c r="V33" s="347">
        <v>0</v>
      </c>
      <c r="W33" s="347">
        <v>0</v>
      </c>
      <c r="X33" s="347">
        <v>0</v>
      </c>
      <c r="Y33" s="347">
        <v>0</v>
      </c>
      <c r="Z33" s="347">
        <v>0</v>
      </c>
      <c r="AA33" s="347">
        <v>0</v>
      </c>
      <c r="AB33" s="347">
        <v>0</v>
      </c>
      <c r="AC33" s="347">
        <v>0</v>
      </c>
      <c r="AD33" s="347">
        <v>0</v>
      </c>
      <c r="AE33" s="347">
        <v>0</v>
      </c>
      <c r="AF33" s="347">
        <v>0</v>
      </c>
      <c r="AG33" s="347">
        <v>0</v>
      </c>
      <c r="AH33" s="347">
        <v>0</v>
      </c>
      <c r="AI33" s="347">
        <v>0</v>
      </c>
      <c r="AJ33" s="347">
        <v>0</v>
      </c>
      <c r="AK33" s="347">
        <v>0</v>
      </c>
      <c r="AL33" s="347">
        <v>0</v>
      </c>
      <c r="AM33" s="347">
        <v>0</v>
      </c>
      <c r="AN33" s="347">
        <v>0</v>
      </c>
      <c r="AO33" s="347">
        <v>0</v>
      </c>
      <c r="AP33" s="347">
        <v>0</v>
      </c>
      <c r="AQ33" s="347">
        <v>0</v>
      </c>
      <c r="AR33" s="347">
        <v>0</v>
      </c>
      <c r="AS33" s="347">
        <v>0</v>
      </c>
      <c r="AT33" s="347">
        <v>0</v>
      </c>
      <c r="AU33" s="347">
        <v>0</v>
      </c>
      <c r="AV33" s="347">
        <v>0</v>
      </c>
      <c r="AW33" s="347">
        <v>0</v>
      </c>
    </row>
    <row r="34" spans="3:49" x14ac:dyDescent="0.3">
      <c r="C34" s="347">
        <v>59</v>
      </c>
      <c r="D34" s="347">
        <v>4</v>
      </c>
      <c r="E34" s="347">
        <v>4</v>
      </c>
      <c r="F34" s="347">
        <v>1296.5</v>
      </c>
      <c r="G34" s="347">
        <v>0</v>
      </c>
      <c r="H34" s="347">
        <v>0</v>
      </c>
      <c r="I34" s="347">
        <v>0</v>
      </c>
      <c r="J34" s="347">
        <v>0</v>
      </c>
      <c r="K34" s="347">
        <v>31</v>
      </c>
      <c r="L34" s="347">
        <v>179</v>
      </c>
      <c r="M34" s="347">
        <v>0</v>
      </c>
      <c r="N34" s="347">
        <v>0</v>
      </c>
      <c r="O34" s="347">
        <v>0</v>
      </c>
      <c r="P34" s="347">
        <v>0</v>
      </c>
      <c r="Q34" s="347">
        <v>381</v>
      </c>
      <c r="R34" s="347">
        <v>337</v>
      </c>
      <c r="S34" s="347">
        <v>189.5</v>
      </c>
      <c r="T34" s="347">
        <v>0</v>
      </c>
      <c r="U34" s="347">
        <v>0</v>
      </c>
      <c r="V34" s="347">
        <v>0</v>
      </c>
      <c r="W34" s="347">
        <v>0</v>
      </c>
      <c r="X34" s="347">
        <v>0</v>
      </c>
      <c r="Y34" s="347">
        <v>0</v>
      </c>
      <c r="Z34" s="347">
        <v>0</v>
      </c>
      <c r="AA34" s="347">
        <v>0</v>
      </c>
      <c r="AB34" s="347">
        <v>0</v>
      </c>
      <c r="AC34" s="347">
        <v>0</v>
      </c>
      <c r="AD34" s="347">
        <v>0</v>
      </c>
      <c r="AE34" s="347">
        <v>0</v>
      </c>
      <c r="AF34" s="347">
        <v>0</v>
      </c>
      <c r="AG34" s="347">
        <v>0</v>
      </c>
      <c r="AH34" s="347">
        <v>0</v>
      </c>
      <c r="AI34" s="347">
        <v>0</v>
      </c>
      <c r="AJ34" s="347">
        <v>0</v>
      </c>
      <c r="AK34" s="347">
        <v>0</v>
      </c>
      <c r="AL34" s="347">
        <v>0</v>
      </c>
      <c r="AM34" s="347">
        <v>0</v>
      </c>
      <c r="AN34" s="347">
        <v>0</v>
      </c>
      <c r="AO34" s="347">
        <v>0</v>
      </c>
      <c r="AP34" s="347">
        <v>0</v>
      </c>
      <c r="AQ34" s="347">
        <v>97</v>
      </c>
      <c r="AR34" s="347">
        <v>0</v>
      </c>
      <c r="AS34" s="347">
        <v>0</v>
      </c>
      <c r="AT34" s="347">
        <v>82</v>
      </c>
      <c r="AU34" s="347">
        <v>0</v>
      </c>
      <c r="AV34" s="347">
        <v>0</v>
      </c>
      <c r="AW34" s="347">
        <v>0</v>
      </c>
    </row>
    <row r="35" spans="3:49" x14ac:dyDescent="0.3">
      <c r="C35" s="347">
        <v>59</v>
      </c>
      <c r="D35" s="347">
        <v>4</v>
      </c>
      <c r="E35" s="347">
        <v>5</v>
      </c>
      <c r="F35" s="347">
        <v>24</v>
      </c>
      <c r="G35" s="347">
        <v>0</v>
      </c>
      <c r="H35" s="347">
        <v>0</v>
      </c>
      <c r="I35" s="347">
        <v>0</v>
      </c>
      <c r="J35" s="347">
        <v>0</v>
      </c>
      <c r="K35" s="347">
        <v>0</v>
      </c>
      <c r="L35" s="347">
        <v>0</v>
      </c>
      <c r="M35" s="347">
        <v>0</v>
      </c>
      <c r="N35" s="347">
        <v>0</v>
      </c>
      <c r="O35" s="347">
        <v>0</v>
      </c>
      <c r="P35" s="347">
        <v>0</v>
      </c>
      <c r="Q35" s="347">
        <v>0</v>
      </c>
      <c r="R35" s="347">
        <v>24</v>
      </c>
      <c r="S35" s="347">
        <v>0</v>
      </c>
      <c r="T35" s="347">
        <v>0</v>
      </c>
      <c r="U35" s="347">
        <v>0</v>
      </c>
      <c r="V35" s="347">
        <v>0</v>
      </c>
      <c r="W35" s="347">
        <v>0</v>
      </c>
      <c r="X35" s="347">
        <v>0</v>
      </c>
      <c r="Y35" s="347">
        <v>0</v>
      </c>
      <c r="Z35" s="347">
        <v>0</v>
      </c>
      <c r="AA35" s="347">
        <v>0</v>
      </c>
      <c r="AB35" s="347">
        <v>0</v>
      </c>
      <c r="AC35" s="347">
        <v>0</v>
      </c>
      <c r="AD35" s="347">
        <v>0</v>
      </c>
      <c r="AE35" s="347">
        <v>0</v>
      </c>
      <c r="AF35" s="347">
        <v>0</v>
      </c>
      <c r="AG35" s="347">
        <v>0</v>
      </c>
      <c r="AH35" s="347">
        <v>0</v>
      </c>
      <c r="AI35" s="347">
        <v>0</v>
      </c>
      <c r="AJ35" s="347">
        <v>0</v>
      </c>
      <c r="AK35" s="347">
        <v>0</v>
      </c>
      <c r="AL35" s="347">
        <v>0</v>
      </c>
      <c r="AM35" s="347">
        <v>0</v>
      </c>
      <c r="AN35" s="347">
        <v>0</v>
      </c>
      <c r="AO35" s="347">
        <v>0</v>
      </c>
      <c r="AP35" s="347">
        <v>0</v>
      </c>
      <c r="AQ35" s="347">
        <v>0</v>
      </c>
      <c r="AR35" s="347">
        <v>0</v>
      </c>
      <c r="AS35" s="347">
        <v>0</v>
      </c>
      <c r="AT35" s="347">
        <v>0</v>
      </c>
      <c r="AU35" s="347">
        <v>0</v>
      </c>
      <c r="AV35" s="347">
        <v>0</v>
      </c>
      <c r="AW35" s="347">
        <v>0</v>
      </c>
    </row>
    <row r="36" spans="3:49" x14ac:dyDescent="0.3">
      <c r="C36" s="347">
        <v>59</v>
      </c>
      <c r="D36" s="347">
        <v>4</v>
      </c>
      <c r="E36" s="347">
        <v>6</v>
      </c>
      <c r="F36" s="347">
        <v>3027420</v>
      </c>
      <c r="G36" s="347">
        <v>0</v>
      </c>
      <c r="H36" s="347">
        <v>0</v>
      </c>
      <c r="I36" s="347">
        <v>27951</v>
      </c>
      <c r="J36" s="347">
        <v>0</v>
      </c>
      <c r="K36" s="347">
        <v>60311</v>
      </c>
      <c r="L36" s="347">
        <v>709598</v>
      </c>
      <c r="M36" s="347">
        <v>0</v>
      </c>
      <c r="N36" s="347">
        <v>0</v>
      </c>
      <c r="O36" s="347">
        <v>0</v>
      </c>
      <c r="P36" s="347">
        <v>0</v>
      </c>
      <c r="Q36" s="347">
        <v>653537</v>
      </c>
      <c r="R36" s="347">
        <v>863783</v>
      </c>
      <c r="S36" s="347">
        <v>502877</v>
      </c>
      <c r="T36" s="347">
        <v>0</v>
      </c>
      <c r="U36" s="347">
        <v>0</v>
      </c>
      <c r="V36" s="347">
        <v>0</v>
      </c>
      <c r="W36" s="347">
        <v>0</v>
      </c>
      <c r="X36" s="347">
        <v>0</v>
      </c>
      <c r="Y36" s="347">
        <v>0</v>
      </c>
      <c r="Z36" s="347">
        <v>0</v>
      </c>
      <c r="AA36" s="347">
        <v>0</v>
      </c>
      <c r="AB36" s="347">
        <v>0</v>
      </c>
      <c r="AC36" s="347">
        <v>0</v>
      </c>
      <c r="AD36" s="347">
        <v>0</v>
      </c>
      <c r="AE36" s="347">
        <v>0</v>
      </c>
      <c r="AF36" s="347">
        <v>0</v>
      </c>
      <c r="AG36" s="347">
        <v>0</v>
      </c>
      <c r="AH36" s="347">
        <v>0</v>
      </c>
      <c r="AI36" s="347">
        <v>0</v>
      </c>
      <c r="AJ36" s="347">
        <v>0</v>
      </c>
      <c r="AK36" s="347">
        <v>0</v>
      </c>
      <c r="AL36" s="347">
        <v>0</v>
      </c>
      <c r="AM36" s="347">
        <v>0</v>
      </c>
      <c r="AN36" s="347">
        <v>0</v>
      </c>
      <c r="AO36" s="347">
        <v>0</v>
      </c>
      <c r="AP36" s="347">
        <v>0</v>
      </c>
      <c r="AQ36" s="347">
        <v>112868</v>
      </c>
      <c r="AR36" s="347">
        <v>0</v>
      </c>
      <c r="AS36" s="347">
        <v>0</v>
      </c>
      <c r="AT36" s="347">
        <v>96495</v>
      </c>
      <c r="AU36" s="347">
        <v>0</v>
      </c>
      <c r="AV36" s="347">
        <v>0</v>
      </c>
      <c r="AW36" s="347">
        <v>0</v>
      </c>
    </row>
    <row r="37" spans="3:49" x14ac:dyDescent="0.3">
      <c r="C37" s="347">
        <v>59</v>
      </c>
      <c r="D37" s="347">
        <v>4</v>
      </c>
      <c r="E37" s="347">
        <v>9</v>
      </c>
      <c r="F37" s="347">
        <v>21968</v>
      </c>
      <c r="G37" s="347">
        <v>0</v>
      </c>
      <c r="H37" s="347">
        <v>0</v>
      </c>
      <c r="I37" s="347">
        <v>0</v>
      </c>
      <c r="J37" s="347">
        <v>0</v>
      </c>
      <c r="K37" s="347">
        <v>0</v>
      </c>
      <c r="L37" s="347">
        <v>0</v>
      </c>
      <c r="M37" s="347">
        <v>0</v>
      </c>
      <c r="N37" s="347">
        <v>0</v>
      </c>
      <c r="O37" s="347">
        <v>0</v>
      </c>
      <c r="P37" s="347">
        <v>0</v>
      </c>
      <c r="Q37" s="347">
        <v>3662</v>
      </c>
      <c r="R37" s="347">
        <v>14644</v>
      </c>
      <c r="S37" s="347">
        <v>3662</v>
      </c>
      <c r="T37" s="347">
        <v>0</v>
      </c>
      <c r="U37" s="347">
        <v>0</v>
      </c>
      <c r="V37" s="347">
        <v>0</v>
      </c>
      <c r="W37" s="347">
        <v>0</v>
      </c>
      <c r="X37" s="347">
        <v>0</v>
      </c>
      <c r="Y37" s="347">
        <v>0</v>
      </c>
      <c r="Z37" s="347">
        <v>0</v>
      </c>
      <c r="AA37" s="347">
        <v>0</v>
      </c>
      <c r="AB37" s="347">
        <v>0</v>
      </c>
      <c r="AC37" s="347">
        <v>0</v>
      </c>
      <c r="AD37" s="347">
        <v>0</v>
      </c>
      <c r="AE37" s="347">
        <v>0</v>
      </c>
      <c r="AF37" s="347">
        <v>0</v>
      </c>
      <c r="AG37" s="347">
        <v>0</v>
      </c>
      <c r="AH37" s="347">
        <v>0</v>
      </c>
      <c r="AI37" s="347">
        <v>0</v>
      </c>
      <c r="AJ37" s="347">
        <v>0</v>
      </c>
      <c r="AK37" s="347">
        <v>0</v>
      </c>
      <c r="AL37" s="347">
        <v>0</v>
      </c>
      <c r="AM37" s="347">
        <v>0</v>
      </c>
      <c r="AN37" s="347">
        <v>0</v>
      </c>
      <c r="AO37" s="347">
        <v>0</v>
      </c>
      <c r="AP37" s="347">
        <v>0</v>
      </c>
      <c r="AQ37" s="347">
        <v>0</v>
      </c>
      <c r="AR37" s="347">
        <v>0</v>
      </c>
      <c r="AS37" s="347">
        <v>0</v>
      </c>
      <c r="AT37" s="347">
        <v>0</v>
      </c>
      <c r="AU37" s="347">
        <v>0</v>
      </c>
      <c r="AV37" s="347">
        <v>0</v>
      </c>
      <c r="AW37" s="347">
        <v>0</v>
      </c>
    </row>
    <row r="38" spans="3:49" x14ac:dyDescent="0.3">
      <c r="C38" s="347">
        <v>59</v>
      </c>
      <c r="D38" s="347">
        <v>4</v>
      </c>
      <c r="E38" s="347">
        <v>11</v>
      </c>
      <c r="F38" s="347">
        <v>10483.491687055021</v>
      </c>
      <c r="G38" s="347">
        <v>2150.158353721687</v>
      </c>
      <c r="H38" s="347">
        <v>8333.3333333333339</v>
      </c>
      <c r="I38" s="347">
        <v>0</v>
      </c>
      <c r="J38" s="347">
        <v>0</v>
      </c>
      <c r="K38" s="347">
        <v>0</v>
      </c>
      <c r="L38" s="347">
        <v>0</v>
      </c>
      <c r="M38" s="347">
        <v>0</v>
      </c>
      <c r="N38" s="347">
        <v>0</v>
      </c>
      <c r="O38" s="347">
        <v>0</v>
      </c>
      <c r="P38" s="347">
        <v>0</v>
      </c>
      <c r="Q38" s="347">
        <v>0</v>
      </c>
      <c r="R38" s="347">
        <v>0</v>
      </c>
      <c r="S38" s="347">
        <v>0</v>
      </c>
      <c r="T38" s="347">
        <v>0</v>
      </c>
      <c r="U38" s="347">
        <v>0</v>
      </c>
      <c r="V38" s="347">
        <v>0</v>
      </c>
      <c r="W38" s="347">
        <v>0</v>
      </c>
      <c r="X38" s="347">
        <v>0</v>
      </c>
      <c r="Y38" s="347">
        <v>0</v>
      </c>
      <c r="Z38" s="347">
        <v>0</v>
      </c>
      <c r="AA38" s="347">
        <v>0</v>
      </c>
      <c r="AB38" s="347">
        <v>0</v>
      </c>
      <c r="AC38" s="347">
        <v>0</v>
      </c>
      <c r="AD38" s="347">
        <v>0</v>
      </c>
      <c r="AE38" s="347">
        <v>0</v>
      </c>
      <c r="AF38" s="347">
        <v>0</v>
      </c>
      <c r="AG38" s="347">
        <v>0</v>
      </c>
      <c r="AH38" s="347">
        <v>0</v>
      </c>
      <c r="AI38" s="347">
        <v>0</v>
      </c>
      <c r="AJ38" s="347">
        <v>0</v>
      </c>
      <c r="AK38" s="347">
        <v>0</v>
      </c>
      <c r="AL38" s="347">
        <v>0</v>
      </c>
      <c r="AM38" s="347">
        <v>0</v>
      </c>
      <c r="AN38" s="347">
        <v>0</v>
      </c>
      <c r="AO38" s="347">
        <v>0</v>
      </c>
      <c r="AP38" s="347">
        <v>0</v>
      </c>
      <c r="AQ38" s="347">
        <v>0</v>
      </c>
      <c r="AR38" s="347">
        <v>0</v>
      </c>
      <c r="AS38" s="347">
        <v>0</v>
      </c>
      <c r="AT38" s="347">
        <v>0</v>
      </c>
      <c r="AU38" s="347">
        <v>0</v>
      </c>
      <c r="AV38" s="347">
        <v>0</v>
      </c>
      <c r="AW38" s="347">
        <v>0</v>
      </c>
    </row>
    <row r="39" spans="3:49" x14ac:dyDescent="0.3">
      <c r="C39" s="347">
        <v>59</v>
      </c>
      <c r="D39" s="347">
        <v>5</v>
      </c>
      <c r="E39" s="347">
        <v>1</v>
      </c>
      <c r="F39" s="347">
        <v>60.3</v>
      </c>
      <c r="G39" s="347">
        <v>0</v>
      </c>
      <c r="H39" s="347">
        <v>0</v>
      </c>
      <c r="I39" s="347">
        <v>1</v>
      </c>
      <c r="J39" s="347">
        <v>0</v>
      </c>
      <c r="K39" s="347">
        <v>1</v>
      </c>
      <c r="L39" s="347">
        <v>7.3</v>
      </c>
      <c r="M39" s="347">
        <v>0</v>
      </c>
      <c r="N39" s="347">
        <v>0</v>
      </c>
      <c r="O39" s="347">
        <v>0</v>
      </c>
      <c r="P39" s="347">
        <v>0</v>
      </c>
      <c r="Q39" s="347">
        <v>17.5</v>
      </c>
      <c r="R39" s="347">
        <v>18.25</v>
      </c>
      <c r="S39" s="347">
        <v>9.25</v>
      </c>
      <c r="T39" s="347">
        <v>0</v>
      </c>
      <c r="U39" s="347">
        <v>0</v>
      </c>
      <c r="V39" s="347">
        <v>0</v>
      </c>
      <c r="W39" s="347">
        <v>0</v>
      </c>
      <c r="X39" s="347">
        <v>0</v>
      </c>
      <c r="Y39" s="347">
        <v>0</v>
      </c>
      <c r="Z39" s="347">
        <v>0</v>
      </c>
      <c r="AA39" s="347">
        <v>0</v>
      </c>
      <c r="AB39" s="347">
        <v>0</v>
      </c>
      <c r="AC39" s="347">
        <v>0</v>
      </c>
      <c r="AD39" s="347">
        <v>0</v>
      </c>
      <c r="AE39" s="347">
        <v>0</v>
      </c>
      <c r="AF39" s="347">
        <v>0</v>
      </c>
      <c r="AG39" s="347">
        <v>0</v>
      </c>
      <c r="AH39" s="347">
        <v>0</v>
      </c>
      <c r="AI39" s="347">
        <v>0</v>
      </c>
      <c r="AJ39" s="347">
        <v>0</v>
      </c>
      <c r="AK39" s="347">
        <v>0</v>
      </c>
      <c r="AL39" s="347">
        <v>0</v>
      </c>
      <c r="AM39" s="347">
        <v>0</v>
      </c>
      <c r="AN39" s="347">
        <v>0</v>
      </c>
      <c r="AO39" s="347">
        <v>0</v>
      </c>
      <c r="AP39" s="347">
        <v>0</v>
      </c>
      <c r="AQ39" s="347">
        <v>3</v>
      </c>
      <c r="AR39" s="347">
        <v>0</v>
      </c>
      <c r="AS39" s="347">
        <v>0</v>
      </c>
      <c r="AT39" s="347">
        <v>3</v>
      </c>
      <c r="AU39" s="347">
        <v>0</v>
      </c>
      <c r="AV39" s="347">
        <v>0</v>
      </c>
      <c r="AW39" s="347">
        <v>0</v>
      </c>
    </row>
    <row r="40" spans="3:49" x14ac:dyDescent="0.3">
      <c r="C40" s="347">
        <v>59</v>
      </c>
      <c r="D40" s="347">
        <v>5</v>
      </c>
      <c r="E40" s="347">
        <v>2</v>
      </c>
      <c r="F40" s="347">
        <v>9273.35</v>
      </c>
      <c r="G40" s="347">
        <v>0</v>
      </c>
      <c r="H40" s="347">
        <v>0</v>
      </c>
      <c r="I40" s="347">
        <v>184</v>
      </c>
      <c r="J40" s="347">
        <v>0</v>
      </c>
      <c r="K40" s="347">
        <v>138.5</v>
      </c>
      <c r="L40" s="347">
        <v>1220.25</v>
      </c>
      <c r="M40" s="347">
        <v>0</v>
      </c>
      <c r="N40" s="347">
        <v>0</v>
      </c>
      <c r="O40" s="347">
        <v>0</v>
      </c>
      <c r="P40" s="347">
        <v>0</v>
      </c>
      <c r="Q40" s="347">
        <v>2619.75</v>
      </c>
      <c r="R40" s="347">
        <v>2626.2000000000003</v>
      </c>
      <c r="S40" s="347">
        <v>1508.15</v>
      </c>
      <c r="T40" s="347">
        <v>0</v>
      </c>
      <c r="U40" s="347">
        <v>0</v>
      </c>
      <c r="V40" s="347">
        <v>0</v>
      </c>
      <c r="W40" s="347">
        <v>0</v>
      </c>
      <c r="X40" s="347">
        <v>0</v>
      </c>
      <c r="Y40" s="347">
        <v>0</v>
      </c>
      <c r="Z40" s="347">
        <v>0</v>
      </c>
      <c r="AA40" s="347">
        <v>0</v>
      </c>
      <c r="AB40" s="347">
        <v>0</v>
      </c>
      <c r="AC40" s="347">
        <v>0</v>
      </c>
      <c r="AD40" s="347">
        <v>0</v>
      </c>
      <c r="AE40" s="347">
        <v>0</v>
      </c>
      <c r="AF40" s="347">
        <v>0</v>
      </c>
      <c r="AG40" s="347">
        <v>0</v>
      </c>
      <c r="AH40" s="347">
        <v>0</v>
      </c>
      <c r="AI40" s="347">
        <v>0</v>
      </c>
      <c r="AJ40" s="347">
        <v>0</v>
      </c>
      <c r="AK40" s="347">
        <v>0</v>
      </c>
      <c r="AL40" s="347">
        <v>0</v>
      </c>
      <c r="AM40" s="347">
        <v>0</v>
      </c>
      <c r="AN40" s="347">
        <v>0</v>
      </c>
      <c r="AO40" s="347">
        <v>0</v>
      </c>
      <c r="AP40" s="347">
        <v>0</v>
      </c>
      <c r="AQ40" s="347">
        <v>483</v>
      </c>
      <c r="AR40" s="347">
        <v>0</v>
      </c>
      <c r="AS40" s="347">
        <v>0</v>
      </c>
      <c r="AT40" s="347">
        <v>493.5</v>
      </c>
      <c r="AU40" s="347">
        <v>0</v>
      </c>
      <c r="AV40" s="347">
        <v>0</v>
      </c>
      <c r="AW40" s="347">
        <v>0</v>
      </c>
    </row>
    <row r="41" spans="3:49" x14ac:dyDescent="0.3">
      <c r="C41" s="347">
        <v>59</v>
      </c>
      <c r="D41" s="347">
        <v>5</v>
      </c>
      <c r="E41" s="347">
        <v>3</v>
      </c>
      <c r="F41" s="347">
        <v>222.85</v>
      </c>
      <c r="G41" s="347">
        <v>0</v>
      </c>
      <c r="H41" s="347">
        <v>0</v>
      </c>
      <c r="I41" s="347">
        <v>0</v>
      </c>
      <c r="J41" s="347">
        <v>0</v>
      </c>
      <c r="K41" s="347">
        <v>0</v>
      </c>
      <c r="L41" s="347">
        <v>14</v>
      </c>
      <c r="M41" s="347">
        <v>0</v>
      </c>
      <c r="N41" s="347">
        <v>0</v>
      </c>
      <c r="O41" s="347">
        <v>0</v>
      </c>
      <c r="P41" s="347">
        <v>0</v>
      </c>
      <c r="Q41" s="347">
        <v>41.25</v>
      </c>
      <c r="R41" s="347">
        <v>145.85</v>
      </c>
      <c r="S41" s="347">
        <v>21.75</v>
      </c>
      <c r="T41" s="347">
        <v>0</v>
      </c>
      <c r="U41" s="347">
        <v>0</v>
      </c>
      <c r="V41" s="347">
        <v>0</v>
      </c>
      <c r="W41" s="347">
        <v>0</v>
      </c>
      <c r="X41" s="347">
        <v>0</v>
      </c>
      <c r="Y41" s="347">
        <v>0</v>
      </c>
      <c r="Z41" s="347">
        <v>0</v>
      </c>
      <c r="AA41" s="347">
        <v>0</v>
      </c>
      <c r="AB41" s="347">
        <v>0</v>
      </c>
      <c r="AC41" s="347">
        <v>0</v>
      </c>
      <c r="AD41" s="347">
        <v>0</v>
      </c>
      <c r="AE41" s="347">
        <v>0</v>
      </c>
      <c r="AF41" s="347">
        <v>0</v>
      </c>
      <c r="AG41" s="347">
        <v>0</v>
      </c>
      <c r="AH41" s="347">
        <v>0</v>
      </c>
      <c r="AI41" s="347">
        <v>0</v>
      </c>
      <c r="AJ41" s="347">
        <v>0</v>
      </c>
      <c r="AK41" s="347">
        <v>0</v>
      </c>
      <c r="AL41" s="347">
        <v>0</v>
      </c>
      <c r="AM41" s="347">
        <v>0</v>
      </c>
      <c r="AN41" s="347">
        <v>0</v>
      </c>
      <c r="AO41" s="347">
        <v>0</v>
      </c>
      <c r="AP41" s="347">
        <v>0</v>
      </c>
      <c r="AQ41" s="347">
        <v>0</v>
      </c>
      <c r="AR41" s="347">
        <v>0</v>
      </c>
      <c r="AS41" s="347">
        <v>0</v>
      </c>
      <c r="AT41" s="347">
        <v>0</v>
      </c>
      <c r="AU41" s="347">
        <v>0</v>
      </c>
      <c r="AV41" s="347">
        <v>0</v>
      </c>
      <c r="AW41" s="347">
        <v>0</v>
      </c>
    </row>
    <row r="42" spans="3:49" x14ac:dyDescent="0.3">
      <c r="C42" s="347">
        <v>59</v>
      </c>
      <c r="D42" s="347">
        <v>5</v>
      </c>
      <c r="E42" s="347">
        <v>4</v>
      </c>
      <c r="F42" s="347">
        <v>725</v>
      </c>
      <c r="G42" s="347">
        <v>0</v>
      </c>
      <c r="H42" s="347">
        <v>0</v>
      </c>
      <c r="I42" s="347">
        <v>0</v>
      </c>
      <c r="J42" s="347">
        <v>0</v>
      </c>
      <c r="K42" s="347">
        <v>17</v>
      </c>
      <c r="L42" s="347">
        <v>165</v>
      </c>
      <c r="M42" s="347">
        <v>0</v>
      </c>
      <c r="N42" s="347">
        <v>0</v>
      </c>
      <c r="O42" s="347">
        <v>0</v>
      </c>
      <c r="P42" s="347">
        <v>0</v>
      </c>
      <c r="Q42" s="347">
        <v>177</v>
      </c>
      <c r="R42" s="347">
        <v>154</v>
      </c>
      <c r="S42" s="347">
        <v>97</v>
      </c>
      <c r="T42" s="347">
        <v>0</v>
      </c>
      <c r="U42" s="347">
        <v>0</v>
      </c>
      <c r="V42" s="347">
        <v>0</v>
      </c>
      <c r="W42" s="347">
        <v>0</v>
      </c>
      <c r="X42" s="347">
        <v>0</v>
      </c>
      <c r="Y42" s="347">
        <v>0</v>
      </c>
      <c r="Z42" s="347">
        <v>0</v>
      </c>
      <c r="AA42" s="347">
        <v>0</v>
      </c>
      <c r="AB42" s="347">
        <v>0</v>
      </c>
      <c r="AC42" s="347">
        <v>0</v>
      </c>
      <c r="AD42" s="347">
        <v>0</v>
      </c>
      <c r="AE42" s="347">
        <v>0</v>
      </c>
      <c r="AF42" s="347">
        <v>0</v>
      </c>
      <c r="AG42" s="347">
        <v>0</v>
      </c>
      <c r="AH42" s="347">
        <v>0</v>
      </c>
      <c r="AI42" s="347">
        <v>0</v>
      </c>
      <c r="AJ42" s="347">
        <v>0</v>
      </c>
      <c r="AK42" s="347">
        <v>0</v>
      </c>
      <c r="AL42" s="347">
        <v>0</v>
      </c>
      <c r="AM42" s="347">
        <v>0</v>
      </c>
      <c r="AN42" s="347">
        <v>0</v>
      </c>
      <c r="AO42" s="347">
        <v>0</v>
      </c>
      <c r="AP42" s="347">
        <v>0</v>
      </c>
      <c r="AQ42" s="347">
        <v>57</v>
      </c>
      <c r="AR42" s="347">
        <v>0</v>
      </c>
      <c r="AS42" s="347">
        <v>0</v>
      </c>
      <c r="AT42" s="347">
        <v>58</v>
      </c>
      <c r="AU42" s="347">
        <v>0</v>
      </c>
      <c r="AV42" s="347">
        <v>0</v>
      </c>
      <c r="AW42" s="347">
        <v>0</v>
      </c>
    </row>
    <row r="43" spans="3:49" x14ac:dyDescent="0.3">
      <c r="C43" s="347">
        <v>59</v>
      </c>
      <c r="D43" s="347">
        <v>5</v>
      </c>
      <c r="E43" s="347">
        <v>5</v>
      </c>
      <c r="F43" s="347">
        <v>48</v>
      </c>
      <c r="G43" s="347">
        <v>0</v>
      </c>
      <c r="H43" s="347">
        <v>0</v>
      </c>
      <c r="I43" s="347">
        <v>0</v>
      </c>
      <c r="J43" s="347">
        <v>0</v>
      </c>
      <c r="K43" s="347">
        <v>0</v>
      </c>
      <c r="L43" s="347">
        <v>0</v>
      </c>
      <c r="M43" s="347">
        <v>0</v>
      </c>
      <c r="N43" s="347">
        <v>0</v>
      </c>
      <c r="O43" s="347">
        <v>0</v>
      </c>
      <c r="P43" s="347">
        <v>0</v>
      </c>
      <c r="Q43" s="347">
        <v>0</v>
      </c>
      <c r="R43" s="347">
        <v>48</v>
      </c>
      <c r="S43" s="347">
        <v>0</v>
      </c>
      <c r="T43" s="347">
        <v>0</v>
      </c>
      <c r="U43" s="347">
        <v>0</v>
      </c>
      <c r="V43" s="347">
        <v>0</v>
      </c>
      <c r="W43" s="347">
        <v>0</v>
      </c>
      <c r="X43" s="347">
        <v>0</v>
      </c>
      <c r="Y43" s="347">
        <v>0</v>
      </c>
      <c r="Z43" s="347">
        <v>0</v>
      </c>
      <c r="AA43" s="347">
        <v>0</v>
      </c>
      <c r="AB43" s="347">
        <v>0</v>
      </c>
      <c r="AC43" s="347">
        <v>0</v>
      </c>
      <c r="AD43" s="347">
        <v>0</v>
      </c>
      <c r="AE43" s="347">
        <v>0</v>
      </c>
      <c r="AF43" s="347">
        <v>0</v>
      </c>
      <c r="AG43" s="347">
        <v>0</v>
      </c>
      <c r="AH43" s="347">
        <v>0</v>
      </c>
      <c r="AI43" s="347">
        <v>0</v>
      </c>
      <c r="AJ43" s="347">
        <v>0</v>
      </c>
      <c r="AK43" s="347">
        <v>0</v>
      </c>
      <c r="AL43" s="347">
        <v>0</v>
      </c>
      <c r="AM43" s="347">
        <v>0</v>
      </c>
      <c r="AN43" s="347">
        <v>0</v>
      </c>
      <c r="AO43" s="347">
        <v>0</v>
      </c>
      <c r="AP43" s="347">
        <v>0</v>
      </c>
      <c r="AQ43" s="347">
        <v>0</v>
      </c>
      <c r="AR43" s="347">
        <v>0</v>
      </c>
      <c r="AS43" s="347">
        <v>0</v>
      </c>
      <c r="AT43" s="347">
        <v>0</v>
      </c>
      <c r="AU43" s="347">
        <v>0</v>
      </c>
      <c r="AV43" s="347">
        <v>0</v>
      </c>
      <c r="AW43" s="347">
        <v>0</v>
      </c>
    </row>
    <row r="44" spans="3:49" x14ac:dyDescent="0.3">
      <c r="C44" s="347">
        <v>59</v>
      </c>
      <c r="D44" s="347">
        <v>5</v>
      </c>
      <c r="E44" s="347">
        <v>6</v>
      </c>
      <c r="F44" s="347">
        <v>2804172</v>
      </c>
      <c r="G44" s="347">
        <v>0</v>
      </c>
      <c r="H44" s="347">
        <v>0</v>
      </c>
      <c r="I44" s="347">
        <v>28110</v>
      </c>
      <c r="J44" s="347">
        <v>0</v>
      </c>
      <c r="K44" s="347">
        <v>54308</v>
      </c>
      <c r="L44" s="347">
        <v>685556</v>
      </c>
      <c r="M44" s="347">
        <v>0</v>
      </c>
      <c r="N44" s="347">
        <v>0</v>
      </c>
      <c r="O44" s="347">
        <v>0</v>
      </c>
      <c r="P44" s="347">
        <v>0</v>
      </c>
      <c r="Q44" s="347">
        <v>575313</v>
      </c>
      <c r="R44" s="347">
        <v>806804</v>
      </c>
      <c r="S44" s="347">
        <v>461320</v>
      </c>
      <c r="T44" s="347">
        <v>0</v>
      </c>
      <c r="U44" s="347">
        <v>0</v>
      </c>
      <c r="V44" s="347">
        <v>0</v>
      </c>
      <c r="W44" s="347">
        <v>0</v>
      </c>
      <c r="X44" s="347">
        <v>0</v>
      </c>
      <c r="Y44" s="347">
        <v>0</v>
      </c>
      <c r="Z44" s="347">
        <v>0</v>
      </c>
      <c r="AA44" s="347">
        <v>0</v>
      </c>
      <c r="AB44" s="347">
        <v>0</v>
      </c>
      <c r="AC44" s="347">
        <v>0</v>
      </c>
      <c r="AD44" s="347">
        <v>0</v>
      </c>
      <c r="AE44" s="347">
        <v>0</v>
      </c>
      <c r="AF44" s="347">
        <v>0</v>
      </c>
      <c r="AG44" s="347">
        <v>0</v>
      </c>
      <c r="AH44" s="347">
        <v>0</v>
      </c>
      <c r="AI44" s="347">
        <v>0</v>
      </c>
      <c r="AJ44" s="347">
        <v>0</v>
      </c>
      <c r="AK44" s="347">
        <v>0</v>
      </c>
      <c r="AL44" s="347">
        <v>0</v>
      </c>
      <c r="AM44" s="347">
        <v>0</v>
      </c>
      <c r="AN44" s="347">
        <v>0</v>
      </c>
      <c r="AO44" s="347">
        <v>0</v>
      </c>
      <c r="AP44" s="347">
        <v>0</v>
      </c>
      <c r="AQ44" s="347">
        <v>102546</v>
      </c>
      <c r="AR44" s="347">
        <v>0</v>
      </c>
      <c r="AS44" s="347">
        <v>0</v>
      </c>
      <c r="AT44" s="347">
        <v>90215</v>
      </c>
      <c r="AU44" s="347">
        <v>0</v>
      </c>
      <c r="AV44" s="347">
        <v>0</v>
      </c>
      <c r="AW44" s="347">
        <v>0</v>
      </c>
    </row>
    <row r="45" spans="3:49" x14ac:dyDescent="0.3">
      <c r="C45" s="347">
        <v>59</v>
      </c>
      <c r="D45" s="347">
        <v>5</v>
      </c>
      <c r="E45" s="347">
        <v>9</v>
      </c>
      <c r="F45" s="347">
        <v>32392</v>
      </c>
      <c r="G45" s="347">
        <v>0</v>
      </c>
      <c r="H45" s="347">
        <v>0</v>
      </c>
      <c r="I45" s="347">
        <v>0</v>
      </c>
      <c r="J45" s="347">
        <v>0</v>
      </c>
      <c r="K45" s="347">
        <v>0</v>
      </c>
      <c r="L45" s="347">
        <v>0</v>
      </c>
      <c r="M45" s="347">
        <v>0</v>
      </c>
      <c r="N45" s="347">
        <v>0</v>
      </c>
      <c r="O45" s="347">
        <v>0</v>
      </c>
      <c r="P45" s="347">
        <v>0</v>
      </c>
      <c r="Q45" s="347">
        <v>8098</v>
      </c>
      <c r="R45" s="347">
        <v>16196</v>
      </c>
      <c r="S45" s="347">
        <v>8098</v>
      </c>
      <c r="T45" s="347">
        <v>0</v>
      </c>
      <c r="U45" s="347">
        <v>0</v>
      </c>
      <c r="V45" s="347">
        <v>0</v>
      </c>
      <c r="W45" s="347">
        <v>0</v>
      </c>
      <c r="X45" s="347">
        <v>0</v>
      </c>
      <c r="Y45" s="347">
        <v>0</v>
      </c>
      <c r="Z45" s="347">
        <v>0</v>
      </c>
      <c r="AA45" s="347">
        <v>0</v>
      </c>
      <c r="AB45" s="347">
        <v>0</v>
      </c>
      <c r="AC45" s="347">
        <v>0</v>
      </c>
      <c r="AD45" s="347">
        <v>0</v>
      </c>
      <c r="AE45" s="347">
        <v>0</v>
      </c>
      <c r="AF45" s="347">
        <v>0</v>
      </c>
      <c r="AG45" s="347">
        <v>0</v>
      </c>
      <c r="AH45" s="347">
        <v>0</v>
      </c>
      <c r="AI45" s="347">
        <v>0</v>
      </c>
      <c r="AJ45" s="347">
        <v>0</v>
      </c>
      <c r="AK45" s="347">
        <v>0</v>
      </c>
      <c r="AL45" s="347">
        <v>0</v>
      </c>
      <c r="AM45" s="347">
        <v>0</v>
      </c>
      <c r="AN45" s="347">
        <v>0</v>
      </c>
      <c r="AO45" s="347">
        <v>0</v>
      </c>
      <c r="AP45" s="347">
        <v>0</v>
      </c>
      <c r="AQ45" s="347">
        <v>0</v>
      </c>
      <c r="AR45" s="347">
        <v>0</v>
      </c>
      <c r="AS45" s="347">
        <v>0</v>
      </c>
      <c r="AT45" s="347">
        <v>0</v>
      </c>
      <c r="AU45" s="347">
        <v>0</v>
      </c>
      <c r="AV45" s="347">
        <v>0</v>
      </c>
      <c r="AW45" s="347">
        <v>0</v>
      </c>
    </row>
    <row r="46" spans="3:49" x14ac:dyDescent="0.3">
      <c r="C46" s="347">
        <v>59</v>
      </c>
      <c r="D46" s="347">
        <v>5</v>
      </c>
      <c r="E46" s="347">
        <v>10</v>
      </c>
      <c r="F46" s="347">
        <v>17154</v>
      </c>
      <c r="G46" s="347">
        <v>0</v>
      </c>
      <c r="H46" s="347">
        <v>17154</v>
      </c>
      <c r="I46" s="347">
        <v>0</v>
      </c>
      <c r="J46" s="347">
        <v>0</v>
      </c>
      <c r="K46" s="347">
        <v>0</v>
      </c>
      <c r="L46" s="347">
        <v>0</v>
      </c>
      <c r="M46" s="347">
        <v>0</v>
      </c>
      <c r="N46" s="347">
        <v>0</v>
      </c>
      <c r="O46" s="347">
        <v>0</v>
      </c>
      <c r="P46" s="347">
        <v>0</v>
      </c>
      <c r="Q46" s="347">
        <v>0</v>
      </c>
      <c r="R46" s="347">
        <v>0</v>
      </c>
      <c r="S46" s="347">
        <v>0</v>
      </c>
      <c r="T46" s="347">
        <v>0</v>
      </c>
      <c r="U46" s="347">
        <v>0</v>
      </c>
      <c r="V46" s="347">
        <v>0</v>
      </c>
      <c r="W46" s="347">
        <v>0</v>
      </c>
      <c r="X46" s="347">
        <v>0</v>
      </c>
      <c r="Y46" s="347">
        <v>0</v>
      </c>
      <c r="Z46" s="347">
        <v>0</v>
      </c>
      <c r="AA46" s="347">
        <v>0</v>
      </c>
      <c r="AB46" s="347">
        <v>0</v>
      </c>
      <c r="AC46" s="347">
        <v>0</v>
      </c>
      <c r="AD46" s="347">
        <v>0</v>
      </c>
      <c r="AE46" s="347">
        <v>0</v>
      </c>
      <c r="AF46" s="347">
        <v>0</v>
      </c>
      <c r="AG46" s="347">
        <v>0</v>
      </c>
      <c r="AH46" s="347">
        <v>0</v>
      </c>
      <c r="AI46" s="347">
        <v>0</v>
      </c>
      <c r="AJ46" s="347">
        <v>0</v>
      </c>
      <c r="AK46" s="347">
        <v>0</v>
      </c>
      <c r="AL46" s="347">
        <v>0</v>
      </c>
      <c r="AM46" s="347">
        <v>0</v>
      </c>
      <c r="AN46" s="347">
        <v>0</v>
      </c>
      <c r="AO46" s="347">
        <v>0</v>
      </c>
      <c r="AP46" s="347">
        <v>0</v>
      </c>
      <c r="AQ46" s="347">
        <v>0</v>
      </c>
      <c r="AR46" s="347">
        <v>0</v>
      </c>
      <c r="AS46" s="347">
        <v>0</v>
      </c>
      <c r="AT46" s="347">
        <v>0</v>
      </c>
      <c r="AU46" s="347">
        <v>0</v>
      </c>
      <c r="AV46" s="347">
        <v>0</v>
      </c>
      <c r="AW46" s="347">
        <v>0</v>
      </c>
    </row>
    <row r="47" spans="3:49" x14ac:dyDescent="0.3">
      <c r="C47" s="347">
        <v>59</v>
      </c>
      <c r="D47" s="347">
        <v>5</v>
      </c>
      <c r="E47" s="347">
        <v>11</v>
      </c>
      <c r="F47" s="347">
        <v>10483.491687055021</v>
      </c>
      <c r="G47" s="347">
        <v>2150.158353721687</v>
      </c>
      <c r="H47" s="347">
        <v>8333.3333333333339</v>
      </c>
      <c r="I47" s="347">
        <v>0</v>
      </c>
      <c r="J47" s="347">
        <v>0</v>
      </c>
      <c r="K47" s="347">
        <v>0</v>
      </c>
      <c r="L47" s="347">
        <v>0</v>
      </c>
      <c r="M47" s="347">
        <v>0</v>
      </c>
      <c r="N47" s="347">
        <v>0</v>
      </c>
      <c r="O47" s="347">
        <v>0</v>
      </c>
      <c r="P47" s="347">
        <v>0</v>
      </c>
      <c r="Q47" s="347">
        <v>0</v>
      </c>
      <c r="R47" s="347">
        <v>0</v>
      </c>
      <c r="S47" s="347">
        <v>0</v>
      </c>
      <c r="T47" s="347">
        <v>0</v>
      </c>
      <c r="U47" s="347">
        <v>0</v>
      </c>
      <c r="V47" s="347">
        <v>0</v>
      </c>
      <c r="W47" s="347">
        <v>0</v>
      </c>
      <c r="X47" s="347">
        <v>0</v>
      </c>
      <c r="Y47" s="347">
        <v>0</v>
      </c>
      <c r="Z47" s="347">
        <v>0</v>
      </c>
      <c r="AA47" s="347">
        <v>0</v>
      </c>
      <c r="AB47" s="347">
        <v>0</v>
      </c>
      <c r="AC47" s="347">
        <v>0</v>
      </c>
      <c r="AD47" s="347">
        <v>0</v>
      </c>
      <c r="AE47" s="347">
        <v>0</v>
      </c>
      <c r="AF47" s="347">
        <v>0</v>
      </c>
      <c r="AG47" s="347">
        <v>0</v>
      </c>
      <c r="AH47" s="347">
        <v>0</v>
      </c>
      <c r="AI47" s="347">
        <v>0</v>
      </c>
      <c r="AJ47" s="347">
        <v>0</v>
      </c>
      <c r="AK47" s="347">
        <v>0</v>
      </c>
      <c r="AL47" s="347">
        <v>0</v>
      </c>
      <c r="AM47" s="347">
        <v>0</v>
      </c>
      <c r="AN47" s="347">
        <v>0</v>
      </c>
      <c r="AO47" s="347">
        <v>0</v>
      </c>
      <c r="AP47" s="347">
        <v>0</v>
      </c>
      <c r="AQ47" s="347">
        <v>0</v>
      </c>
      <c r="AR47" s="347">
        <v>0</v>
      </c>
      <c r="AS47" s="347">
        <v>0</v>
      </c>
      <c r="AT47" s="347">
        <v>0</v>
      </c>
      <c r="AU47" s="347">
        <v>0</v>
      </c>
      <c r="AV47" s="347">
        <v>0</v>
      </c>
      <c r="AW47" s="347">
        <v>0</v>
      </c>
    </row>
    <row r="48" spans="3:49" x14ac:dyDescent="0.3">
      <c r="C48" s="347">
        <v>59</v>
      </c>
      <c r="D48" s="347">
        <v>6</v>
      </c>
      <c r="E48" s="347">
        <v>1</v>
      </c>
      <c r="F48" s="347">
        <v>59.3</v>
      </c>
      <c r="G48" s="347">
        <v>0</v>
      </c>
      <c r="H48" s="347">
        <v>0</v>
      </c>
      <c r="I48" s="347">
        <v>1</v>
      </c>
      <c r="J48" s="347">
        <v>0</v>
      </c>
      <c r="K48" s="347">
        <v>1</v>
      </c>
      <c r="L48" s="347">
        <v>7.3</v>
      </c>
      <c r="M48" s="347">
        <v>0</v>
      </c>
      <c r="N48" s="347">
        <v>0</v>
      </c>
      <c r="O48" s="347">
        <v>0</v>
      </c>
      <c r="P48" s="347">
        <v>0</v>
      </c>
      <c r="Q48" s="347">
        <v>16</v>
      </c>
      <c r="R48" s="347">
        <v>18.75</v>
      </c>
      <c r="S48" s="347">
        <v>9.25</v>
      </c>
      <c r="T48" s="347">
        <v>0</v>
      </c>
      <c r="U48" s="347">
        <v>0</v>
      </c>
      <c r="V48" s="347">
        <v>0</v>
      </c>
      <c r="W48" s="347">
        <v>0</v>
      </c>
      <c r="X48" s="347">
        <v>0</v>
      </c>
      <c r="Y48" s="347">
        <v>0</v>
      </c>
      <c r="Z48" s="347">
        <v>0</v>
      </c>
      <c r="AA48" s="347">
        <v>0</v>
      </c>
      <c r="AB48" s="347">
        <v>0</v>
      </c>
      <c r="AC48" s="347">
        <v>0</v>
      </c>
      <c r="AD48" s="347">
        <v>0</v>
      </c>
      <c r="AE48" s="347">
        <v>0</v>
      </c>
      <c r="AF48" s="347">
        <v>0</v>
      </c>
      <c r="AG48" s="347">
        <v>0</v>
      </c>
      <c r="AH48" s="347">
        <v>0</v>
      </c>
      <c r="AI48" s="347">
        <v>0</v>
      </c>
      <c r="AJ48" s="347">
        <v>0</v>
      </c>
      <c r="AK48" s="347">
        <v>0</v>
      </c>
      <c r="AL48" s="347">
        <v>0</v>
      </c>
      <c r="AM48" s="347">
        <v>0</v>
      </c>
      <c r="AN48" s="347">
        <v>0</v>
      </c>
      <c r="AO48" s="347">
        <v>0</v>
      </c>
      <c r="AP48" s="347">
        <v>0</v>
      </c>
      <c r="AQ48" s="347">
        <v>3</v>
      </c>
      <c r="AR48" s="347">
        <v>0</v>
      </c>
      <c r="AS48" s="347">
        <v>0</v>
      </c>
      <c r="AT48" s="347">
        <v>3</v>
      </c>
      <c r="AU48" s="347">
        <v>0</v>
      </c>
      <c r="AV48" s="347">
        <v>0</v>
      </c>
      <c r="AW48" s="347">
        <v>0</v>
      </c>
    </row>
    <row r="49" spans="3:49" x14ac:dyDescent="0.3">
      <c r="C49" s="347">
        <v>59</v>
      </c>
      <c r="D49" s="347">
        <v>6</v>
      </c>
      <c r="E49" s="347">
        <v>2</v>
      </c>
      <c r="F49" s="347">
        <v>8364.58</v>
      </c>
      <c r="G49" s="347">
        <v>0</v>
      </c>
      <c r="H49" s="347">
        <v>0</v>
      </c>
      <c r="I49" s="347">
        <v>136</v>
      </c>
      <c r="J49" s="347">
        <v>0</v>
      </c>
      <c r="K49" s="347">
        <v>165</v>
      </c>
      <c r="L49" s="347">
        <v>884.5</v>
      </c>
      <c r="M49" s="347">
        <v>0</v>
      </c>
      <c r="N49" s="347">
        <v>0</v>
      </c>
      <c r="O49" s="347">
        <v>0</v>
      </c>
      <c r="P49" s="347">
        <v>0</v>
      </c>
      <c r="Q49" s="347">
        <v>2203.5</v>
      </c>
      <c r="R49" s="347">
        <v>2691.81</v>
      </c>
      <c r="S49" s="347">
        <v>1412.27</v>
      </c>
      <c r="T49" s="347">
        <v>0</v>
      </c>
      <c r="U49" s="347">
        <v>0</v>
      </c>
      <c r="V49" s="347">
        <v>0</v>
      </c>
      <c r="W49" s="347">
        <v>0</v>
      </c>
      <c r="X49" s="347">
        <v>0</v>
      </c>
      <c r="Y49" s="347">
        <v>0</v>
      </c>
      <c r="Z49" s="347">
        <v>0</v>
      </c>
      <c r="AA49" s="347">
        <v>0</v>
      </c>
      <c r="AB49" s="347">
        <v>0</v>
      </c>
      <c r="AC49" s="347">
        <v>0</v>
      </c>
      <c r="AD49" s="347">
        <v>0</v>
      </c>
      <c r="AE49" s="347">
        <v>0</v>
      </c>
      <c r="AF49" s="347">
        <v>0</v>
      </c>
      <c r="AG49" s="347">
        <v>0</v>
      </c>
      <c r="AH49" s="347">
        <v>0</v>
      </c>
      <c r="AI49" s="347">
        <v>0</v>
      </c>
      <c r="AJ49" s="347">
        <v>0</v>
      </c>
      <c r="AK49" s="347">
        <v>0</v>
      </c>
      <c r="AL49" s="347">
        <v>0</v>
      </c>
      <c r="AM49" s="347">
        <v>0</v>
      </c>
      <c r="AN49" s="347">
        <v>0</v>
      </c>
      <c r="AO49" s="347">
        <v>0</v>
      </c>
      <c r="AP49" s="347">
        <v>0</v>
      </c>
      <c r="AQ49" s="347">
        <v>411</v>
      </c>
      <c r="AR49" s="347">
        <v>0</v>
      </c>
      <c r="AS49" s="347">
        <v>0</v>
      </c>
      <c r="AT49" s="347">
        <v>460.5</v>
      </c>
      <c r="AU49" s="347">
        <v>0</v>
      </c>
      <c r="AV49" s="347">
        <v>0</v>
      </c>
      <c r="AW49" s="347">
        <v>0</v>
      </c>
    </row>
    <row r="50" spans="3:49" x14ac:dyDescent="0.3">
      <c r="C50" s="347">
        <v>59</v>
      </c>
      <c r="D50" s="347">
        <v>6</v>
      </c>
      <c r="E50" s="347">
        <v>3</v>
      </c>
      <c r="F50" s="347">
        <v>165.57000000000002</v>
      </c>
      <c r="G50" s="347">
        <v>0</v>
      </c>
      <c r="H50" s="347">
        <v>0</v>
      </c>
      <c r="I50" s="347">
        <v>0</v>
      </c>
      <c r="J50" s="347">
        <v>0</v>
      </c>
      <c r="K50" s="347">
        <v>0</v>
      </c>
      <c r="L50" s="347">
        <v>16</v>
      </c>
      <c r="M50" s="347">
        <v>0</v>
      </c>
      <c r="N50" s="347">
        <v>0</v>
      </c>
      <c r="O50" s="347">
        <v>0</v>
      </c>
      <c r="P50" s="347">
        <v>0</v>
      </c>
      <c r="Q50" s="347">
        <v>6.75</v>
      </c>
      <c r="R50" s="347">
        <v>124.86</v>
      </c>
      <c r="S50" s="347">
        <v>17.96</v>
      </c>
      <c r="T50" s="347">
        <v>0</v>
      </c>
      <c r="U50" s="347">
        <v>0</v>
      </c>
      <c r="V50" s="347">
        <v>0</v>
      </c>
      <c r="W50" s="347">
        <v>0</v>
      </c>
      <c r="X50" s="347">
        <v>0</v>
      </c>
      <c r="Y50" s="347">
        <v>0</v>
      </c>
      <c r="Z50" s="347">
        <v>0</v>
      </c>
      <c r="AA50" s="347">
        <v>0</v>
      </c>
      <c r="AB50" s="347">
        <v>0</v>
      </c>
      <c r="AC50" s="347">
        <v>0</v>
      </c>
      <c r="AD50" s="347">
        <v>0</v>
      </c>
      <c r="AE50" s="347">
        <v>0</v>
      </c>
      <c r="AF50" s="347">
        <v>0</v>
      </c>
      <c r="AG50" s="347">
        <v>0</v>
      </c>
      <c r="AH50" s="347">
        <v>0</v>
      </c>
      <c r="AI50" s="347">
        <v>0</v>
      </c>
      <c r="AJ50" s="347">
        <v>0</v>
      </c>
      <c r="AK50" s="347">
        <v>0</v>
      </c>
      <c r="AL50" s="347">
        <v>0</v>
      </c>
      <c r="AM50" s="347">
        <v>0</v>
      </c>
      <c r="AN50" s="347">
        <v>0</v>
      </c>
      <c r="AO50" s="347">
        <v>0</v>
      </c>
      <c r="AP50" s="347">
        <v>0</v>
      </c>
      <c r="AQ50" s="347">
        <v>0</v>
      </c>
      <c r="AR50" s="347">
        <v>0</v>
      </c>
      <c r="AS50" s="347">
        <v>0</v>
      </c>
      <c r="AT50" s="347">
        <v>0</v>
      </c>
      <c r="AU50" s="347">
        <v>0</v>
      </c>
      <c r="AV50" s="347">
        <v>0</v>
      </c>
      <c r="AW50" s="347">
        <v>0</v>
      </c>
    </row>
    <row r="51" spans="3:49" x14ac:dyDescent="0.3">
      <c r="C51" s="347">
        <v>59</v>
      </c>
      <c r="D51" s="347">
        <v>6</v>
      </c>
      <c r="E51" s="347">
        <v>4</v>
      </c>
      <c r="F51" s="347">
        <v>611.5</v>
      </c>
      <c r="G51" s="347">
        <v>0</v>
      </c>
      <c r="H51" s="347">
        <v>0</v>
      </c>
      <c r="I51" s="347">
        <v>0</v>
      </c>
      <c r="J51" s="347">
        <v>0</v>
      </c>
      <c r="K51" s="347">
        <v>23</v>
      </c>
      <c r="L51" s="347">
        <v>145</v>
      </c>
      <c r="M51" s="347">
        <v>0</v>
      </c>
      <c r="N51" s="347">
        <v>0</v>
      </c>
      <c r="O51" s="347">
        <v>0</v>
      </c>
      <c r="P51" s="347">
        <v>0</v>
      </c>
      <c r="Q51" s="347">
        <v>132</v>
      </c>
      <c r="R51" s="347">
        <v>143</v>
      </c>
      <c r="S51" s="347">
        <v>95</v>
      </c>
      <c r="T51" s="347">
        <v>0</v>
      </c>
      <c r="U51" s="347">
        <v>0</v>
      </c>
      <c r="V51" s="347">
        <v>0</v>
      </c>
      <c r="W51" s="347">
        <v>0</v>
      </c>
      <c r="X51" s="347">
        <v>0</v>
      </c>
      <c r="Y51" s="347">
        <v>0</v>
      </c>
      <c r="Z51" s="347">
        <v>0</v>
      </c>
      <c r="AA51" s="347">
        <v>0</v>
      </c>
      <c r="AB51" s="347">
        <v>0</v>
      </c>
      <c r="AC51" s="347">
        <v>0</v>
      </c>
      <c r="AD51" s="347">
        <v>0</v>
      </c>
      <c r="AE51" s="347">
        <v>0</v>
      </c>
      <c r="AF51" s="347">
        <v>0</v>
      </c>
      <c r="AG51" s="347">
        <v>0</v>
      </c>
      <c r="AH51" s="347">
        <v>0</v>
      </c>
      <c r="AI51" s="347">
        <v>0</v>
      </c>
      <c r="AJ51" s="347">
        <v>0</v>
      </c>
      <c r="AK51" s="347">
        <v>0</v>
      </c>
      <c r="AL51" s="347">
        <v>0</v>
      </c>
      <c r="AM51" s="347">
        <v>0</v>
      </c>
      <c r="AN51" s="347">
        <v>0</v>
      </c>
      <c r="AO51" s="347">
        <v>0</v>
      </c>
      <c r="AP51" s="347">
        <v>0</v>
      </c>
      <c r="AQ51" s="347">
        <v>61</v>
      </c>
      <c r="AR51" s="347">
        <v>0</v>
      </c>
      <c r="AS51" s="347">
        <v>0</v>
      </c>
      <c r="AT51" s="347">
        <v>12.5</v>
      </c>
      <c r="AU51" s="347">
        <v>0</v>
      </c>
      <c r="AV51" s="347">
        <v>0</v>
      </c>
      <c r="AW51" s="347">
        <v>0</v>
      </c>
    </row>
    <row r="52" spans="3:49" x14ac:dyDescent="0.3">
      <c r="C52" s="347">
        <v>59</v>
      </c>
      <c r="D52" s="347">
        <v>6</v>
      </c>
      <c r="E52" s="347">
        <v>5</v>
      </c>
      <c r="F52" s="347">
        <v>13.5</v>
      </c>
      <c r="G52" s="347">
        <v>0</v>
      </c>
      <c r="H52" s="347">
        <v>0</v>
      </c>
      <c r="I52" s="347">
        <v>0</v>
      </c>
      <c r="J52" s="347">
        <v>0</v>
      </c>
      <c r="K52" s="347">
        <v>0</v>
      </c>
      <c r="L52" s="347">
        <v>0</v>
      </c>
      <c r="M52" s="347">
        <v>0</v>
      </c>
      <c r="N52" s="347">
        <v>0</v>
      </c>
      <c r="O52" s="347">
        <v>0</v>
      </c>
      <c r="P52" s="347">
        <v>0</v>
      </c>
      <c r="Q52" s="347">
        <v>0</v>
      </c>
      <c r="R52" s="347">
        <v>13.5</v>
      </c>
      <c r="S52" s="347">
        <v>0</v>
      </c>
      <c r="T52" s="347">
        <v>0</v>
      </c>
      <c r="U52" s="347">
        <v>0</v>
      </c>
      <c r="V52" s="347">
        <v>0</v>
      </c>
      <c r="W52" s="347">
        <v>0</v>
      </c>
      <c r="X52" s="347">
        <v>0</v>
      </c>
      <c r="Y52" s="347">
        <v>0</v>
      </c>
      <c r="Z52" s="347">
        <v>0</v>
      </c>
      <c r="AA52" s="347">
        <v>0</v>
      </c>
      <c r="AB52" s="347">
        <v>0</v>
      </c>
      <c r="AC52" s="347">
        <v>0</v>
      </c>
      <c r="AD52" s="347">
        <v>0</v>
      </c>
      <c r="AE52" s="347">
        <v>0</v>
      </c>
      <c r="AF52" s="347">
        <v>0</v>
      </c>
      <c r="AG52" s="347">
        <v>0</v>
      </c>
      <c r="AH52" s="347">
        <v>0</v>
      </c>
      <c r="AI52" s="347">
        <v>0</v>
      </c>
      <c r="AJ52" s="347">
        <v>0</v>
      </c>
      <c r="AK52" s="347">
        <v>0</v>
      </c>
      <c r="AL52" s="347">
        <v>0</v>
      </c>
      <c r="AM52" s="347">
        <v>0</v>
      </c>
      <c r="AN52" s="347">
        <v>0</v>
      </c>
      <c r="AO52" s="347">
        <v>0</v>
      </c>
      <c r="AP52" s="347">
        <v>0</v>
      </c>
      <c r="AQ52" s="347">
        <v>0</v>
      </c>
      <c r="AR52" s="347">
        <v>0</v>
      </c>
      <c r="AS52" s="347">
        <v>0</v>
      </c>
      <c r="AT52" s="347">
        <v>0</v>
      </c>
      <c r="AU52" s="347">
        <v>0</v>
      </c>
      <c r="AV52" s="347">
        <v>0</v>
      </c>
      <c r="AW52" s="347">
        <v>0</v>
      </c>
    </row>
    <row r="53" spans="3:49" x14ac:dyDescent="0.3">
      <c r="C53" s="347">
        <v>59</v>
      </c>
      <c r="D53" s="347">
        <v>6</v>
      </c>
      <c r="E53" s="347">
        <v>6</v>
      </c>
      <c r="F53" s="347">
        <v>2616478</v>
      </c>
      <c r="G53" s="347">
        <v>0</v>
      </c>
      <c r="H53" s="347">
        <v>0</v>
      </c>
      <c r="I53" s="347">
        <v>28590</v>
      </c>
      <c r="J53" s="347">
        <v>0</v>
      </c>
      <c r="K53" s="347">
        <v>51956</v>
      </c>
      <c r="L53" s="347">
        <v>669862</v>
      </c>
      <c r="M53" s="347">
        <v>0</v>
      </c>
      <c r="N53" s="347">
        <v>0</v>
      </c>
      <c r="O53" s="347">
        <v>0</v>
      </c>
      <c r="P53" s="347">
        <v>0</v>
      </c>
      <c r="Q53" s="347">
        <v>465285</v>
      </c>
      <c r="R53" s="347">
        <v>791740</v>
      </c>
      <c r="S53" s="347">
        <v>436685</v>
      </c>
      <c r="T53" s="347">
        <v>0</v>
      </c>
      <c r="U53" s="347">
        <v>0</v>
      </c>
      <c r="V53" s="347">
        <v>0</v>
      </c>
      <c r="W53" s="347">
        <v>0</v>
      </c>
      <c r="X53" s="347">
        <v>0</v>
      </c>
      <c r="Y53" s="347">
        <v>0</v>
      </c>
      <c r="Z53" s="347">
        <v>0</v>
      </c>
      <c r="AA53" s="347">
        <v>0</v>
      </c>
      <c r="AB53" s="347">
        <v>0</v>
      </c>
      <c r="AC53" s="347">
        <v>0</v>
      </c>
      <c r="AD53" s="347">
        <v>0</v>
      </c>
      <c r="AE53" s="347">
        <v>0</v>
      </c>
      <c r="AF53" s="347">
        <v>0</v>
      </c>
      <c r="AG53" s="347">
        <v>0</v>
      </c>
      <c r="AH53" s="347">
        <v>0</v>
      </c>
      <c r="AI53" s="347">
        <v>0</v>
      </c>
      <c r="AJ53" s="347">
        <v>0</v>
      </c>
      <c r="AK53" s="347">
        <v>0</v>
      </c>
      <c r="AL53" s="347">
        <v>0</v>
      </c>
      <c r="AM53" s="347">
        <v>0</v>
      </c>
      <c r="AN53" s="347">
        <v>0</v>
      </c>
      <c r="AO53" s="347">
        <v>0</v>
      </c>
      <c r="AP53" s="347">
        <v>0</v>
      </c>
      <c r="AQ53" s="347">
        <v>96951</v>
      </c>
      <c r="AR53" s="347">
        <v>0</v>
      </c>
      <c r="AS53" s="347">
        <v>0</v>
      </c>
      <c r="AT53" s="347">
        <v>75409</v>
      </c>
      <c r="AU53" s="347">
        <v>0</v>
      </c>
      <c r="AV53" s="347">
        <v>0</v>
      </c>
      <c r="AW53" s="347">
        <v>0</v>
      </c>
    </row>
    <row r="54" spans="3:49" x14ac:dyDescent="0.3">
      <c r="C54" s="347">
        <v>59</v>
      </c>
      <c r="D54" s="347">
        <v>6</v>
      </c>
      <c r="E54" s="347">
        <v>9</v>
      </c>
      <c r="F54" s="347">
        <v>21815</v>
      </c>
      <c r="G54" s="347">
        <v>0</v>
      </c>
      <c r="H54" s="347">
        <v>0</v>
      </c>
      <c r="I54" s="347">
        <v>0</v>
      </c>
      <c r="J54" s="347">
        <v>0</v>
      </c>
      <c r="K54" s="347">
        <v>0</v>
      </c>
      <c r="L54" s="347">
        <v>0</v>
      </c>
      <c r="M54" s="347">
        <v>0</v>
      </c>
      <c r="N54" s="347">
        <v>0</v>
      </c>
      <c r="O54" s="347">
        <v>0</v>
      </c>
      <c r="P54" s="347">
        <v>0</v>
      </c>
      <c r="Q54" s="347">
        <v>4363</v>
      </c>
      <c r="R54" s="347">
        <v>8726</v>
      </c>
      <c r="S54" s="347">
        <v>8726</v>
      </c>
      <c r="T54" s="347">
        <v>0</v>
      </c>
      <c r="U54" s="347">
        <v>0</v>
      </c>
      <c r="V54" s="347">
        <v>0</v>
      </c>
      <c r="W54" s="347">
        <v>0</v>
      </c>
      <c r="X54" s="347">
        <v>0</v>
      </c>
      <c r="Y54" s="347">
        <v>0</v>
      </c>
      <c r="Z54" s="347">
        <v>0</v>
      </c>
      <c r="AA54" s="347">
        <v>0</v>
      </c>
      <c r="AB54" s="347">
        <v>0</v>
      </c>
      <c r="AC54" s="347">
        <v>0</v>
      </c>
      <c r="AD54" s="347">
        <v>0</v>
      </c>
      <c r="AE54" s="347">
        <v>0</v>
      </c>
      <c r="AF54" s="347">
        <v>0</v>
      </c>
      <c r="AG54" s="347">
        <v>0</v>
      </c>
      <c r="AH54" s="347">
        <v>0</v>
      </c>
      <c r="AI54" s="347">
        <v>0</v>
      </c>
      <c r="AJ54" s="347">
        <v>0</v>
      </c>
      <c r="AK54" s="347">
        <v>0</v>
      </c>
      <c r="AL54" s="347">
        <v>0</v>
      </c>
      <c r="AM54" s="347">
        <v>0</v>
      </c>
      <c r="AN54" s="347">
        <v>0</v>
      </c>
      <c r="AO54" s="347">
        <v>0</v>
      </c>
      <c r="AP54" s="347">
        <v>0</v>
      </c>
      <c r="AQ54" s="347">
        <v>0</v>
      </c>
      <c r="AR54" s="347">
        <v>0</v>
      </c>
      <c r="AS54" s="347">
        <v>0</v>
      </c>
      <c r="AT54" s="347">
        <v>0</v>
      </c>
      <c r="AU54" s="347">
        <v>0</v>
      </c>
      <c r="AV54" s="347">
        <v>0</v>
      </c>
      <c r="AW54" s="347">
        <v>0</v>
      </c>
    </row>
    <row r="55" spans="3:49" x14ac:dyDescent="0.3">
      <c r="C55" s="347">
        <v>59</v>
      </c>
      <c r="D55" s="347">
        <v>6</v>
      </c>
      <c r="E55" s="347">
        <v>11</v>
      </c>
      <c r="F55" s="347">
        <v>10483.491687055021</v>
      </c>
      <c r="G55" s="347">
        <v>2150.158353721687</v>
      </c>
      <c r="H55" s="347">
        <v>8333.3333333333339</v>
      </c>
      <c r="I55" s="347">
        <v>0</v>
      </c>
      <c r="J55" s="347">
        <v>0</v>
      </c>
      <c r="K55" s="347">
        <v>0</v>
      </c>
      <c r="L55" s="347">
        <v>0</v>
      </c>
      <c r="M55" s="347">
        <v>0</v>
      </c>
      <c r="N55" s="347">
        <v>0</v>
      </c>
      <c r="O55" s="347">
        <v>0</v>
      </c>
      <c r="P55" s="347">
        <v>0</v>
      </c>
      <c r="Q55" s="347">
        <v>0</v>
      </c>
      <c r="R55" s="347">
        <v>0</v>
      </c>
      <c r="S55" s="347">
        <v>0</v>
      </c>
      <c r="T55" s="347">
        <v>0</v>
      </c>
      <c r="U55" s="347">
        <v>0</v>
      </c>
      <c r="V55" s="347">
        <v>0</v>
      </c>
      <c r="W55" s="347">
        <v>0</v>
      </c>
      <c r="X55" s="347">
        <v>0</v>
      </c>
      <c r="Y55" s="347">
        <v>0</v>
      </c>
      <c r="Z55" s="347">
        <v>0</v>
      </c>
      <c r="AA55" s="347">
        <v>0</v>
      </c>
      <c r="AB55" s="347">
        <v>0</v>
      </c>
      <c r="AC55" s="347">
        <v>0</v>
      </c>
      <c r="AD55" s="347">
        <v>0</v>
      </c>
      <c r="AE55" s="347">
        <v>0</v>
      </c>
      <c r="AF55" s="347">
        <v>0</v>
      </c>
      <c r="AG55" s="347">
        <v>0</v>
      </c>
      <c r="AH55" s="347">
        <v>0</v>
      </c>
      <c r="AI55" s="347">
        <v>0</v>
      </c>
      <c r="AJ55" s="347">
        <v>0</v>
      </c>
      <c r="AK55" s="347">
        <v>0</v>
      </c>
      <c r="AL55" s="347">
        <v>0</v>
      </c>
      <c r="AM55" s="347">
        <v>0</v>
      </c>
      <c r="AN55" s="347">
        <v>0</v>
      </c>
      <c r="AO55" s="347">
        <v>0</v>
      </c>
      <c r="AP55" s="347">
        <v>0</v>
      </c>
      <c r="AQ55" s="347">
        <v>0</v>
      </c>
      <c r="AR55" s="347">
        <v>0</v>
      </c>
      <c r="AS55" s="347">
        <v>0</v>
      </c>
      <c r="AT55" s="347">
        <v>0</v>
      </c>
      <c r="AU55" s="347">
        <v>0</v>
      </c>
      <c r="AV55" s="347">
        <v>0</v>
      </c>
      <c r="AW55" s="34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31" bestFit="1" customWidth="1" collapsed="1"/>
    <col min="2" max="2" width="7.77734375" style="199" hidden="1" customWidth="1" outlineLevel="1"/>
    <col min="3" max="3" width="0.109375" style="231" hidden="1" customWidth="1"/>
    <col min="4" max="4" width="7.77734375" style="199" customWidth="1"/>
    <col min="5" max="5" width="5.4414062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5.44140625" style="231" hidden="1" customWidth="1"/>
    <col min="10" max="10" width="7.77734375" style="199" customWidth="1"/>
    <col min="11" max="11" width="5.44140625" style="231" hidden="1" customWidth="1"/>
    <col min="12" max="12" width="7.77734375" style="199" customWidth="1"/>
    <col min="13" max="13" width="7.77734375" style="313" customWidth="1" collapsed="1"/>
    <col min="14" max="14" width="7.77734375" style="199" hidden="1" customWidth="1" outlineLevel="1"/>
    <col min="15" max="15" width="5" style="231" hidden="1" customWidth="1"/>
    <col min="16" max="16" width="7.77734375" style="199" customWidth="1"/>
    <col min="17" max="17" width="5" style="231" hidden="1" customWidth="1"/>
    <col min="18" max="18" width="7.77734375" style="199" customWidth="1"/>
    <col min="19" max="19" width="7.77734375" style="313" customWidth="1"/>
    <col min="20" max="16384" width="8.88671875" style="231"/>
  </cols>
  <sheetData>
    <row r="1" spans="1:19" ht="18.600000000000001" customHeight="1" thickBot="1" x14ac:dyDescent="0.4">
      <c r="A1" s="508" t="s">
        <v>140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</row>
    <row r="2" spans="1:19" ht="14.4" customHeight="1" thickBot="1" x14ac:dyDescent="0.35">
      <c r="A2" s="351" t="s">
        <v>288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  <c r="N2" s="325"/>
      <c r="O2" s="204"/>
      <c r="P2" s="325"/>
      <c r="Q2" s="204"/>
      <c r="R2" s="325"/>
      <c r="S2" s="326"/>
    </row>
    <row r="3" spans="1:19" ht="14.4" customHeight="1" thickBot="1" x14ac:dyDescent="0.35">
      <c r="A3" s="319" t="s">
        <v>142</v>
      </c>
      <c r="B3" s="320">
        <f>SUBTOTAL(9,B6:B1048576)</f>
        <v>21091377</v>
      </c>
      <c r="C3" s="321">
        <f t="shared" ref="C3:R3" si="0">SUBTOTAL(9,C6:C1048576)</f>
        <v>0.87689555999264102</v>
      </c>
      <c r="D3" s="321">
        <f t="shared" si="0"/>
        <v>24052697</v>
      </c>
      <c r="E3" s="321">
        <f t="shared" si="0"/>
        <v>2</v>
      </c>
      <c r="F3" s="321">
        <f t="shared" si="0"/>
        <v>25973550</v>
      </c>
      <c r="G3" s="324">
        <f>IF(D3&lt;&gt;0,F3/D3,"")</f>
        <v>1.0798601919776398</v>
      </c>
      <c r="H3" s="320">
        <f t="shared" si="0"/>
        <v>4220399.1400000034</v>
      </c>
      <c r="I3" s="321">
        <f t="shared" si="0"/>
        <v>0.75924697529995377</v>
      </c>
      <c r="J3" s="321">
        <f t="shared" si="0"/>
        <v>5558664.410000002</v>
      </c>
      <c r="K3" s="321">
        <f t="shared" si="0"/>
        <v>1</v>
      </c>
      <c r="L3" s="321">
        <f t="shared" si="0"/>
        <v>6045223.2399999993</v>
      </c>
      <c r="M3" s="322">
        <f>IF(J3&lt;&gt;0,L3/J3,"")</f>
        <v>1.0875316072552754</v>
      </c>
      <c r="N3" s="323">
        <f t="shared" si="0"/>
        <v>0</v>
      </c>
      <c r="O3" s="321">
        <f t="shared" si="0"/>
        <v>0</v>
      </c>
      <c r="P3" s="321">
        <f t="shared" si="0"/>
        <v>0</v>
      </c>
      <c r="Q3" s="321">
        <f t="shared" si="0"/>
        <v>0</v>
      </c>
      <c r="R3" s="321">
        <f t="shared" si="0"/>
        <v>0</v>
      </c>
      <c r="S3" s="322" t="str">
        <f>IF(P3&lt;&gt;0,R3/P3,"")</f>
        <v/>
      </c>
    </row>
    <row r="4" spans="1:19" ht="14.4" customHeight="1" x14ac:dyDescent="0.3">
      <c r="A4" s="556" t="s">
        <v>116</v>
      </c>
      <c r="B4" s="557" t="s">
        <v>110</v>
      </c>
      <c r="C4" s="558"/>
      <c r="D4" s="558"/>
      <c r="E4" s="558"/>
      <c r="F4" s="558"/>
      <c r="G4" s="560"/>
      <c r="H4" s="557" t="s">
        <v>111</v>
      </c>
      <c r="I4" s="558"/>
      <c r="J4" s="558"/>
      <c r="K4" s="558"/>
      <c r="L4" s="558"/>
      <c r="M4" s="560"/>
      <c r="N4" s="557" t="s">
        <v>112</v>
      </c>
      <c r="O4" s="558"/>
      <c r="P4" s="558"/>
      <c r="Q4" s="558"/>
      <c r="R4" s="558"/>
      <c r="S4" s="560"/>
    </row>
    <row r="5" spans="1:19" ht="14.4" customHeight="1" thickBot="1" x14ac:dyDescent="0.35">
      <c r="A5" s="728"/>
      <c r="B5" s="729">
        <v>2015</v>
      </c>
      <c r="C5" s="730"/>
      <c r="D5" s="730">
        <v>2016</v>
      </c>
      <c r="E5" s="730"/>
      <c r="F5" s="730">
        <v>2017</v>
      </c>
      <c r="G5" s="731" t="s">
        <v>2</v>
      </c>
      <c r="H5" s="729">
        <v>2015</v>
      </c>
      <c r="I5" s="730"/>
      <c r="J5" s="730">
        <v>2016</v>
      </c>
      <c r="K5" s="730"/>
      <c r="L5" s="730">
        <v>2017</v>
      </c>
      <c r="M5" s="731" t="s">
        <v>2</v>
      </c>
      <c r="N5" s="729">
        <v>2015</v>
      </c>
      <c r="O5" s="730"/>
      <c r="P5" s="730">
        <v>2016</v>
      </c>
      <c r="Q5" s="730"/>
      <c r="R5" s="730">
        <v>2017</v>
      </c>
      <c r="S5" s="731" t="s">
        <v>2</v>
      </c>
    </row>
    <row r="6" spans="1:19" ht="14.4" customHeight="1" x14ac:dyDescent="0.3">
      <c r="A6" s="706" t="s">
        <v>2241</v>
      </c>
      <c r="B6" s="732"/>
      <c r="C6" s="669"/>
      <c r="D6" s="732">
        <v>372</v>
      </c>
      <c r="E6" s="669">
        <v>1</v>
      </c>
      <c r="F6" s="732"/>
      <c r="G6" s="694"/>
      <c r="H6" s="732"/>
      <c r="I6" s="669"/>
      <c r="J6" s="732"/>
      <c r="K6" s="669"/>
      <c r="L6" s="732"/>
      <c r="M6" s="694"/>
      <c r="N6" s="732"/>
      <c r="O6" s="669"/>
      <c r="P6" s="732"/>
      <c r="Q6" s="669"/>
      <c r="R6" s="732"/>
      <c r="S6" s="718"/>
    </row>
    <row r="7" spans="1:19" ht="14.4" customHeight="1" thickBot="1" x14ac:dyDescent="0.35">
      <c r="A7" s="734" t="s">
        <v>1624</v>
      </c>
      <c r="B7" s="733">
        <v>21091377</v>
      </c>
      <c r="C7" s="683">
        <v>0.87689555999264102</v>
      </c>
      <c r="D7" s="733">
        <v>24052325</v>
      </c>
      <c r="E7" s="683">
        <v>1</v>
      </c>
      <c r="F7" s="733">
        <v>25973550</v>
      </c>
      <c r="G7" s="695">
        <v>1.0798768933980394</v>
      </c>
      <c r="H7" s="733">
        <v>4220399.1400000034</v>
      </c>
      <c r="I7" s="683">
        <v>0.75924697529995377</v>
      </c>
      <c r="J7" s="733">
        <v>5558664.410000002</v>
      </c>
      <c r="K7" s="683">
        <v>1</v>
      </c>
      <c r="L7" s="733">
        <v>6045223.2399999993</v>
      </c>
      <c r="M7" s="695">
        <v>1.0875316072552754</v>
      </c>
      <c r="N7" s="733"/>
      <c r="O7" s="683"/>
      <c r="P7" s="733"/>
      <c r="Q7" s="683"/>
      <c r="R7" s="733"/>
      <c r="S7" s="71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51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96" t="s">
        <v>3142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ht="14.4" customHeight="1" thickBot="1" x14ac:dyDescent="0.35">
      <c r="A2" s="351" t="s">
        <v>288</v>
      </c>
      <c r="B2" s="232"/>
      <c r="C2" s="232"/>
      <c r="D2" s="232"/>
      <c r="E2" s="232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8"/>
      <c r="Q2" s="327"/>
    </row>
    <row r="3" spans="1:17" ht="14.4" customHeight="1" thickBot="1" x14ac:dyDescent="0.35">
      <c r="E3" s="97" t="s">
        <v>142</v>
      </c>
      <c r="F3" s="191">
        <f t="shared" ref="F3:O3" si="0">SUBTOTAL(9,F6:F1048576)</f>
        <v>7527.380000000001</v>
      </c>
      <c r="G3" s="192">
        <f t="shared" si="0"/>
        <v>25311776.140000001</v>
      </c>
      <c r="H3" s="192"/>
      <c r="I3" s="192"/>
      <c r="J3" s="192">
        <f t="shared" si="0"/>
        <v>8713.66</v>
      </c>
      <c r="K3" s="192">
        <f t="shared" si="0"/>
        <v>29611361.409999996</v>
      </c>
      <c r="L3" s="192"/>
      <c r="M3" s="192"/>
      <c r="N3" s="192">
        <f t="shared" si="0"/>
        <v>9565.07</v>
      </c>
      <c r="O3" s="192">
        <f t="shared" si="0"/>
        <v>32018773.240000002</v>
      </c>
      <c r="P3" s="70">
        <f>IF(K3=0,0,O3/K3)</f>
        <v>1.0813002751432768</v>
      </c>
      <c r="Q3" s="193">
        <f>IF(N3=0,0,O3/N3)</f>
        <v>3347.4687838144418</v>
      </c>
    </row>
    <row r="4" spans="1:17" ht="14.4" customHeight="1" x14ac:dyDescent="0.3">
      <c r="A4" s="563" t="s">
        <v>61</v>
      </c>
      <c r="B4" s="561" t="s">
        <v>106</v>
      </c>
      <c r="C4" s="563" t="s">
        <v>107</v>
      </c>
      <c r="D4" s="567" t="s">
        <v>108</v>
      </c>
      <c r="E4" s="564" t="s">
        <v>68</v>
      </c>
      <c r="F4" s="565">
        <v>2015</v>
      </c>
      <c r="G4" s="566"/>
      <c r="H4" s="194"/>
      <c r="I4" s="194"/>
      <c r="J4" s="565">
        <v>2016</v>
      </c>
      <c r="K4" s="566"/>
      <c r="L4" s="194"/>
      <c r="M4" s="194"/>
      <c r="N4" s="565">
        <v>2017</v>
      </c>
      <c r="O4" s="566"/>
      <c r="P4" s="568" t="s">
        <v>2</v>
      </c>
      <c r="Q4" s="562" t="s">
        <v>109</v>
      </c>
    </row>
    <row r="5" spans="1:17" ht="14.4" customHeight="1" thickBot="1" x14ac:dyDescent="0.35">
      <c r="A5" s="735"/>
      <c r="B5" s="736"/>
      <c r="C5" s="735"/>
      <c r="D5" s="737"/>
      <c r="E5" s="738"/>
      <c r="F5" s="739" t="s">
        <v>78</v>
      </c>
      <c r="G5" s="740" t="s">
        <v>14</v>
      </c>
      <c r="H5" s="741"/>
      <c r="I5" s="741"/>
      <c r="J5" s="739" t="s">
        <v>78</v>
      </c>
      <c r="K5" s="740" t="s">
        <v>14</v>
      </c>
      <c r="L5" s="741"/>
      <c r="M5" s="741"/>
      <c r="N5" s="739" t="s">
        <v>78</v>
      </c>
      <c r="O5" s="740" t="s">
        <v>14</v>
      </c>
      <c r="P5" s="742"/>
      <c r="Q5" s="743"/>
    </row>
    <row r="6" spans="1:17" ht="14.4" customHeight="1" x14ac:dyDescent="0.3">
      <c r="A6" s="668" t="s">
        <v>2242</v>
      </c>
      <c r="B6" s="669" t="s">
        <v>2243</v>
      </c>
      <c r="C6" s="669" t="s">
        <v>2244</v>
      </c>
      <c r="D6" s="669" t="s">
        <v>2245</v>
      </c>
      <c r="E6" s="669" t="s">
        <v>2246</v>
      </c>
      <c r="F6" s="673"/>
      <c r="G6" s="673"/>
      <c r="H6" s="673"/>
      <c r="I6" s="673"/>
      <c r="J6" s="673">
        <v>1</v>
      </c>
      <c r="K6" s="673">
        <v>372</v>
      </c>
      <c r="L6" s="673">
        <v>1</v>
      </c>
      <c r="M6" s="673">
        <v>372</v>
      </c>
      <c r="N6" s="673"/>
      <c r="O6" s="673"/>
      <c r="P6" s="694"/>
      <c r="Q6" s="674"/>
    </row>
    <row r="7" spans="1:17" ht="14.4" customHeight="1" x14ac:dyDescent="0.3">
      <c r="A7" s="675" t="s">
        <v>484</v>
      </c>
      <c r="B7" s="676" t="s">
        <v>2247</v>
      </c>
      <c r="C7" s="676" t="s">
        <v>2244</v>
      </c>
      <c r="D7" s="676" t="s">
        <v>2248</v>
      </c>
      <c r="E7" s="676" t="s">
        <v>2249</v>
      </c>
      <c r="F7" s="680"/>
      <c r="G7" s="680"/>
      <c r="H7" s="680"/>
      <c r="I7" s="680"/>
      <c r="J7" s="680"/>
      <c r="K7" s="680"/>
      <c r="L7" s="680"/>
      <c r="M7" s="680"/>
      <c r="N7" s="680">
        <v>3</v>
      </c>
      <c r="O7" s="680">
        <v>1890</v>
      </c>
      <c r="P7" s="702"/>
      <c r="Q7" s="681">
        <v>630</v>
      </c>
    </row>
    <row r="8" spans="1:17" ht="14.4" customHeight="1" x14ac:dyDescent="0.3">
      <c r="A8" s="675" t="s">
        <v>484</v>
      </c>
      <c r="B8" s="676" t="s">
        <v>2247</v>
      </c>
      <c r="C8" s="676" t="s">
        <v>2244</v>
      </c>
      <c r="D8" s="676" t="s">
        <v>2250</v>
      </c>
      <c r="E8" s="676" t="s">
        <v>2251</v>
      </c>
      <c r="F8" s="680"/>
      <c r="G8" s="680"/>
      <c r="H8" s="680"/>
      <c r="I8" s="680"/>
      <c r="J8" s="680"/>
      <c r="K8" s="680"/>
      <c r="L8" s="680"/>
      <c r="M8" s="680"/>
      <c r="N8" s="680">
        <v>9</v>
      </c>
      <c r="O8" s="680">
        <v>15309</v>
      </c>
      <c r="P8" s="702"/>
      <c r="Q8" s="681">
        <v>1701</v>
      </c>
    </row>
    <row r="9" spans="1:17" ht="14.4" customHeight="1" x14ac:dyDescent="0.3">
      <c r="A9" s="675" t="s">
        <v>484</v>
      </c>
      <c r="B9" s="676" t="s">
        <v>2247</v>
      </c>
      <c r="C9" s="676" t="s">
        <v>2244</v>
      </c>
      <c r="D9" s="676" t="s">
        <v>2252</v>
      </c>
      <c r="E9" s="676" t="s">
        <v>2253</v>
      </c>
      <c r="F9" s="680"/>
      <c r="G9" s="680"/>
      <c r="H9" s="680"/>
      <c r="I9" s="680"/>
      <c r="J9" s="680"/>
      <c r="K9" s="680"/>
      <c r="L9" s="680"/>
      <c r="M9" s="680"/>
      <c r="N9" s="680">
        <v>1</v>
      </c>
      <c r="O9" s="680">
        <v>2523</v>
      </c>
      <c r="P9" s="702"/>
      <c r="Q9" s="681">
        <v>2523</v>
      </c>
    </row>
    <row r="10" spans="1:17" ht="14.4" customHeight="1" x14ac:dyDescent="0.3">
      <c r="A10" s="675" t="s">
        <v>484</v>
      </c>
      <c r="B10" s="676" t="s">
        <v>2247</v>
      </c>
      <c r="C10" s="676" t="s">
        <v>2244</v>
      </c>
      <c r="D10" s="676" t="s">
        <v>2254</v>
      </c>
      <c r="E10" s="676" t="s">
        <v>2255</v>
      </c>
      <c r="F10" s="680">
        <v>2</v>
      </c>
      <c r="G10" s="680">
        <v>6976</v>
      </c>
      <c r="H10" s="680"/>
      <c r="I10" s="680">
        <v>3488</v>
      </c>
      <c r="J10" s="680"/>
      <c r="K10" s="680"/>
      <c r="L10" s="680"/>
      <c r="M10" s="680"/>
      <c r="N10" s="680">
        <v>1</v>
      </c>
      <c r="O10" s="680">
        <v>3616</v>
      </c>
      <c r="P10" s="702"/>
      <c r="Q10" s="681">
        <v>3616</v>
      </c>
    </row>
    <row r="11" spans="1:17" ht="14.4" customHeight="1" x14ac:dyDescent="0.3">
      <c r="A11" s="675" t="s">
        <v>484</v>
      </c>
      <c r="B11" s="676" t="s">
        <v>2247</v>
      </c>
      <c r="C11" s="676" t="s">
        <v>2244</v>
      </c>
      <c r="D11" s="676" t="s">
        <v>2256</v>
      </c>
      <c r="E11" s="676" t="s">
        <v>2257</v>
      </c>
      <c r="F11" s="680">
        <v>26</v>
      </c>
      <c r="G11" s="680">
        <v>70148</v>
      </c>
      <c r="H11" s="680">
        <v>1.489658101507751</v>
      </c>
      <c r="I11" s="680">
        <v>2698</v>
      </c>
      <c r="J11" s="680">
        <v>17</v>
      </c>
      <c r="K11" s="680">
        <v>47090</v>
      </c>
      <c r="L11" s="680">
        <v>1</v>
      </c>
      <c r="M11" s="680">
        <v>2770</v>
      </c>
      <c r="N11" s="680">
        <v>23</v>
      </c>
      <c r="O11" s="680">
        <v>63732</v>
      </c>
      <c r="P11" s="702">
        <v>1.353408366956891</v>
      </c>
      <c r="Q11" s="681">
        <v>2770.9565217391305</v>
      </c>
    </row>
    <row r="12" spans="1:17" ht="14.4" customHeight="1" x14ac:dyDescent="0.3">
      <c r="A12" s="675" t="s">
        <v>484</v>
      </c>
      <c r="B12" s="676" t="s">
        <v>2247</v>
      </c>
      <c r="C12" s="676" t="s">
        <v>2244</v>
      </c>
      <c r="D12" s="676" t="s">
        <v>2258</v>
      </c>
      <c r="E12" s="676" t="s">
        <v>2259</v>
      </c>
      <c r="F12" s="680">
        <v>4</v>
      </c>
      <c r="G12" s="680">
        <v>23956</v>
      </c>
      <c r="H12" s="680">
        <v>0.55466543181291961</v>
      </c>
      <c r="I12" s="680">
        <v>5989</v>
      </c>
      <c r="J12" s="680">
        <v>7</v>
      </c>
      <c r="K12" s="680">
        <v>43190</v>
      </c>
      <c r="L12" s="680">
        <v>1</v>
      </c>
      <c r="M12" s="680">
        <v>6170</v>
      </c>
      <c r="N12" s="680">
        <v>5</v>
      </c>
      <c r="O12" s="680">
        <v>30865</v>
      </c>
      <c r="P12" s="702">
        <v>0.71463301690206071</v>
      </c>
      <c r="Q12" s="681">
        <v>6173</v>
      </c>
    </row>
    <row r="13" spans="1:17" ht="14.4" customHeight="1" x14ac:dyDescent="0.3">
      <c r="A13" s="675" t="s">
        <v>484</v>
      </c>
      <c r="B13" s="676" t="s">
        <v>2247</v>
      </c>
      <c r="C13" s="676" t="s">
        <v>2244</v>
      </c>
      <c r="D13" s="676" t="s">
        <v>2260</v>
      </c>
      <c r="E13" s="676" t="s">
        <v>2261</v>
      </c>
      <c r="F13" s="680">
        <v>1</v>
      </c>
      <c r="G13" s="680">
        <v>3123</v>
      </c>
      <c r="H13" s="680"/>
      <c r="I13" s="680">
        <v>3123</v>
      </c>
      <c r="J13" s="680"/>
      <c r="K13" s="680"/>
      <c r="L13" s="680"/>
      <c r="M13" s="680"/>
      <c r="N13" s="680"/>
      <c r="O13" s="680"/>
      <c r="P13" s="702"/>
      <c r="Q13" s="681"/>
    </row>
    <row r="14" spans="1:17" ht="14.4" customHeight="1" x14ac:dyDescent="0.3">
      <c r="A14" s="675" t="s">
        <v>484</v>
      </c>
      <c r="B14" s="676" t="s">
        <v>2247</v>
      </c>
      <c r="C14" s="676" t="s">
        <v>2244</v>
      </c>
      <c r="D14" s="676" t="s">
        <v>2262</v>
      </c>
      <c r="E14" s="676" t="s">
        <v>2263</v>
      </c>
      <c r="F14" s="680"/>
      <c r="G14" s="680"/>
      <c r="H14" s="680"/>
      <c r="I14" s="680"/>
      <c r="J14" s="680">
        <v>1</v>
      </c>
      <c r="K14" s="680">
        <v>2462</v>
      </c>
      <c r="L14" s="680">
        <v>1</v>
      </c>
      <c r="M14" s="680">
        <v>2462</v>
      </c>
      <c r="N14" s="680"/>
      <c r="O14" s="680"/>
      <c r="P14" s="702"/>
      <c r="Q14" s="681"/>
    </row>
    <row r="15" spans="1:17" ht="14.4" customHeight="1" x14ac:dyDescent="0.3">
      <c r="A15" s="675" t="s">
        <v>484</v>
      </c>
      <c r="B15" s="676" t="s">
        <v>2247</v>
      </c>
      <c r="C15" s="676" t="s">
        <v>2244</v>
      </c>
      <c r="D15" s="676" t="s">
        <v>2264</v>
      </c>
      <c r="E15" s="676" t="s">
        <v>2265</v>
      </c>
      <c r="F15" s="680">
        <v>25</v>
      </c>
      <c r="G15" s="680">
        <v>51825</v>
      </c>
      <c r="H15" s="680">
        <v>1.8585260892953201</v>
      </c>
      <c r="I15" s="680">
        <v>2073</v>
      </c>
      <c r="J15" s="680">
        <v>13</v>
      </c>
      <c r="K15" s="680">
        <v>27885</v>
      </c>
      <c r="L15" s="680">
        <v>1</v>
      </c>
      <c r="M15" s="680">
        <v>2145</v>
      </c>
      <c r="N15" s="680">
        <v>17</v>
      </c>
      <c r="O15" s="680">
        <v>36482</v>
      </c>
      <c r="P15" s="702">
        <v>1.3083019544558006</v>
      </c>
      <c r="Q15" s="681">
        <v>2146</v>
      </c>
    </row>
    <row r="16" spans="1:17" ht="14.4" customHeight="1" x14ac:dyDescent="0.3">
      <c r="A16" s="675" t="s">
        <v>484</v>
      </c>
      <c r="B16" s="676" t="s">
        <v>2247</v>
      </c>
      <c r="C16" s="676" t="s">
        <v>2244</v>
      </c>
      <c r="D16" s="676" t="s">
        <v>2266</v>
      </c>
      <c r="E16" s="676" t="s">
        <v>2267</v>
      </c>
      <c r="F16" s="680">
        <v>6</v>
      </c>
      <c r="G16" s="680">
        <v>9780</v>
      </c>
      <c r="H16" s="680">
        <v>5.828367103694875</v>
      </c>
      <c r="I16" s="680">
        <v>1630</v>
      </c>
      <c r="J16" s="680">
        <v>1</v>
      </c>
      <c r="K16" s="680">
        <v>1678</v>
      </c>
      <c r="L16" s="680">
        <v>1</v>
      </c>
      <c r="M16" s="680">
        <v>1678</v>
      </c>
      <c r="N16" s="680">
        <v>1</v>
      </c>
      <c r="O16" s="680">
        <v>1679</v>
      </c>
      <c r="P16" s="702">
        <v>1.0005959475566151</v>
      </c>
      <c r="Q16" s="681">
        <v>1679</v>
      </c>
    </row>
    <row r="17" spans="1:17" ht="14.4" customHeight="1" x14ac:dyDescent="0.3">
      <c r="A17" s="675" t="s">
        <v>484</v>
      </c>
      <c r="B17" s="676" t="s">
        <v>2247</v>
      </c>
      <c r="C17" s="676" t="s">
        <v>2244</v>
      </c>
      <c r="D17" s="676" t="s">
        <v>2268</v>
      </c>
      <c r="E17" s="676" t="s">
        <v>2269</v>
      </c>
      <c r="F17" s="680">
        <v>6</v>
      </c>
      <c r="G17" s="680">
        <v>13452</v>
      </c>
      <c r="H17" s="680">
        <v>0.96888504753673288</v>
      </c>
      <c r="I17" s="680">
        <v>2242</v>
      </c>
      <c r="J17" s="680">
        <v>6</v>
      </c>
      <c r="K17" s="680">
        <v>13884</v>
      </c>
      <c r="L17" s="680">
        <v>1</v>
      </c>
      <c r="M17" s="680">
        <v>2314</v>
      </c>
      <c r="N17" s="680">
        <v>5</v>
      </c>
      <c r="O17" s="680">
        <v>11574</v>
      </c>
      <c r="P17" s="702">
        <v>0.83362143474503025</v>
      </c>
      <c r="Q17" s="681">
        <v>2314.8000000000002</v>
      </c>
    </row>
    <row r="18" spans="1:17" ht="14.4" customHeight="1" x14ac:dyDescent="0.3">
      <c r="A18" s="675" t="s">
        <v>484</v>
      </c>
      <c r="B18" s="676" t="s">
        <v>2247</v>
      </c>
      <c r="C18" s="676" t="s">
        <v>2244</v>
      </c>
      <c r="D18" s="676" t="s">
        <v>2270</v>
      </c>
      <c r="E18" s="676" t="s">
        <v>2271</v>
      </c>
      <c r="F18" s="680">
        <v>6</v>
      </c>
      <c r="G18" s="680">
        <v>16182</v>
      </c>
      <c r="H18" s="680">
        <v>5.8439869989165762</v>
      </c>
      <c r="I18" s="680">
        <v>2697</v>
      </c>
      <c r="J18" s="680">
        <v>1</v>
      </c>
      <c r="K18" s="680">
        <v>2769</v>
      </c>
      <c r="L18" s="680">
        <v>1</v>
      </c>
      <c r="M18" s="680">
        <v>2769</v>
      </c>
      <c r="N18" s="680">
        <v>20</v>
      </c>
      <c r="O18" s="680">
        <v>55399</v>
      </c>
      <c r="P18" s="702">
        <v>20.006861682918021</v>
      </c>
      <c r="Q18" s="681">
        <v>2769.95</v>
      </c>
    </row>
    <row r="19" spans="1:17" ht="14.4" customHeight="1" x14ac:dyDescent="0.3">
      <c r="A19" s="675" t="s">
        <v>484</v>
      </c>
      <c r="B19" s="676" t="s">
        <v>2247</v>
      </c>
      <c r="C19" s="676" t="s">
        <v>2244</v>
      </c>
      <c r="D19" s="676" t="s">
        <v>2272</v>
      </c>
      <c r="E19" s="676" t="s">
        <v>2273</v>
      </c>
      <c r="F19" s="680">
        <v>2</v>
      </c>
      <c r="G19" s="680">
        <v>10296</v>
      </c>
      <c r="H19" s="680">
        <v>2</v>
      </c>
      <c r="I19" s="680">
        <v>5148</v>
      </c>
      <c r="J19" s="680">
        <v>1</v>
      </c>
      <c r="K19" s="680">
        <v>5148</v>
      </c>
      <c r="L19" s="680">
        <v>1</v>
      </c>
      <c r="M19" s="680">
        <v>5148</v>
      </c>
      <c r="N19" s="680">
        <v>2</v>
      </c>
      <c r="O19" s="680">
        <v>10296</v>
      </c>
      <c r="P19" s="702">
        <v>2</v>
      </c>
      <c r="Q19" s="681">
        <v>5148</v>
      </c>
    </row>
    <row r="20" spans="1:17" ht="14.4" customHeight="1" x14ac:dyDescent="0.3">
      <c r="A20" s="675" t="s">
        <v>484</v>
      </c>
      <c r="B20" s="676" t="s">
        <v>2247</v>
      </c>
      <c r="C20" s="676" t="s">
        <v>2244</v>
      </c>
      <c r="D20" s="676" t="s">
        <v>2274</v>
      </c>
      <c r="E20" s="676" t="s">
        <v>2275</v>
      </c>
      <c r="F20" s="680">
        <v>2</v>
      </c>
      <c r="G20" s="680">
        <v>9802</v>
      </c>
      <c r="H20" s="680"/>
      <c r="I20" s="680">
        <v>4901</v>
      </c>
      <c r="J20" s="680"/>
      <c r="K20" s="680"/>
      <c r="L20" s="680"/>
      <c r="M20" s="680"/>
      <c r="N20" s="680"/>
      <c r="O20" s="680"/>
      <c r="P20" s="702"/>
      <c r="Q20" s="681"/>
    </row>
    <row r="21" spans="1:17" ht="14.4" customHeight="1" x14ac:dyDescent="0.3">
      <c r="A21" s="675" t="s">
        <v>484</v>
      </c>
      <c r="B21" s="676" t="s">
        <v>2247</v>
      </c>
      <c r="C21" s="676" t="s">
        <v>2244</v>
      </c>
      <c r="D21" s="676" t="s">
        <v>2276</v>
      </c>
      <c r="E21" s="676" t="s">
        <v>2277</v>
      </c>
      <c r="F21" s="680">
        <v>18</v>
      </c>
      <c r="G21" s="680">
        <v>12528</v>
      </c>
      <c r="H21" s="680"/>
      <c r="I21" s="680">
        <v>696</v>
      </c>
      <c r="J21" s="680"/>
      <c r="K21" s="680"/>
      <c r="L21" s="680"/>
      <c r="M21" s="680"/>
      <c r="N21" s="680"/>
      <c r="O21" s="680"/>
      <c r="P21" s="702"/>
      <c r="Q21" s="681"/>
    </row>
    <row r="22" spans="1:17" ht="14.4" customHeight="1" x14ac:dyDescent="0.3">
      <c r="A22" s="675" t="s">
        <v>484</v>
      </c>
      <c r="B22" s="676" t="s">
        <v>2247</v>
      </c>
      <c r="C22" s="676" t="s">
        <v>2244</v>
      </c>
      <c r="D22" s="676" t="s">
        <v>2278</v>
      </c>
      <c r="E22" s="676" t="s">
        <v>2279</v>
      </c>
      <c r="F22" s="680"/>
      <c r="G22" s="680"/>
      <c r="H22" s="680"/>
      <c r="I22" s="680"/>
      <c r="J22" s="680"/>
      <c r="K22" s="680"/>
      <c r="L22" s="680"/>
      <c r="M22" s="680"/>
      <c r="N22" s="680">
        <v>1</v>
      </c>
      <c r="O22" s="680">
        <v>1709</v>
      </c>
      <c r="P22" s="702"/>
      <c r="Q22" s="681">
        <v>1709</v>
      </c>
    </row>
    <row r="23" spans="1:17" ht="14.4" customHeight="1" x14ac:dyDescent="0.3">
      <c r="A23" s="675" t="s">
        <v>484</v>
      </c>
      <c r="B23" s="676" t="s">
        <v>2247</v>
      </c>
      <c r="C23" s="676" t="s">
        <v>2244</v>
      </c>
      <c r="D23" s="676" t="s">
        <v>2280</v>
      </c>
      <c r="E23" s="676" t="s">
        <v>2281</v>
      </c>
      <c r="F23" s="680">
        <v>13</v>
      </c>
      <c r="G23" s="680">
        <v>10647</v>
      </c>
      <c r="H23" s="680">
        <v>0.90968899521531099</v>
      </c>
      <c r="I23" s="680">
        <v>819</v>
      </c>
      <c r="J23" s="680">
        <v>14</v>
      </c>
      <c r="K23" s="680">
        <v>11704</v>
      </c>
      <c r="L23" s="680">
        <v>1</v>
      </c>
      <c r="M23" s="680">
        <v>836</v>
      </c>
      <c r="N23" s="680">
        <v>11</v>
      </c>
      <c r="O23" s="680">
        <v>9207</v>
      </c>
      <c r="P23" s="702">
        <v>0.78665413533834583</v>
      </c>
      <c r="Q23" s="681">
        <v>837</v>
      </c>
    </row>
    <row r="24" spans="1:17" ht="14.4" customHeight="1" x14ac:dyDescent="0.3">
      <c r="A24" s="675" t="s">
        <v>484</v>
      </c>
      <c r="B24" s="676" t="s">
        <v>2247</v>
      </c>
      <c r="C24" s="676" t="s">
        <v>2244</v>
      </c>
      <c r="D24" s="676" t="s">
        <v>2282</v>
      </c>
      <c r="E24" s="676" t="s">
        <v>2283</v>
      </c>
      <c r="F24" s="680">
        <v>4</v>
      </c>
      <c r="G24" s="680">
        <v>0</v>
      </c>
      <c r="H24" s="680"/>
      <c r="I24" s="680">
        <v>0</v>
      </c>
      <c r="J24" s="680">
        <v>5</v>
      </c>
      <c r="K24" s="680">
        <v>0</v>
      </c>
      <c r="L24" s="680"/>
      <c r="M24" s="680">
        <v>0</v>
      </c>
      <c r="N24" s="680">
        <v>8</v>
      </c>
      <c r="O24" s="680">
        <v>0</v>
      </c>
      <c r="P24" s="702"/>
      <c r="Q24" s="681">
        <v>0</v>
      </c>
    </row>
    <row r="25" spans="1:17" ht="14.4" customHeight="1" x14ac:dyDescent="0.3">
      <c r="A25" s="675" t="s">
        <v>484</v>
      </c>
      <c r="B25" s="676" t="s">
        <v>2247</v>
      </c>
      <c r="C25" s="676" t="s">
        <v>2244</v>
      </c>
      <c r="D25" s="676" t="s">
        <v>2284</v>
      </c>
      <c r="E25" s="676" t="s">
        <v>2285</v>
      </c>
      <c r="F25" s="680">
        <v>1</v>
      </c>
      <c r="G25" s="680">
        <v>0</v>
      </c>
      <c r="H25" s="680"/>
      <c r="I25" s="680">
        <v>0</v>
      </c>
      <c r="J25" s="680"/>
      <c r="K25" s="680"/>
      <c r="L25" s="680"/>
      <c r="M25" s="680"/>
      <c r="N25" s="680">
        <v>1</v>
      </c>
      <c r="O25" s="680">
        <v>0</v>
      </c>
      <c r="P25" s="702"/>
      <c r="Q25" s="681">
        <v>0</v>
      </c>
    </row>
    <row r="26" spans="1:17" ht="14.4" customHeight="1" x14ac:dyDescent="0.3">
      <c r="A26" s="675" t="s">
        <v>484</v>
      </c>
      <c r="B26" s="676" t="s">
        <v>2247</v>
      </c>
      <c r="C26" s="676" t="s">
        <v>2244</v>
      </c>
      <c r="D26" s="676" t="s">
        <v>2286</v>
      </c>
      <c r="E26" s="676" t="s">
        <v>2287</v>
      </c>
      <c r="F26" s="680">
        <v>2</v>
      </c>
      <c r="G26" s="680">
        <v>0</v>
      </c>
      <c r="H26" s="680"/>
      <c r="I26" s="680">
        <v>0</v>
      </c>
      <c r="J26" s="680"/>
      <c r="K26" s="680"/>
      <c r="L26" s="680"/>
      <c r="M26" s="680"/>
      <c r="N26" s="680">
        <v>2</v>
      </c>
      <c r="O26" s="680">
        <v>0</v>
      </c>
      <c r="P26" s="702"/>
      <c r="Q26" s="681">
        <v>0</v>
      </c>
    </row>
    <row r="27" spans="1:17" ht="14.4" customHeight="1" x14ac:dyDescent="0.3">
      <c r="A27" s="675" t="s">
        <v>484</v>
      </c>
      <c r="B27" s="676" t="s">
        <v>2247</v>
      </c>
      <c r="C27" s="676" t="s">
        <v>2244</v>
      </c>
      <c r="D27" s="676" t="s">
        <v>2288</v>
      </c>
      <c r="E27" s="676" t="s">
        <v>2289</v>
      </c>
      <c r="F27" s="680">
        <v>2</v>
      </c>
      <c r="G27" s="680">
        <v>0</v>
      </c>
      <c r="H27" s="680"/>
      <c r="I27" s="680">
        <v>0</v>
      </c>
      <c r="J27" s="680">
        <v>1</v>
      </c>
      <c r="K27" s="680">
        <v>0</v>
      </c>
      <c r="L27" s="680"/>
      <c r="M27" s="680">
        <v>0</v>
      </c>
      <c r="N27" s="680"/>
      <c r="O27" s="680"/>
      <c r="P27" s="702"/>
      <c r="Q27" s="681"/>
    </row>
    <row r="28" spans="1:17" ht="14.4" customHeight="1" x14ac:dyDescent="0.3">
      <c r="A28" s="675" t="s">
        <v>484</v>
      </c>
      <c r="B28" s="676" t="s">
        <v>2247</v>
      </c>
      <c r="C28" s="676" t="s">
        <v>2244</v>
      </c>
      <c r="D28" s="676" t="s">
        <v>2290</v>
      </c>
      <c r="E28" s="676" t="s">
        <v>2291</v>
      </c>
      <c r="F28" s="680"/>
      <c r="G28" s="680"/>
      <c r="H28" s="680"/>
      <c r="I28" s="680"/>
      <c r="J28" s="680">
        <v>1</v>
      </c>
      <c r="K28" s="680">
        <v>0</v>
      </c>
      <c r="L28" s="680"/>
      <c r="M28" s="680">
        <v>0</v>
      </c>
      <c r="N28" s="680"/>
      <c r="O28" s="680"/>
      <c r="P28" s="702"/>
      <c r="Q28" s="681"/>
    </row>
    <row r="29" spans="1:17" ht="14.4" customHeight="1" x14ac:dyDescent="0.3">
      <c r="A29" s="675" t="s">
        <v>484</v>
      </c>
      <c r="B29" s="676" t="s">
        <v>2247</v>
      </c>
      <c r="C29" s="676" t="s">
        <v>2244</v>
      </c>
      <c r="D29" s="676" t="s">
        <v>2292</v>
      </c>
      <c r="E29" s="676" t="s">
        <v>2293</v>
      </c>
      <c r="F29" s="680"/>
      <c r="G29" s="680"/>
      <c r="H29" s="680"/>
      <c r="I29" s="680"/>
      <c r="J29" s="680">
        <v>1</v>
      </c>
      <c r="K29" s="680">
        <v>0</v>
      </c>
      <c r="L29" s="680"/>
      <c r="M29" s="680">
        <v>0</v>
      </c>
      <c r="N29" s="680"/>
      <c r="O29" s="680"/>
      <c r="P29" s="702"/>
      <c r="Q29" s="681"/>
    </row>
    <row r="30" spans="1:17" ht="14.4" customHeight="1" x14ac:dyDescent="0.3">
      <c r="A30" s="675" t="s">
        <v>484</v>
      </c>
      <c r="B30" s="676" t="s">
        <v>2247</v>
      </c>
      <c r="C30" s="676" t="s">
        <v>2244</v>
      </c>
      <c r="D30" s="676" t="s">
        <v>2294</v>
      </c>
      <c r="E30" s="676" t="s">
        <v>2295</v>
      </c>
      <c r="F30" s="680"/>
      <c r="G30" s="680"/>
      <c r="H30" s="680"/>
      <c r="I30" s="680"/>
      <c r="J30" s="680"/>
      <c r="K30" s="680"/>
      <c r="L30" s="680"/>
      <c r="M30" s="680"/>
      <c r="N30" s="680">
        <v>1</v>
      </c>
      <c r="O30" s="680">
        <v>0</v>
      </c>
      <c r="P30" s="702"/>
      <c r="Q30" s="681">
        <v>0</v>
      </c>
    </row>
    <row r="31" spans="1:17" ht="14.4" customHeight="1" x14ac:dyDescent="0.3">
      <c r="A31" s="675" t="s">
        <v>484</v>
      </c>
      <c r="B31" s="676" t="s">
        <v>2247</v>
      </c>
      <c r="C31" s="676" t="s">
        <v>2244</v>
      </c>
      <c r="D31" s="676" t="s">
        <v>2296</v>
      </c>
      <c r="E31" s="676" t="s">
        <v>2297</v>
      </c>
      <c r="F31" s="680">
        <v>1</v>
      </c>
      <c r="G31" s="680">
        <v>0</v>
      </c>
      <c r="H31" s="680"/>
      <c r="I31" s="680">
        <v>0</v>
      </c>
      <c r="J31" s="680"/>
      <c r="K31" s="680"/>
      <c r="L31" s="680"/>
      <c r="M31" s="680"/>
      <c r="N31" s="680">
        <v>2</v>
      </c>
      <c r="O31" s="680">
        <v>0</v>
      </c>
      <c r="P31" s="702"/>
      <c r="Q31" s="681">
        <v>0</v>
      </c>
    </row>
    <row r="32" spans="1:17" ht="14.4" customHeight="1" x14ac:dyDescent="0.3">
      <c r="A32" s="675" t="s">
        <v>484</v>
      </c>
      <c r="B32" s="676" t="s">
        <v>2247</v>
      </c>
      <c r="C32" s="676" t="s">
        <v>2244</v>
      </c>
      <c r="D32" s="676" t="s">
        <v>2298</v>
      </c>
      <c r="E32" s="676" t="s">
        <v>2299</v>
      </c>
      <c r="F32" s="680">
        <v>1</v>
      </c>
      <c r="G32" s="680">
        <v>0</v>
      </c>
      <c r="H32" s="680"/>
      <c r="I32" s="680">
        <v>0</v>
      </c>
      <c r="J32" s="680">
        <v>1</v>
      </c>
      <c r="K32" s="680">
        <v>0</v>
      </c>
      <c r="L32" s="680"/>
      <c r="M32" s="680">
        <v>0</v>
      </c>
      <c r="N32" s="680"/>
      <c r="O32" s="680"/>
      <c r="P32" s="702"/>
      <c r="Q32" s="681"/>
    </row>
    <row r="33" spans="1:17" ht="14.4" customHeight="1" x14ac:dyDescent="0.3">
      <c r="A33" s="675" t="s">
        <v>484</v>
      </c>
      <c r="B33" s="676" t="s">
        <v>2247</v>
      </c>
      <c r="C33" s="676" t="s">
        <v>2244</v>
      </c>
      <c r="D33" s="676" t="s">
        <v>2300</v>
      </c>
      <c r="E33" s="676" t="s">
        <v>2301</v>
      </c>
      <c r="F33" s="680"/>
      <c r="G33" s="680"/>
      <c r="H33" s="680"/>
      <c r="I33" s="680"/>
      <c r="J33" s="680">
        <v>1</v>
      </c>
      <c r="K33" s="680">
        <v>0</v>
      </c>
      <c r="L33" s="680"/>
      <c r="M33" s="680">
        <v>0</v>
      </c>
      <c r="N33" s="680"/>
      <c r="O33" s="680"/>
      <c r="P33" s="702"/>
      <c r="Q33" s="681"/>
    </row>
    <row r="34" spans="1:17" ht="14.4" customHeight="1" x14ac:dyDescent="0.3">
      <c r="A34" s="675" t="s">
        <v>484</v>
      </c>
      <c r="B34" s="676" t="s">
        <v>2247</v>
      </c>
      <c r="C34" s="676" t="s">
        <v>2244</v>
      </c>
      <c r="D34" s="676" t="s">
        <v>2302</v>
      </c>
      <c r="E34" s="676" t="s">
        <v>2303</v>
      </c>
      <c r="F34" s="680"/>
      <c r="G34" s="680"/>
      <c r="H34" s="680"/>
      <c r="I34" s="680"/>
      <c r="J34" s="680">
        <v>1</v>
      </c>
      <c r="K34" s="680">
        <v>0</v>
      </c>
      <c r="L34" s="680"/>
      <c r="M34" s="680">
        <v>0</v>
      </c>
      <c r="N34" s="680">
        <v>1</v>
      </c>
      <c r="O34" s="680">
        <v>0</v>
      </c>
      <c r="P34" s="702"/>
      <c r="Q34" s="681">
        <v>0</v>
      </c>
    </row>
    <row r="35" spans="1:17" ht="14.4" customHeight="1" x14ac:dyDescent="0.3">
      <c r="A35" s="675" t="s">
        <v>484</v>
      </c>
      <c r="B35" s="676" t="s">
        <v>2247</v>
      </c>
      <c r="C35" s="676" t="s">
        <v>2244</v>
      </c>
      <c r="D35" s="676" t="s">
        <v>2304</v>
      </c>
      <c r="E35" s="676" t="s">
        <v>2305</v>
      </c>
      <c r="F35" s="680"/>
      <c r="G35" s="680"/>
      <c r="H35" s="680"/>
      <c r="I35" s="680"/>
      <c r="J35" s="680">
        <v>1</v>
      </c>
      <c r="K35" s="680">
        <v>0</v>
      </c>
      <c r="L35" s="680"/>
      <c r="M35" s="680">
        <v>0</v>
      </c>
      <c r="N35" s="680"/>
      <c r="O35" s="680"/>
      <c r="P35" s="702"/>
      <c r="Q35" s="681"/>
    </row>
    <row r="36" spans="1:17" ht="14.4" customHeight="1" x14ac:dyDescent="0.3">
      <c r="A36" s="675" t="s">
        <v>484</v>
      </c>
      <c r="B36" s="676" t="s">
        <v>2247</v>
      </c>
      <c r="C36" s="676" t="s">
        <v>2244</v>
      </c>
      <c r="D36" s="676" t="s">
        <v>2306</v>
      </c>
      <c r="E36" s="676" t="s">
        <v>2307</v>
      </c>
      <c r="F36" s="680"/>
      <c r="G36" s="680"/>
      <c r="H36" s="680"/>
      <c r="I36" s="680"/>
      <c r="J36" s="680"/>
      <c r="K36" s="680"/>
      <c r="L36" s="680"/>
      <c r="M36" s="680"/>
      <c r="N36" s="680">
        <v>1</v>
      </c>
      <c r="O36" s="680">
        <v>0</v>
      </c>
      <c r="P36" s="702"/>
      <c r="Q36" s="681">
        <v>0</v>
      </c>
    </row>
    <row r="37" spans="1:17" ht="14.4" customHeight="1" x14ac:dyDescent="0.3">
      <c r="A37" s="675" t="s">
        <v>484</v>
      </c>
      <c r="B37" s="676" t="s">
        <v>2247</v>
      </c>
      <c r="C37" s="676" t="s">
        <v>2244</v>
      </c>
      <c r="D37" s="676" t="s">
        <v>2308</v>
      </c>
      <c r="E37" s="676" t="s">
        <v>2309</v>
      </c>
      <c r="F37" s="680">
        <v>2</v>
      </c>
      <c r="G37" s="680">
        <v>0</v>
      </c>
      <c r="H37" s="680"/>
      <c r="I37" s="680">
        <v>0</v>
      </c>
      <c r="J37" s="680">
        <v>5</v>
      </c>
      <c r="K37" s="680">
        <v>0</v>
      </c>
      <c r="L37" s="680"/>
      <c r="M37" s="680">
        <v>0</v>
      </c>
      <c r="N37" s="680">
        <v>7</v>
      </c>
      <c r="O37" s="680">
        <v>0</v>
      </c>
      <c r="P37" s="702"/>
      <c r="Q37" s="681">
        <v>0</v>
      </c>
    </row>
    <row r="38" spans="1:17" ht="14.4" customHeight="1" x14ac:dyDescent="0.3">
      <c r="A38" s="675" t="s">
        <v>484</v>
      </c>
      <c r="B38" s="676" t="s">
        <v>2247</v>
      </c>
      <c r="C38" s="676" t="s">
        <v>2244</v>
      </c>
      <c r="D38" s="676" t="s">
        <v>2310</v>
      </c>
      <c r="E38" s="676" t="s">
        <v>2311</v>
      </c>
      <c r="F38" s="680">
        <v>2</v>
      </c>
      <c r="G38" s="680">
        <v>1510</v>
      </c>
      <c r="H38" s="680">
        <v>0.98307291666666663</v>
      </c>
      <c r="I38" s="680">
        <v>755</v>
      </c>
      <c r="J38" s="680">
        <v>2</v>
      </c>
      <c r="K38" s="680">
        <v>1536</v>
      </c>
      <c r="L38" s="680">
        <v>1</v>
      </c>
      <c r="M38" s="680">
        <v>768</v>
      </c>
      <c r="N38" s="680"/>
      <c r="O38" s="680"/>
      <c r="P38" s="702"/>
      <c r="Q38" s="681"/>
    </row>
    <row r="39" spans="1:17" ht="14.4" customHeight="1" x14ac:dyDescent="0.3">
      <c r="A39" s="675" t="s">
        <v>484</v>
      </c>
      <c r="B39" s="676" t="s">
        <v>2247</v>
      </c>
      <c r="C39" s="676" t="s">
        <v>2244</v>
      </c>
      <c r="D39" s="676" t="s">
        <v>2312</v>
      </c>
      <c r="E39" s="676" t="s">
        <v>2313</v>
      </c>
      <c r="F39" s="680"/>
      <c r="G39" s="680"/>
      <c r="H39" s="680"/>
      <c r="I39" s="680"/>
      <c r="J39" s="680">
        <v>1</v>
      </c>
      <c r="K39" s="680">
        <v>532</v>
      </c>
      <c r="L39" s="680">
        <v>1</v>
      </c>
      <c r="M39" s="680">
        <v>532</v>
      </c>
      <c r="N39" s="680">
        <v>1</v>
      </c>
      <c r="O39" s="680">
        <v>532</v>
      </c>
      <c r="P39" s="702">
        <v>1</v>
      </c>
      <c r="Q39" s="681">
        <v>532</v>
      </c>
    </row>
    <row r="40" spans="1:17" ht="14.4" customHeight="1" x14ac:dyDescent="0.3">
      <c r="A40" s="675" t="s">
        <v>484</v>
      </c>
      <c r="B40" s="676" t="s">
        <v>2247</v>
      </c>
      <c r="C40" s="676" t="s">
        <v>2244</v>
      </c>
      <c r="D40" s="676" t="s">
        <v>2314</v>
      </c>
      <c r="E40" s="676" t="s">
        <v>2315</v>
      </c>
      <c r="F40" s="680"/>
      <c r="G40" s="680"/>
      <c r="H40" s="680"/>
      <c r="I40" s="680"/>
      <c r="J40" s="680">
        <v>1</v>
      </c>
      <c r="K40" s="680">
        <v>2810</v>
      </c>
      <c r="L40" s="680">
        <v>1</v>
      </c>
      <c r="M40" s="680">
        <v>2810</v>
      </c>
      <c r="N40" s="680"/>
      <c r="O40" s="680"/>
      <c r="P40" s="702"/>
      <c r="Q40" s="681"/>
    </row>
    <row r="41" spans="1:17" ht="14.4" customHeight="1" x14ac:dyDescent="0.3">
      <c r="A41" s="675" t="s">
        <v>484</v>
      </c>
      <c r="B41" s="676" t="s">
        <v>2247</v>
      </c>
      <c r="C41" s="676" t="s">
        <v>2244</v>
      </c>
      <c r="D41" s="676" t="s">
        <v>2316</v>
      </c>
      <c r="E41" s="676" t="s">
        <v>2317</v>
      </c>
      <c r="F41" s="680">
        <v>3</v>
      </c>
      <c r="G41" s="680">
        <v>2445</v>
      </c>
      <c r="H41" s="680">
        <v>2.9141835518474375</v>
      </c>
      <c r="I41" s="680">
        <v>815</v>
      </c>
      <c r="J41" s="680">
        <v>1</v>
      </c>
      <c r="K41" s="680">
        <v>839</v>
      </c>
      <c r="L41" s="680">
        <v>1</v>
      </c>
      <c r="M41" s="680">
        <v>839</v>
      </c>
      <c r="N41" s="680">
        <v>3</v>
      </c>
      <c r="O41" s="680">
        <v>2520</v>
      </c>
      <c r="P41" s="702">
        <v>3.00357568533969</v>
      </c>
      <c r="Q41" s="681">
        <v>840</v>
      </c>
    </row>
    <row r="42" spans="1:17" ht="14.4" customHeight="1" x14ac:dyDescent="0.3">
      <c r="A42" s="675" t="s">
        <v>484</v>
      </c>
      <c r="B42" s="676" t="s">
        <v>2247</v>
      </c>
      <c r="C42" s="676" t="s">
        <v>2244</v>
      </c>
      <c r="D42" s="676" t="s">
        <v>2318</v>
      </c>
      <c r="E42" s="676" t="s">
        <v>2319</v>
      </c>
      <c r="F42" s="680">
        <v>1</v>
      </c>
      <c r="G42" s="680">
        <v>6126</v>
      </c>
      <c r="H42" s="680"/>
      <c r="I42" s="680">
        <v>6126</v>
      </c>
      <c r="J42" s="680"/>
      <c r="K42" s="680"/>
      <c r="L42" s="680"/>
      <c r="M42" s="680"/>
      <c r="N42" s="680"/>
      <c r="O42" s="680"/>
      <c r="P42" s="702"/>
      <c r="Q42" s="681"/>
    </row>
    <row r="43" spans="1:17" ht="14.4" customHeight="1" x14ac:dyDescent="0.3">
      <c r="A43" s="675" t="s">
        <v>484</v>
      </c>
      <c r="B43" s="676" t="s">
        <v>2247</v>
      </c>
      <c r="C43" s="676" t="s">
        <v>2244</v>
      </c>
      <c r="D43" s="676" t="s">
        <v>2320</v>
      </c>
      <c r="E43" s="676" t="s">
        <v>2321</v>
      </c>
      <c r="F43" s="680">
        <v>3</v>
      </c>
      <c r="G43" s="680">
        <v>27369</v>
      </c>
      <c r="H43" s="680">
        <v>0.58599721657210146</v>
      </c>
      <c r="I43" s="680">
        <v>9123</v>
      </c>
      <c r="J43" s="680">
        <v>5</v>
      </c>
      <c r="K43" s="680">
        <v>46705</v>
      </c>
      <c r="L43" s="680">
        <v>1</v>
      </c>
      <c r="M43" s="680">
        <v>9341</v>
      </c>
      <c r="N43" s="680">
        <v>4</v>
      </c>
      <c r="O43" s="680">
        <v>37384</v>
      </c>
      <c r="P43" s="702">
        <v>0.8004282196766942</v>
      </c>
      <c r="Q43" s="681">
        <v>9346</v>
      </c>
    </row>
    <row r="44" spans="1:17" ht="14.4" customHeight="1" x14ac:dyDescent="0.3">
      <c r="A44" s="675" t="s">
        <v>484</v>
      </c>
      <c r="B44" s="676" t="s">
        <v>2247</v>
      </c>
      <c r="C44" s="676" t="s">
        <v>2244</v>
      </c>
      <c r="D44" s="676" t="s">
        <v>2322</v>
      </c>
      <c r="E44" s="676" t="s">
        <v>2323</v>
      </c>
      <c r="F44" s="680">
        <v>4</v>
      </c>
      <c r="G44" s="680">
        <v>1744</v>
      </c>
      <c r="H44" s="680"/>
      <c r="I44" s="680">
        <v>436</v>
      </c>
      <c r="J44" s="680"/>
      <c r="K44" s="680"/>
      <c r="L44" s="680"/>
      <c r="M44" s="680"/>
      <c r="N44" s="680">
        <v>2</v>
      </c>
      <c r="O44" s="680">
        <v>890</v>
      </c>
      <c r="P44" s="702"/>
      <c r="Q44" s="681">
        <v>445</v>
      </c>
    </row>
    <row r="45" spans="1:17" ht="14.4" customHeight="1" x14ac:dyDescent="0.3">
      <c r="A45" s="675" t="s">
        <v>484</v>
      </c>
      <c r="B45" s="676" t="s">
        <v>2247</v>
      </c>
      <c r="C45" s="676" t="s">
        <v>2244</v>
      </c>
      <c r="D45" s="676" t="s">
        <v>2324</v>
      </c>
      <c r="E45" s="676" t="s">
        <v>2325</v>
      </c>
      <c r="F45" s="680">
        <v>5</v>
      </c>
      <c r="G45" s="680">
        <v>4260</v>
      </c>
      <c r="H45" s="680"/>
      <c r="I45" s="680">
        <v>852</v>
      </c>
      <c r="J45" s="680"/>
      <c r="K45" s="680"/>
      <c r="L45" s="680"/>
      <c r="M45" s="680"/>
      <c r="N45" s="680">
        <v>9</v>
      </c>
      <c r="O45" s="680">
        <v>7785</v>
      </c>
      <c r="P45" s="702"/>
      <c r="Q45" s="681">
        <v>865</v>
      </c>
    </row>
    <row r="46" spans="1:17" ht="14.4" customHeight="1" x14ac:dyDescent="0.3">
      <c r="A46" s="675" t="s">
        <v>484</v>
      </c>
      <c r="B46" s="676" t="s">
        <v>2247</v>
      </c>
      <c r="C46" s="676" t="s">
        <v>2244</v>
      </c>
      <c r="D46" s="676" t="s">
        <v>2326</v>
      </c>
      <c r="E46" s="676" t="s">
        <v>2327</v>
      </c>
      <c r="F46" s="680">
        <v>10</v>
      </c>
      <c r="G46" s="680">
        <v>34920</v>
      </c>
      <c r="H46" s="680">
        <v>1.6112956810631229</v>
      </c>
      <c r="I46" s="680">
        <v>3492</v>
      </c>
      <c r="J46" s="680">
        <v>6</v>
      </c>
      <c r="K46" s="680">
        <v>21672</v>
      </c>
      <c r="L46" s="680">
        <v>1</v>
      </c>
      <c r="M46" s="680">
        <v>3612</v>
      </c>
      <c r="N46" s="680">
        <v>4</v>
      </c>
      <c r="O46" s="680">
        <v>14456</v>
      </c>
      <c r="P46" s="702">
        <v>0.66703580657069028</v>
      </c>
      <c r="Q46" s="681">
        <v>3614</v>
      </c>
    </row>
    <row r="47" spans="1:17" ht="14.4" customHeight="1" x14ac:dyDescent="0.3">
      <c r="A47" s="675" t="s">
        <v>484</v>
      </c>
      <c r="B47" s="676" t="s">
        <v>2247</v>
      </c>
      <c r="C47" s="676" t="s">
        <v>2244</v>
      </c>
      <c r="D47" s="676" t="s">
        <v>2328</v>
      </c>
      <c r="E47" s="676" t="s">
        <v>2329</v>
      </c>
      <c r="F47" s="680"/>
      <c r="G47" s="680"/>
      <c r="H47" s="680"/>
      <c r="I47" s="680"/>
      <c r="J47" s="680">
        <v>1</v>
      </c>
      <c r="K47" s="680">
        <v>3741</v>
      </c>
      <c r="L47" s="680">
        <v>1</v>
      </c>
      <c r="M47" s="680">
        <v>3741</v>
      </c>
      <c r="N47" s="680"/>
      <c r="O47" s="680"/>
      <c r="P47" s="702"/>
      <c r="Q47" s="681"/>
    </row>
    <row r="48" spans="1:17" ht="14.4" customHeight="1" x14ac:dyDescent="0.3">
      <c r="A48" s="675" t="s">
        <v>484</v>
      </c>
      <c r="B48" s="676" t="s">
        <v>2247</v>
      </c>
      <c r="C48" s="676" t="s">
        <v>2244</v>
      </c>
      <c r="D48" s="676" t="s">
        <v>2330</v>
      </c>
      <c r="E48" s="676" t="s">
        <v>2331</v>
      </c>
      <c r="F48" s="680">
        <v>2</v>
      </c>
      <c r="G48" s="680">
        <v>358</v>
      </c>
      <c r="H48" s="680"/>
      <c r="I48" s="680">
        <v>179</v>
      </c>
      <c r="J48" s="680"/>
      <c r="K48" s="680"/>
      <c r="L48" s="680"/>
      <c r="M48" s="680"/>
      <c r="N48" s="680"/>
      <c r="O48" s="680"/>
      <c r="P48" s="702"/>
      <c r="Q48" s="681"/>
    </row>
    <row r="49" spans="1:17" ht="14.4" customHeight="1" x14ac:dyDescent="0.3">
      <c r="A49" s="675" t="s">
        <v>484</v>
      </c>
      <c r="B49" s="676" t="s">
        <v>2247</v>
      </c>
      <c r="C49" s="676" t="s">
        <v>2244</v>
      </c>
      <c r="D49" s="676" t="s">
        <v>2332</v>
      </c>
      <c r="E49" s="676" t="s">
        <v>2333</v>
      </c>
      <c r="F49" s="680"/>
      <c r="G49" s="680"/>
      <c r="H49" s="680"/>
      <c r="I49" s="680"/>
      <c r="J49" s="680">
        <v>2</v>
      </c>
      <c r="K49" s="680">
        <v>3968</v>
      </c>
      <c r="L49" s="680">
        <v>1</v>
      </c>
      <c r="M49" s="680">
        <v>1984</v>
      </c>
      <c r="N49" s="680"/>
      <c r="O49" s="680"/>
      <c r="P49" s="702"/>
      <c r="Q49" s="681"/>
    </row>
    <row r="50" spans="1:17" ht="14.4" customHeight="1" x14ac:dyDescent="0.3">
      <c r="A50" s="675" t="s">
        <v>484</v>
      </c>
      <c r="B50" s="676" t="s">
        <v>2247</v>
      </c>
      <c r="C50" s="676" t="s">
        <v>2244</v>
      </c>
      <c r="D50" s="676" t="s">
        <v>2334</v>
      </c>
      <c r="E50" s="676" t="s">
        <v>2335</v>
      </c>
      <c r="F50" s="680">
        <v>4</v>
      </c>
      <c r="G50" s="680">
        <v>2540</v>
      </c>
      <c r="H50" s="680"/>
      <c r="I50" s="680">
        <v>635</v>
      </c>
      <c r="J50" s="680"/>
      <c r="K50" s="680"/>
      <c r="L50" s="680"/>
      <c r="M50" s="680"/>
      <c r="N50" s="680"/>
      <c r="O50" s="680"/>
      <c r="P50" s="702"/>
      <c r="Q50" s="681"/>
    </row>
    <row r="51" spans="1:17" ht="14.4" customHeight="1" x14ac:dyDescent="0.3">
      <c r="A51" s="675" t="s">
        <v>484</v>
      </c>
      <c r="B51" s="676" t="s">
        <v>2247</v>
      </c>
      <c r="C51" s="676" t="s">
        <v>2244</v>
      </c>
      <c r="D51" s="676" t="s">
        <v>2336</v>
      </c>
      <c r="E51" s="676" t="s">
        <v>2337</v>
      </c>
      <c r="F51" s="680"/>
      <c r="G51" s="680"/>
      <c r="H51" s="680"/>
      <c r="I51" s="680"/>
      <c r="J51" s="680">
        <v>1</v>
      </c>
      <c r="K51" s="680">
        <v>15607</v>
      </c>
      <c r="L51" s="680">
        <v>1</v>
      </c>
      <c r="M51" s="680">
        <v>15607</v>
      </c>
      <c r="N51" s="680"/>
      <c r="O51" s="680"/>
      <c r="P51" s="702"/>
      <c r="Q51" s="681"/>
    </row>
    <row r="52" spans="1:17" ht="14.4" customHeight="1" x14ac:dyDescent="0.3">
      <c r="A52" s="675" t="s">
        <v>484</v>
      </c>
      <c r="B52" s="676" t="s">
        <v>2247</v>
      </c>
      <c r="C52" s="676" t="s">
        <v>2244</v>
      </c>
      <c r="D52" s="676" t="s">
        <v>2338</v>
      </c>
      <c r="E52" s="676" t="s">
        <v>2339</v>
      </c>
      <c r="F52" s="680"/>
      <c r="G52" s="680"/>
      <c r="H52" s="680"/>
      <c r="I52" s="680"/>
      <c r="J52" s="680">
        <v>2</v>
      </c>
      <c r="K52" s="680">
        <v>32150</v>
      </c>
      <c r="L52" s="680">
        <v>1</v>
      </c>
      <c r="M52" s="680">
        <v>16075</v>
      </c>
      <c r="N52" s="680">
        <v>3</v>
      </c>
      <c r="O52" s="680">
        <v>48252</v>
      </c>
      <c r="P52" s="702">
        <v>1.5008398133748055</v>
      </c>
      <c r="Q52" s="681">
        <v>16084</v>
      </c>
    </row>
    <row r="53" spans="1:17" ht="14.4" customHeight="1" x14ac:dyDescent="0.3">
      <c r="A53" s="675" t="s">
        <v>484</v>
      </c>
      <c r="B53" s="676" t="s">
        <v>2247</v>
      </c>
      <c r="C53" s="676" t="s">
        <v>2244</v>
      </c>
      <c r="D53" s="676" t="s">
        <v>2340</v>
      </c>
      <c r="E53" s="676" t="s">
        <v>2341</v>
      </c>
      <c r="F53" s="680">
        <v>1</v>
      </c>
      <c r="G53" s="680">
        <v>0</v>
      </c>
      <c r="H53" s="680"/>
      <c r="I53" s="680">
        <v>0</v>
      </c>
      <c r="J53" s="680">
        <v>2</v>
      </c>
      <c r="K53" s="680">
        <v>0</v>
      </c>
      <c r="L53" s="680"/>
      <c r="M53" s="680">
        <v>0</v>
      </c>
      <c r="N53" s="680">
        <v>3</v>
      </c>
      <c r="O53" s="680">
        <v>0</v>
      </c>
      <c r="P53" s="702"/>
      <c r="Q53" s="681">
        <v>0</v>
      </c>
    </row>
    <row r="54" spans="1:17" ht="14.4" customHeight="1" x14ac:dyDescent="0.3">
      <c r="A54" s="675" t="s">
        <v>484</v>
      </c>
      <c r="B54" s="676" t="s">
        <v>2247</v>
      </c>
      <c r="C54" s="676" t="s">
        <v>2244</v>
      </c>
      <c r="D54" s="676" t="s">
        <v>2342</v>
      </c>
      <c r="E54" s="676" t="s">
        <v>2343</v>
      </c>
      <c r="F54" s="680"/>
      <c r="G54" s="680"/>
      <c r="H54" s="680"/>
      <c r="I54" s="680"/>
      <c r="J54" s="680">
        <v>1</v>
      </c>
      <c r="K54" s="680">
        <v>0</v>
      </c>
      <c r="L54" s="680"/>
      <c r="M54" s="680">
        <v>0</v>
      </c>
      <c r="N54" s="680">
        <v>1</v>
      </c>
      <c r="O54" s="680">
        <v>0</v>
      </c>
      <c r="P54" s="702"/>
      <c r="Q54" s="681">
        <v>0</v>
      </c>
    </row>
    <row r="55" spans="1:17" ht="14.4" customHeight="1" x14ac:dyDescent="0.3">
      <c r="A55" s="675" t="s">
        <v>484</v>
      </c>
      <c r="B55" s="676" t="s">
        <v>2247</v>
      </c>
      <c r="C55" s="676" t="s">
        <v>2244</v>
      </c>
      <c r="D55" s="676" t="s">
        <v>2344</v>
      </c>
      <c r="E55" s="676" t="s">
        <v>2345</v>
      </c>
      <c r="F55" s="680"/>
      <c r="G55" s="680"/>
      <c r="H55" s="680"/>
      <c r="I55" s="680"/>
      <c r="J55" s="680">
        <v>1</v>
      </c>
      <c r="K55" s="680">
        <v>10703</v>
      </c>
      <c r="L55" s="680">
        <v>1</v>
      </c>
      <c r="M55" s="680">
        <v>10703</v>
      </c>
      <c r="N55" s="680"/>
      <c r="O55" s="680"/>
      <c r="P55" s="702"/>
      <c r="Q55" s="681"/>
    </row>
    <row r="56" spans="1:17" ht="14.4" customHeight="1" x14ac:dyDescent="0.3">
      <c r="A56" s="675" t="s">
        <v>484</v>
      </c>
      <c r="B56" s="676" t="s">
        <v>2247</v>
      </c>
      <c r="C56" s="676" t="s">
        <v>2244</v>
      </c>
      <c r="D56" s="676" t="s">
        <v>2346</v>
      </c>
      <c r="E56" s="676" t="s">
        <v>2347</v>
      </c>
      <c r="F56" s="680">
        <v>4</v>
      </c>
      <c r="G56" s="680">
        <v>0</v>
      </c>
      <c r="H56" s="680"/>
      <c r="I56" s="680">
        <v>0</v>
      </c>
      <c r="J56" s="680">
        <v>6</v>
      </c>
      <c r="K56" s="680">
        <v>0</v>
      </c>
      <c r="L56" s="680"/>
      <c r="M56" s="680">
        <v>0</v>
      </c>
      <c r="N56" s="680">
        <v>9</v>
      </c>
      <c r="O56" s="680">
        <v>0</v>
      </c>
      <c r="P56" s="702"/>
      <c r="Q56" s="681">
        <v>0</v>
      </c>
    </row>
    <row r="57" spans="1:17" ht="14.4" customHeight="1" x14ac:dyDescent="0.3">
      <c r="A57" s="675" t="s">
        <v>484</v>
      </c>
      <c r="B57" s="676" t="s">
        <v>2247</v>
      </c>
      <c r="C57" s="676" t="s">
        <v>2244</v>
      </c>
      <c r="D57" s="676" t="s">
        <v>2348</v>
      </c>
      <c r="E57" s="676" t="s">
        <v>2349</v>
      </c>
      <c r="F57" s="680"/>
      <c r="G57" s="680"/>
      <c r="H57" s="680"/>
      <c r="I57" s="680"/>
      <c r="J57" s="680"/>
      <c r="K57" s="680"/>
      <c r="L57" s="680"/>
      <c r="M57" s="680"/>
      <c r="N57" s="680">
        <v>3</v>
      </c>
      <c r="O57" s="680">
        <v>13716</v>
      </c>
      <c r="P57" s="702"/>
      <c r="Q57" s="681">
        <v>4572</v>
      </c>
    </row>
    <row r="58" spans="1:17" ht="14.4" customHeight="1" x14ac:dyDescent="0.3">
      <c r="A58" s="675" t="s">
        <v>484</v>
      </c>
      <c r="B58" s="676" t="s">
        <v>2247</v>
      </c>
      <c r="C58" s="676" t="s">
        <v>2244</v>
      </c>
      <c r="D58" s="676" t="s">
        <v>2350</v>
      </c>
      <c r="E58" s="676" t="s">
        <v>2351</v>
      </c>
      <c r="F58" s="680">
        <v>1</v>
      </c>
      <c r="G58" s="680">
        <v>0</v>
      </c>
      <c r="H58" s="680"/>
      <c r="I58" s="680">
        <v>0</v>
      </c>
      <c r="J58" s="680">
        <v>1</v>
      </c>
      <c r="K58" s="680">
        <v>0</v>
      </c>
      <c r="L58" s="680"/>
      <c r="M58" s="680">
        <v>0</v>
      </c>
      <c r="N58" s="680">
        <v>1</v>
      </c>
      <c r="O58" s="680">
        <v>0</v>
      </c>
      <c r="P58" s="702"/>
      <c r="Q58" s="681">
        <v>0</v>
      </c>
    </row>
    <row r="59" spans="1:17" ht="14.4" customHeight="1" x14ac:dyDescent="0.3">
      <c r="A59" s="675" t="s">
        <v>484</v>
      </c>
      <c r="B59" s="676" t="s">
        <v>2247</v>
      </c>
      <c r="C59" s="676" t="s">
        <v>2244</v>
      </c>
      <c r="D59" s="676" t="s">
        <v>2352</v>
      </c>
      <c r="E59" s="676" t="s">
        <v>2353</v>
      </c>
      <c r="F59" s="680">
        <v>8</v>
      </c>
      <c r="G59" s="680">
        <v>25800</v>
      </c>
      <c r="H59" s="680">
        <v>1.1178993890549851</v>
      </c>
      <c r="I59" s="680">
        <v>3225</v>
      </c>
      <c r="J59" s="680">
        <v>7</v>
      </c>
      <c r="K59" s="680">
        <v>23079</v>
      </c>
      <c r="L59" s="680">
        <v>1</v>
      </c>
      <c r="M59" s="680">
        <v>3297</v>
      </c>
      <c r="N59" s="680">
        <v>8</v>
      </c>
      <c r="O59" s="680">
        <v>26384</v>
      </c>
      <c r="P59" s="702">
        <v>1.1432037783266173</v>
      </c>
      <c r="Q59" s="681">
        <v>3298</v>
      </c>
    </row>
    <row r="60" spans="1:17" ht="14.4" customHeight="1" x14ac:dyDescent="0.3">
      <c r="A60" s="675" t="s">
        <v>484</v>
      </c>
      <c r="B60" s="676" t="s">
        <v>2247</v>
      </c>
      <c r="C60" s="676" t="s">
        <v>2244</v>
      </c>
      <c r="D60" s="676" t="s">
        <v>2354</v>
      </c>
      <c r="E60" s="676" t="s">
        <v>2355</v>
      </c>
      <c r="F60" s="680">
        <v>1</v>
      </c>
      <c r="G60" s="680">
        <v>8924</v>
      </c>
      <c r="H60" s="680"/>
      <c r="I60" s="680">
        <v>8924</v>
      </c>
      <c r="J60" s="680"/>
      <c r="K60" s="680"/>
      <c r="L60" s="680"/>
      <c r="M60" s="680"/>
      <c r="N60" s="680">
        <v>1</v>
      </c>
      <c r="O60" s="680">
        <v>9265</v>
      </c>
      <c r="P60" s="702"/>
      <c r="Q60" s="681">
        <v>9265</v>
      </c>
    </row>
    <row r="61" spans="1:17" ht="14.4" customHeight="1" x14ac:dyDescent="0.3">
      <c r="A61" s="675" t="s">
        <v>484</v>
      </c>
      <c r="B61" s="676" t="s">
        <v>2247</v>
      </c>
      <c r="C61" s="676" t="s">
        <v>2244</v>
      </c>
      <c r="D61" s="676" t="s">
        <v>2356</v>
      </c>
      <c r="E61" s="676" t="s">
        <v>2357</v>
      </c>
      <c r="F61" s="680"/>
      <c r="G61" s="680"/>
      <c r="H61" s="680"/>
      <c r="I61" s="680"/>
      <c r="J61" s="680"/>
      <c r="K61" s="680"/>
      <c r="L61" s="680"/>
      <c r="M61" s="680"/>
      <c r="N61" s="680">
        <v>1</v>
      </c>
      <c r="O61" s="680">
        <v>0</v>
      </c>
      <c r="P61" s="702"/>
      <c r="Q61" s="681">
        <v>0</v>
      </c>
    </row>
    <row r="62" spans="1:17" ht="14.4" customHeight="1" x14ac:dyDescent="0.3">
      <c r="A62" s="675" t="s">
        <v>484</v>
      </c>
      <c r="B62" s="676" t="s">
        <v>2247</v>
      </c>
      <c r="C62" s="676" t="s">
        <v>2244</v>
      </c>
      <c r="D62" s="676" t="s">
        <v>2358</v>
      </c>
      <c r="E62" s="676" t="s">
        <v>2359</v>
      </c>
      <c r="F62" s="680">
        <v>2</v>
      </c>
      <c r="G62" s="680">
        <v>0</v>
      </c>
      <c r="H62" s="680"/>
      <c r="I62" s="680">
        <v>0</v>
      </c>
      <c r="J62" s="680">
        <v>2</v>
      </c>
      <c r="K62" s="680">
        <v>0</v>
      </c>
      <c r="L62" s="680"/>
      <c r="M62" s="680">
        <v>0</v>
      </c>
      <c r="N62" s="680">
        <v>5</v>
      </c>
      <c r="O62" s="680">
        <v>0</v>
      </c>
      <c r="P62" s="702"/>
      <c r="Q62" s="681">
        <v>0</v>
      </c>
    </row>
    <row r="63" spans="1:17" ht="14.4" customHeight="1" x14ac:dyDescent="0.3">
      <c r="A63" s="675" t="s">
        <v>484</v>
      </c>
      <c r="B63" s="676" t="s">
        <v>2247</v>
      </c>
      <c r="C63" s="676" t="s">
        <v>2244</v>
      </c>
      <c r="D63" s="676" t="s">
        <v>2360</v>
      </c>
      <c r="E63" s="676" t="s">
        <v>2361</v>
      </c>
      <c r="F63" s="680"/>
      <c r="G63" s="680"/>
      <c r="H63" s="680"/>
      <c r="I63" s="680"/>
      <c r="J63" s="680"/>
      <c r="K63" s="680"/>
      <c r="L63" s="680"/>
      <c r="M63" s="680"/>
      <c r="N63" s="680">
        <v>2</v>
      </c>
      <c r="O63" s="680">
        <v>0</v>
      </c>
      <c r="P63" s="702"/>
      <c r="Q63" s="681">
        <v>0</v>
      </c>
    </row>
    <row r="64" spans="1:17" ht="14.4" customHeight="1" x14ac:dyDescent="0.3">
      <c r="A64" s="675" t="s">
        <v>484</v>
      </c>
      <c r="B64" s="676" t="s">
        <v>2247</v>
      </c>
      <c r="C64" s="676" t="s">
        <v>2244</v>
      </c>
      <c r="D64" s="676" t="s">
        <v>2362</v>
      </c>
      <c r="E64" s="676" t="s">
        <v>2363</v>
      </c>
      <c r="F64" s="680"/>
      <c r="G64" s="680"/>
      <c r="H64" s="680"/>
      <c r="I64" s="680"/>
      <c r="J64" s="680">
        <v>1</v>
      </c>
      <c r="K64" s="680">
        <v>5432</v>
      </c>
      <c r="L64" s="680">
        <v>1</v>
      </c>
      <c r="M64" s="680">
        <v>5432</v>
      </c>
      <c r="N64" s="680"/>
      <c r="O64" s="680"/>
      <c r="P64" s="702"/>
      <c r="Q64" s="681"/>
    </row>
    <row r="65" spans="1:17" ht="14.4" customHeight="1" x14ac:dyDescent="0.3">
      <c r="A65" s="675" t="s">
        <v>484</v>
      </c>
      <c r="B65" s="676" t="s">
        <v>2247</v>
      </c>
      <c r="C65" s="676" t="s">
        <v>2244</v>
      </c>
      <c r="D65" s="676" t="s">
        <v>2364</v>
      </c>
      <c r="E65" s="676" t="s">
        <v>2365</v>
      </c>
      <c r="F65" s="680">
        <v>1</v>
      </c>
      <c r="G65" s="680">
        <v>3528</v>
      </c>
      <c r="H65" s="680"/>
      <c r="I65" s="680">
        <v>3528</v>
      </c>
      <c r="J65" s="680"/>
      <c r="K65" s="680"/>
      <c r="L65" s="680"/>
      <c r="M65" s="680"/>
      <c r="N65" s="680"/>
      <c r="O65" s="680"/>
      <c r="P65" s="702"/>
      <c r="Q65" s="681"/>
    </row>
    <row r="66" spans="1:17" ht="14.4" customHeight="1" x14ac:dyDescent="0.3">
      <c r="A66" s="675" t="s">
        <v>484</v>
      </c>
      <c r="B66" s="676" t="s">
        <v>2247</v>
      </c>
      <c r="C66" s="676" t="s">
        <v>2244</v>
      </c>
      <c r="D66" s="676" t="s">
        <v>2366</v>
      </c>
      <c r="E66" s="676" t="s">
        <v>2367</v>
      </c>
      <c r="F66" s="680"/>
      <c r="G66" s="680"/>
      <c r="H66" s="680"/>
      <c r="I66" s="680"/>
      <c r="J66" s="680">
        <v>2</v>
      </c>
      <c r="K66" s="680">
        <v>16864</v>
      </c>
      <c r="L66" s="680">
        <v>1</v>
      </c>
      <c r="M66" s="680">
        <v>8432</v>
      </c>
      <c r="N66" s="680"/>
      <c r="O66" s="680"/>
      <c r="P66" s="702"/>
      <c r="Q66" s="681"/>
    </row>
    <row r="67" spans="1:17" ht="14.4" customHeight="1" x14ac:dyDescent="0.3">
      <c r="A67" s="675" t="s">
        <v>484</v>
      </c>
      <c r="B67" s="676" t="s">
        <v>2247</v>
      </c>
      <c r="C67" s="676" t="s">
        <v>2244</v>
      </c>
      <c r="D67" s="676" t="s">
        <v>2368</v>
      </c>
      <c r="E67" s="676" t="s">
        <v>2369</v>
      </c>
      <c r="F67" s="680"/>
      <c r="G67" s="680"/>
      <c r="H67" s="680"/>
      <c r="I67" s="680"/>
      <c r="J67" s="680">
        <v>1</v>
      </c>
      <c r="K67" s="680">
        <v>0</v>
      </c>
      <c r="L67" s="680"/>
      <c r="M67" s="680">
        <v>0</v>
      </c>
      <c r="N67" s="680">
        <v>1</v>
      </c>
      <c r="O67" s="680">
        <v>0</v>
      </c>
      <c r="P67" s="702"/>
      <c r="Q67" s="681">
        <v>0</v>
      </c>
    </row>
    <row r="68" spans="1:17" ht="14.4" customHeight="1" x14ac:dyDescent="0.3">
      <c r="A68" s="675" t="s">
        <v>484</v>
      </c>
      <c r="B68" s="676" t="s">
        <v>2247</v>
      </c>
      <c r="C68" s="676" t="s">
        <v>2244</v>
      </c>
      <c r="D68" s="676" t="s">
        <v>2370</v>
      </c>
      <c r="E68" s="676" t="s">
        <v>2371</v>
      </c>
      <c r="F68" s="680">
        <v>1</v>
      </c>
      <c r="G68" s="680">
        <v>5589</v>
      </c>
      <c r="H68" s="680"/>
      <c r="I68" s="680">
        <v>5589</v>
      </c>
      <c r="J68" s="680"/>
      <c r="K68" s="680"/>
      <c r="L68" s="680"/>
      <c r="M68" s="680"/>
      <c r="N68" s="680"/>
      <c r="O68" s="680"/>
      <c r="P68" s="702"/>
      <c r="Q68" s="681"/>
    </row>
    <row r="69" spans="1:17" ht="14.4" customHeight="1" x14ac:dyDescent="0.3">
      <c r="A69" s="675" t="s">
        <v>484</v>
      </c>
      <c r="B69" s="676" t="s">
        <v>2247</v>
      </c>
      <c r="C69" s="676" t="s">
        <v>2244</v>
      </c>
      <c r="D69" s="676" t="s">
        <v>2372</v>
      </c>
      <c r="E69" s="676" t="s">
        <v>2373</v>
      </c>
      <c r="F69" s="680">
        <v>3</v>
      </c>
      <c r="G69" s="680">
        <v>14025</v>
      </c>
      <c r="H69" s="680">
        <v>0.49439509306260576</v>
      </c>
      <c r="I69" s="680">
        <v>4675</v>
      </c>
      <c r="J69" s="680">
        <v>6</v>
      </c>
      <c r="K69" s="680">
        <v>28368</v>
      </c>
      <c r="L69" s="680">
        <v>1</v>
      </c>
      <c r="M69" s="680">
        <v>4728</v>
      </c>
      <c r="N69" s="680">
        <v>6</v>
      </c>
      <c r="O69" s="680">
        <v>28392</v>
      </c>
      <c r="P69" s="702">
        <v>1.0008460236886634</v>
      </c>
      <c r="Q69" s="681">
        <v>4732</v>
      </c>
    </row>
    <row r="70" spans="1:17" ht="14.4" customHeight="1" x14ac:dyDescent="0.3">
      <c r="A70" s="675" t="s">
        <v>484</v>
      </c>
      <c r="B70" s="676" t="s">
        <v>2247</v>
      </c>
      <c r="C70" s="676" t="s">
        <v>2244</v>
      </c>
      <c r="D70" s="676" t="s">
        <v>2374</v>
      </c>
      <c r="E70" s="676" t="s">
        <v>2375</v>
      </c>
      <c r="F70" s="680">
        <v>4</v>
      </c>
      <c r="G70" s="680">
        <v>18228</v>
      </c>
      <c r="H70" s="680">
        <v>1.9532790398628375</v>
      </c>
      <c r="I70" s="680">
        <v>4557</v>
      </c>
      <c r="J70" s="680">
        <v>2</v>
      </c>
      <c r="K70" s="680">
        <v>9332</v>
      </c>
      <c r="L70" s="680">
        <v>1</v>
      </c>
      <c r="M70" s="680">
        <v>4666</v>
      </c>
      <c r="N70" s="680"/>
      <c r="O70" s="680"/>
      <c r="P70" s="702"/>
      <c r="Q70" s="681"/>
    </row>
    <row r="71" spans="1:17" ht="14.4" customHeight="1" x14ac:dyDescent="0.3">
      <c r="A71" s="675" t="s">
        <v>484</v>
      </c>
      <c r="B71" s="676" t="s">
        <v>2247</v>
      </c>
      <c r="C71" s="676" t="s">
        <v>2244</v>
      </c>
      <c r="D71" s="676" t="s">
        <v>2376</v>
      </c>
      <c r="E71" s="676" t="s">
        <v>2377</v>
      </c>
      <c r="F71" s="680">
        <v>1</v>
      </c>
      <c r="G71" s="680">
        <v>11958</v>
      </c>
      <c r="H71" s="680"/>
      <c r="I71" s="680">
        <v>11958</v>
      </c>
      <c r="J71" s="680"/>
      <c r="K71" s="680"/>
      <c r="L71" s="680"/>
      <c r="M71" s="680"/>
      <c r="N71" s="680"/>
      <c r="O71" s="680"/>
      <c r="P71" s="702"/>
      <c r="Q71" s="681"/>
    </row>
    <row r="72" spans="1:17" ht="14.4" customHeight="1" x14ac:dyDescent="0.3">
      <c r="A72" s="675" t="s">
        <v>484</v>
      </c>
      <c r="B72" s="676" t="s">
        <v>2247</v>
      </c>
      <c r="C72" s="676" t="s">
        <v>2244</v>
      </c>
      <c r="D72" s="676" t="s">
        <v>2378</v>
      </c>
      <c r="E72" s="676" t="s">
        <v>2379</v>
      </c>
      <c r="F72" s="680"/>
      <c r="G72" s="680"/>
      <c r="H72" s="680"/>
      <c r="I72" s="680"/>
      <c r="J72" s="680">
        <v>2</v>
      </c>
      <c r="K72" s="680">
        <v>0</v>
      </c>
      <c r="L72" s="680"/>
      <c r="M72" s="680">
        <v>0</v>
      </c>
      <c r="N72" s="680"/>
      <c r="O72" s="680"/>
      <c r="P72" s="702"/>
      <c r="Q72" s="681"/>
    </row>
    <row r="73" spans="1:17" ht="14.4" customHeight="1" x14ac:dyDescent="0.3">
      <c r="A73" s="675" t="s">
        <v>484</v>
      </c>
      <c r="B73" s="676" t="s">
        <v>2247</v>
      </c>
      <c r="C73" s="676" t="s">
        <v>2244</v>
      </c>
      <c r="D73" s="676" t="s">
        <v>2380</v>
      </c>
      <c r="E73" s="676" t="s">
        <v>2381</v>
      </c>
      <c r="F73" s="680">
        <v>3</v>
      </c>
      <c r="G73" s="680">
        <v>15411</v>
      </c>
      <c r="H73" s="680">
        <v>0.97254827716773951</v>
      </c>
      <c r="I73" s="680">
        <v>5137</v>
      </c>
      <c r="J73" s="680">
        <v>3</v>
      </c>
      <c r="K73" s="680">
        <v>15846</v>
      </c>
      <c r="L73" s="680">
        <v>1</v>
      </c>
      <c r="M73" s="680">
        <v>5282</v>
      </c>
      <c r="N73" s="680">
        <v>2</v>
      </c>
      <c r="O73" s="680">
        <v>10568</v>
      </c>
      <c r="P73" s="702">
        <v>0.66691909630190582</v>
      </c>
      <c r="Q73" s="681">
        <v>5284</v>
      </c>
    </row>
    <row r="74" spans="1:17" ht="14.4" customHeight="1" x14ac:dyDescent="0.3">
      <c r="A74" s="675" t="s">
        <v>484</v>
      </c>
      <c r="B74" s="676" t="s">
        <v>2247</v>
      </c>
      <c r="C74" s="676" t="s">
        <v>2244</v>
      </c>
      <c r="D74" s="676" t="s">
        <v>2382</v>
      </c>
      <c r="E74" s="676" t="s">
        <v>2383</v>
      </c>
      <c r="F74" s="680">
        <v>2</v>
      </c>
      <c r="G74" s="680">
        <v>0</v>
      </c>
      <c r="H74" s="680"/>
      <c r="I74" s="680">
        <v>0</v>
      </c>
      <c r="J74" s="680"/>
      <c r="K74" s="680"/>
      <c r="L74" s="680"/>
      <c r="M74" s="680"/>
      <c r="N74" s="680">
        <v>1</v>
      </c>
      <c r="O74" s="680">
        <v>0</v>
      </c>
      <c r="P74" s="702"/>
      <c r="Q74" s="681">
        <v>0</v>
      </c>
    </row>
    <row r="75" spans="1:17" ht="14.4" customHeight="1" x14ac:dyDescent="0.3">
      <c r="A75" s="675" t="s">
        <v>484</v>
      </c>
      <c r="B75" s="676" t="s">
        <v>2247</v>
      </c>
      <c r="C75" s="676" t="s">
        <v>2244</v>
      </c>
      <c r="D75" s="676" t="s">
        <v>2384</v>
      </c>
      <c r="E75" s="676" t="s">
        <v>2385</v>
      </c>
      <c r="F75" s="680"/>
      <c r="G75" s="680"/>
      <c r="H75" s="680"/>
      <c r="I75" s="680"/>
      <c r="J75" s="680">
        <v>1</v>
      </c>
      <c r="K75" s="680">
        <v>11004</v>
      </c>
      <c r="L75" s="680">
        <v>1</v>
      </c>
      <c r="M75" s="680">
        <v>11004</v>
      </c>
      <c r="N75" s="680">
        <v>1</v>
      </c>
      <c r="O75" s="680">
        <v>11010</v>
      </c>
      <c r="P75" s="702">
        <v>1.0005452562704471</v>
      </c>
      <c r="Q75" s="681">
        <v>11010</v>
      </c>
    </row>
    <row r="76" spans="1:17" ht="14.4" customHeight="1" x14ac:dyDescent="0.3">
      <c r="A76" s="675" t="s">
        <v>484</v>
      </c>
      <c r="B76" s="676" t="s">
        <v>2247</v>
      </c>
      <c r="C76" s="676" t="s">
        <v>2244</v>
      </c>
      <c r="D76" s="676" t="s">
        <v>2386</v>
      </c>
      <c r="E76" s="676" t="s">
        <v>2387</v>
      </c>
      <c r="F76" s="680">
        <v>1</v>
      </c>
      <c r="G76" s="680">
        <v>0</v>
      </c>
      <c r="H76" s="680"/>
      <c r="I76" s="680">
        <v>0</v>
      </c>
      <c r="J76" s="680"/>
      <c r="K76" s="680"/>
      <c r="L76" s="680"/>
      <c r="M76" s="680"/>
      <c r="N76" s="680"/>
      <c r="O76" s="680"/>
      <c r="P76" s="702"/>
      <c r="Q76" s="681"/>
    </row>
    <row r="77" spans="1:17" ht="14.4" customHeight="1" x14ac:dyDescent="0.3">
      <c r="A77" s="675" t="s">
        <v>484</v>
      </c>
      <c r="B77" s="676" t="s">
        <v>2247</v>
      </c>
      <c r="C77" s="676" t="s">
        <v>2244</v>
      </c>
      <c r="D77" s="676" t="s">
        <v>2388</v>
      </c>
      <c r="E77" s="676" t="s">
        <v>2389</v>
      </c>
      <c r="F77" s="680">
        <v>1</v>
      </c>
      <c r="G77" s="680">
        <v>8875</v>
      </c>
      <c r="H77" s="680"/>
      <c r="I77" s="680">
        <v>8875</v>
      </c>
      <c r="J77" s="680"/>
      <c r="K77" s="680"/>
      <c r="L77" s="680"/>
      <c r="M77" s="680"/>
      <c r="N77" s="680"/>
      <c r="O77" s="680"/>
      <c r="P77" s="702"/>
      <c r="Q77" s="681"/>
    </row>
    <row r="78" spans="1:17" ht="14.4" customHeight="1" x14ac:dyDescent="0.3">
      <c r="A78" s="675" t="s">
        <v>484</v>
      </c>
      <c r="B78" s="676" t="s">
        <v>2247</v>
      </c>
      <c r="C78" s="676" t="s">
        <v>2244</v>
      </c>
      <c r="D78" s="676" t="s">
        <v>2390</v>
      </c>
      <c r="E78" s="676" t="s">
        <v>2391</v>
      </c>
      <c r="F78" s="680"/>
      <c r="G78" s="680"/>
      <c r="H78" s="680"/>
      <c r="I78" s="680"/>
      <c r="J78" s="680">
        <v>1</v>
      </c>
      <c r="K78" s="680">
        <v>4114</v>
      </c>
      <c r="L78" s="680">
        <v>1</v>
      </c>
      <c r="M78" s="680">
        <v>4114</v>
      </c>
      <c r="N78" s="680"/>
      <c r="O78" s="680"/>
      <c r="P78" s="702"/>
      <c r="Q78" s="681"/>
    </row>
    <row r="79" spans="1:17" ht="14.4" customHeight="1" x14ac:dyDescent="0.3">
      <c r="A79" s="675" t="s">
        <v>484</v>
      </c>
      <c r="B79" s="676" t="s">
        <v>2247</v>
      </c>
      <c r="C79" s="676" t="s">
        <v>2244</v>
      </c>
      <c r="D79" s="676" t="s">
        <v>2392</v>
      </c>
      <c r="E79" s="676" t="s">
        <v>2393</v>
      </c>
      <c r="F79" s="680">
        <v>1</v>
      </c>
      <c r="G79" s="680">
        <v>254</v>
      </c>
      <c r="H79" s="680"/>
      <c r="I79" s="680">
        <v>254</v>
      </c>
      <c r="J79" s="680"/>
      <c r="K79" s="680"/>
      <c r="L79" s="680"/>
      <c r="M79" s="680"/>
      <c r="N79" s="680"/>
      <c r="O79" s="680"/>
      <c r="P79" s="702"/>
      <c r="Q79" s="681"/>
    </row>
    <row r="80" spans="1:17" ht="14.4" customHeight="1" x14ac:dyDescent="0.3">
      <c r="A80" s="675" t="s">
        <v>484</v>
      </c>
      <c r="B80" s="676" t="s">
        <v>2247</v>
      </c>
      <c r="C80" s="676" t="s">
        <v>2244</v>
      </c>
      <c r="D80" s="676" t="s">
        <v>2394</v>
      </c>
      <c r="E80" s="676" t="s">
        <v>2395</v>
      </c>
      <c r="F80" s="680">
        <v>1</v>
      </c>
      <c r="G80" s="680">
        <v>3557</v>
      </c>
      <c r="H80" s="680"/>
      <c r="I80" s="680">
        <v>3557</v>
      </c>
      <c r="J80" s="680"/>
      <c r="K80" s="680"/>
      <c r="L80" s="680"/>
      <c r="M80" s="680"/>
      <c r="N80" s="680"/>
      <c r="O80" s="680"/>
      <c r="P80" s="702"/>
      <c r="Q80" s="681"/>
    </row>
    <row r="81" spans="1:17" ht="14.4" customHeight="1" x14ac:dyDescent="0.3">
      <c r="A81" s="675" t="s">
        <v>484</v>
      </c>
      <c r="B81" s="676" t="s">
        <v>2247</v>
      </c>
      <c r="C81" s="676" t="s">
        <v>2244</v>
      </c>
      <c r="D81" s="676" t="s">
        <v>2396</v>
      </c>
      <c r="E81" s="676" t="s">
        <v>2397</v>
      </c>
      <c r="F81" s="680">
        <v>1</v>
      </c>
      <c r="G81" s="680">
        <v>6056</v>
      </c>
      <c r="H81" s="680">
        <v>0.97645920670751374</v>
      </c>
      <c r="I81" s="680">
        <v>6056</v>
      </c>
      <c r="J81" s="680">
        <v>1</v>
      </c>
      <c r="K81" s="680">
        <v>6202</v>
      </c>
      <c r="L81" s="680">
        <v>1</v>
      </c>
      <c r="M81" s="680">
        <v>6202</v>
      </c>
      <c r="N81" s="680"/>
      <c r="O81" s="680"/>
      <c r="P81" s="702"/>
      <c r="Q81" s="681"/>
    </row>
    <row r="82" spans="1:17" ht="14.4" customHeight="1" x14ac:dyDescent="0.3">
      <c r="A82" s="675" t="s">
        <v>484</v>
      </c>
      <c r="B82" s="676" t="s">
        <v>2247</v>
      </c>
      <c r="C82" s="676" t="s">
        <v>2244</v>
      </c>
      <c r="D82" s="676" t="s">
        <v>2398</v>
      </c>
      <c r="E82" s="676" t="s">
        <v>2399</v>
      </c>
      <c r="F82" s="680"/>
      <c r="G82" s="680"/>
      <c r="H82" s="680"/>
      <c r="I82" s="680"/>
      <c r="J82" s="680">
        <v>1</v>
      </c>
      <c r="K82" s="680">
        <v>0</v>
      </c>
      <c r="L82" s="680"/>
      <c r="M82" s="680">
        <v>0</v>
      </c>
      <c r="N82" s="680">
        <v>1</v>
      </c>
      <c r="O82" s="680">
        <v>0</v>
      </c>
      <c r="P82" s="702"/>
      <c r="Q82" s="681">
        <v>0</v>
      </c>
    </row>
    <row r="83" spans="1:17" ht="14.4" customHeight="1" x14ac:dyDescent="0.3">
      <c r="A83" s="675" t="s">
        <v>484</v>
      </c>
      <c r="B83" s="676" t="s">
        <v>2247</v>
      </c>
      <c r="C83" s="676" t="s">
        <v>2244</v>
      </c>
      <c r="D83" s="676" t="s">
        <v>2400</v>
      </c>
      <c r="E83" s="676" t="s">
        <v>2401</v>
      </c>
      <c r="F83" s="680">
        <v>1</v>
      </c>
      <c r="G83" s="680">
        <v>3432</v>
      </c>
      <c r="H83" s="680"/>
      <c r="I83" s="680">
        <v>3432</v>
      </c>
      <c r="J83" s="680"/>
      <c r="K83" s="680"/>
      <c r="L83" s="680"/>
      <c r="M83" s="680"/>
      <c r="N83" s="680"/>
      <c r="O83" s="680"/>
      <c r="P83" s="702"/>
      <c r="Q83" s="681"/>
    </row>
    <row r="84" spans="1:17" ht="14.4" customHeight="1" x14ac:dyDescent="0.3">
      <c r="A84" s="675" t="s">
        <v>484</v>
      </c>
      <c r="B84" s="676" t="s">
        <v>2247</v>
      </c>
      <c r="C84" s="676" t="s">
        <v>2244</v>
      </c>
      <c r="D84" s="676" t="s">
        <v>2402</v>
      </c>
      <c r="E84" s="676" t="s">
        <v>2403</v>
      </c>
      <c r="F84" s="680"/>
      <c r="G84" s="680"/>
      <c r="H84" s="680"/>
      <c r="I84" s="680"/>
      <c r="J84" s="680"/>
      <c r="K84" s="680"/>
      <c r="L84" s="680"/>
      <c r="M84" s="680"/>
      <c r="N84" s="680">
        <v>1</v>
      </c>
      <c r="O84" s="680">
        <v>8450</v>
      </c>
      <c r="P84" s="702"/>
      <c r="Q84" s="681">
        <v>8450</v>
      </c>
    </row>
    <row r="85" spans="1:17" ht="14.4" customHeight="1" x14ac:dyDescent="0.3">
      <c r="A85" s="675" t="s">
        <v>484</v>
      </c>
      <c r="B85" s="676" t="s">
        <v>2247</v>
      </c>
      <c r="C85" s="676" t="s">
        <v>2244</v>
      </c>
      <c r="D85" s="676" t="s">
        <v>2404</v>
      </c>
      <c r="E85" s="676" t="s">
        <v>2405</v>
      </c>
      <c r="F85" s="680">
        <v>1</v>
      </c>
      <c r="G85" s="680">
        <v>0</v>
      </c>
      <c r="H85" s="680"/>
      <c r="I85" s="680">
        <v>0</v>
      </c>
      <c r="J85" s="680"/>
      <c r="K85" s="680"/>
      <c r="L85" s="680"/>
      <c r="M85" s="680"/>
      <c r="N85" s="680"/>
      <c r="O85" s="680"/>
      <c r="P85" s="702"/>
      <c r="Q85" s="681"/>
    </row>
    <row r="86" spans="1:17" ht="14.4" customHeight="1" x14ac:dyDescent="0.3">
      <c r="A86" s="675" t="s">
        <v>484</v>
      </c>
      <c r="B86" s="676" t="s">
        <v>2247</v>
      </c>
      <c r="C86" s="676" t="s">
        <v>2244</v>
      </c>
      <c r="D86" s="676" t="s">
        <v>2406</v>
      </c>
      <c r="E86" s="676" t="s">
        <v>2407</v>
      </c>
      <c r="F86" s="680"/>
      <c r="G86" s="680"/>
      <c r="H86" s="680"/>
      <c r="I86" s="680"/>
      <c r="J86" s="680"/>
      <c r="K86" s="680"/>
      <c r="L86" s="680"/>
      <c r="M86" s="680"/>
      <c r="N86" s="680">
        <v>2</v>
      </c>
      <c r="O86" s="680">
        <v>0</v>
      </c>
      <c r="P86" s="702"/>
      <c r="Q86" s="681">
        <v>0</v>
      </c>
    </row>
    <row r="87" spans="1:17" ht="14.4" customHeight="1" x14ac:dyDescent="0.3">
      <c r="A87" s="675" t="s">
        <v>484</v>
      </c>
      <c r="B87" s="676" t="s">
        <v>2247</v>
      </c>
      <c r="C87" s="676" t="s">
        <v>2244</v>
      </c>
      <c r="D87" s="676" t="s">
        <v>2408</v>
      </c>
      <c r="E87" s="676" t="s">
        <v>2409</v>
      </c>
      <c r="F87" s="680"/>
      <c r="G87" s="680"/>
      <c r="H87" s="680"/>
      <c r="I87" s="680"/>
      <c r="J87" s="680"/>
      <c r="K87" s="680"/>
      <c r="L87" s="680"/>
      <c r="M87" s="680"/>
      <c r="N87" s="680">
        <v>1</v>
      </c>
      <c r="O87" s="680">
        <v>0</v>
      </c>
      <c r="P87" s="702"/>
      <c r="Q87" s="681">
        <v>0</v>
      </c>
    </row>
    <row r="88" spans="1:17" ht="14.4" customHeight="1" x14ac:dyDescent="0.3">
      <c r="A88" s="675" t="s">
        <v>484</v>
      </c>
      <c r="B88" s="676" t="s">
        <v>2247</v>
      </c>
      <c r="C88" s="676" t="s">
        <v>2244</v>
      </c>
      <c r="D88" s="676" t="s">
        <v>2410</v>
      </c>
      <c r="E88" s="676" t="s">
        <v>2411</v>
      </c>
      <c r="F88" s="680"/>
      <c r="G88" s="680"/>
      <c r="H88" s="680"/>
      <c r="I88" s="680"/>
      <c r="J88" s="680"/>
      <c r="K88" s="680"/>
      <c r="L88" s="680"/>
      <c r="M88" s="680"/>
      <c r="N88" s="680">
        <v>1</v>
      </c>
      <c r="O88" s="680">
        <v>0</v>
      </c>
      <c r="P88" s="702"/>
      <c r="Q88" s="681">
        <v>0</v>
      </c>
    </row>
    <row r="89" spans="1:17" ht="14.4" customHeight="1" x14ac:dyDescent="0.3">
      <c r="A89" s="675" t="s">
        <v>484</v>
      </c>
      <c r="B89" s="676" t="s">
        <v>2247</v>
      </c>
      <c r="C89" s="676" t="s">
        <v>2244</v>
      </c>
      <c r="D89" s="676" t="s">
        <v>2412</v>
      </c>
      <c r="E89" s="676" t="s">
        <v>2413</v>
      </c>
      <c r="F89" s="680"/>
      <c r="G89" s="680"/>
      <c r="H89" s="680"/>
      <c r="I89" s="680"/>
      <c r="J89" s="680">
        <v>1</v>
      </c>
      <c r="K89" s="680">
        <v>0</v>
      </c>
      <c r="L89" s="680"/>
      <c r="M89" s="680">
        <v>0</v>
      </c>
      <c r="N89" s="680"/>
      <c r="O89" s="680"/>
      <c r="P89" s="702"/>
      <c r="Q89" s="681"/>
    </row>
    <row r="90" spans="1:17" ht="14.4" customHeight="1" x14ac:dyDescent="0.3">
      <c r="A90" s="675" t="s">
        <v>484</v>
      </c>
      <c r="B90" s="676" t="s">
        <v>2247</v>
      </c>
      <c r="C90" s="676" t="s">
        <v>2244</v>
      </c>
      <c r="D90" s="676" t="s">
        <v>2414</v>
      </c>
      <c r="E90" s="676" t="s">
        <v>2415</v>
      </c>
      <c r="F90" s="680"/>
      <c r="G90" s="680"/>
      <c r="H90" s="680"/>
      <c r="I90" s="680"/>
      <c r="J90" s="680"/>
      <c r="K90" s="680"/>
      <c r="L90" s="680"/>
      <c r="M90" s="680"/>
      <c r="N90" s="680">
        <v>1</v>
      </c>
      <c r="O90" s="680">
        <v>0</v>
      </c>
      <c r="P90" s="702"/>
      <c r="Q90" s="681">
        <v>0</v>
      </c>
    </row>
    <row r="91" spans="1:17" ht="14.4" customHeight="1" x14ac:dyDescent="0.3">
      <c r="A91" s="675" t="s">
        <v>484</v>
      </c>
      <c r="B91" s="676" t="s">
        <v>2247</v>
      </c>
      <c r="C91" s="676" t="s">
        <v>2244</v>
      </c>
      <c r="D91" s="676" t="s">
        <v>2416</v>
      </c>
      <c r="E91" s="676" t="s">
        <v>2417</v>
      </c>
      <c r="F91" s="680"/>
      <c r="G91" s="680"/>
      <c r="H91" s="680"/>
      <c r="I91" s="680"/>
      <c r="J91" s="680"/>
      <c r="K91" s="680"/>
      <c r="L91" s="680"/>
      <c r="M91" s="680"/>
      <c r="N91" s="680">
        <v>1</v>
      </c>
      <c r="O91" s="680">
        <v>0</v>
      </c>
      <c r="P91" s="702"/>
      <c r="Q91" s="681">
        <v>0</v>
      </c>
    </row>
    <row r="92" spans="1:17" ht="14.4" customHeight="1" x14ac:dyDescent="0.3">
      <c r="A92" s="675" t="s">
        <v>484</v>
      </c>
      <c r="B92" s="676" t="s">
        <v>2418</v>
      </c>
      <c r="C92" s="676" t="s">
        <v>2244</v>
      </c>
      <c r="D92" s="676" t="s">
        <v>2276</v>
      </c>
      <c r="E92" s="676" t="s">
        <v>2277</v>
      </c>
      <c r="F92" s="680">
        <v>6</v>
      </c>
      <c r="G92" s="680">
        <v>4176</v>
      </c>
      <c r="H92" s="680">
        <v>0.42071327825911747</v>
      </c>
      <c r="I92" s="680">
        <v>696</v>
      </c>
      <c r="J92" s="680">
        <v>14</v>
      </c>
      <c r="K92" s="680">
        <v>9926</v>
      </c>
      <c r="L92" s="680">
        <v>1</v>
      </c>
      <c r="M92" s="680">
        <v>709</v>
      </c>
      <c r="N92" s="680">
        <v>8</v>
      </c>
      <c r="O92" s="680">
        <v>5680</v>
      </c>
      <c r="P92" s="702">
        <v>0.57223453556316739</v>
      </c>
      <c r="Q92" s="681">
        <v>710</v>
      </c>
    </row>
    <row r="93" spans="1:17" ht="14.4" customHeight="1" x14ac:dyDescent="0.3">
      <c r="A93" s="675" t="s">
        <v>484</v>
      </c>
      <c r="B93" s="676" t="s">
        <v>2418</v>
      </c>
      <c r="C93" s="676" t="s">
        <v>2244</v>
      </c>
      <c r="D93" s="676" t="s">
        <v>2419</v>
      </c>
      <c r="E93" s="676" t="s">
        <v>2420</v>
      </c>
      <c r="F93" s="680">
        <v>1</v>
      </c>
      <c r="G93" s="680">
        <v>201</v>
      </c>
      <c r="H93" s="680"/>
      <c r="I93" s="680">
        <v>201</v>
      </c>
      <c r="J93" s="680"/>
      <c r="K93" s="680"/>
      <c r="L93" s="680"/>
      <c r="M93" s="680"/>
      <c r="N93" s="680"/>
      <c r="O93" s="680"/>
      <c r="P93" s="702"/>
      <c r="Q93" s="681"/>
    </row>
    <row r="94" spans="1:17" ht="14.4" customHeight="1" x14ac:dyDescent="0.3">
      <c r="A94" s="675" t="s">
        <v>484</v>
      </c>
      <c r="B94" s="676" t="s">
        <v>2418</v>
      </c>
      <c r="C94" s="676" t="s">
        <v>2244</v>
      </c>
      <c r="D94" s="676" t="s">
        <v>2421</v>
      </c>
      <c r="E94" s="676" t="s">
        <v>2422</v>
      </c>
      <c r="F94" s="680">
        <v>1</v>
      </c>
      <c r="G94" s="680">
        <v>301</v>
      </c>
      <c r="H94" s="680">
        <v>0.48705501618122976</v>
      </c>
      <c r="I94" s="680">
        <v>301</v>
      </c>
      <c r="J94" s="680">
        <v>2</v>
      </c>
      <c r="K94" s="680">
        <v>618</v>
      </c>
      <c r="L94" s="680">
        <v>1</v>
      </c>
      <c r="M94" s="680">
        <v>309</v>
      </c>
      <c r="N94" s="680"/>
      <c r="O94" s="680"/>
      <c r="P94" s="702"/>
      <c r="Q94" s="681"/>
    </row>
    <row r="95" spans="1:17" ht="14.4" customHeight="1" x14ac:dyDescent="0.3">
      <c r="A95" s="675" t="s">
        <v>484</v>
      </c>
      <c r="B95" s="676" t="s">
        <v>2418</v>
      </c>
      <c r="C95" s="676" t="s">
        <v>2244</v>
      </c>
      <c r="D95" s="676" t="s">
        <v>2423</v>
      </c>
      <c r="E95" s="676" t="s">
        <v>2424</v>
      </c>
      <c r="F95" s="680"/>
      <c r="G95" s="680"/>
      <c r="H95" s="680"/>
      <c r="I95" s="680"/>
      <c r="J95" s="680">
        <v>3</v>
      </c>
      <c r="K95" s="680">
        <v>1464</v>
      </c>
      <c r="L95" s="680">
        <v>1</v>
      </c>
      <c r="M95" s="680">
        <v>488</v>
      </c>
      <c r="N95" s="680"/>
      <c r="O95" s="680"/>
      <c r="P95" s="702"/>
      <c r="Q95" s="681"/>
    </row>
    <row r="96" spans="1:17" ht="14.4" customHeight="1" x14ac:dyDescent="0.3">
      <c r="A96" s="675" t="s">
        <v>484</v>
      </c>
      <c r="B96" s="676" t="s">
        <v>2418</v>
      </c>
      <c r="C96" s="676" t="s">
        <v>2244</v>
      </c>
      <c r="D96" s="676" t="s">
        <v>2425</v>
      </c>
      <c r="E96" s="676" t="s">
        <v>2426</v>
      </c>
      <c r="F96" s="680">
        <v>2</v>
      </c>
      <c r="G96" s="680">
        <v>7010</v>
      </c>
      <c r="H96" s="680">
        <v>1.9205479452054794</v>
      </c>
      <c r="I96" s="680">
        <v>3505</v>
      </c>
      <c r="J96" s="680">
        <v>1</v>
      </c>
      <c r="K96" s="680">
        <v>3650</v>
      </c>
      <c r="L96" s="680">
        <v>1</v>
      </c>
      <c r="M96" s="680">
        <v>3650</v>
      </c>
      <c r="N96" s="680">
        <v>1</v>
      </c>
      <c r="O96" s="680">
        <v>3652</v>
      </c>
      <c r="P96" s="702">
        <v>1.0005479452054795</v>
      </c>
      <c r="Q96" s="681">
        <v>3652</v>
      </c>
    </row>
    <row r="97" spans="1:17" ht="14.4" customHeight="1" x14ac:dyDescent="0.3">
      <c r="A97" s="675" t="s">
        <v>484</v>
      </c>
      <c r="B97" s="676" t="s">
        <v>2418</v>
      </c>
      <c r="C97" s="676" t="s">
        <v>2244</v>
      </c>
      <c r="D97" s="676" t="s">
        <v>2427</v>
      </c>
      <c r="E97" s="676" t="s">
        <v>2428</v>
      </c>
      <c r="F97" s="680"/>
      <c r="G97" s="680"/>
      <c r="H97" s="680"/>
      <c r="I97" s="680"/>
      <c r="J97" s="680"/>
      <c r="K97" s="680"/>
      <c r="L97" s="680"/>
      <c r="M97" s="680"/>
      <c r="N97" s="680">
        <v>1</v>
      </c>
      <c r="O97" s="680">
        <v>4908</v>
      </c>
      <c r="P97" s="702"/>
      <c r="Q97" s="681">
        <v>4908</v>
      </c>
    </row>
    <row r="98" spans="1:17" ht="14.4" customHeight="1" x14ac:dyDescent="0.3">
      <c r="A98" s="675" t="s">
        <v>484</v>
      </c>
      <c r="B98" s="676" t="s">
        <v>2418</v>
      </c>
      <c r="C98" s="676" t="s">
        <v>2244</v>
      </c>
      <c r="D98" s="676" t="s">
        <v>2429</v>
      </c>
      <c r="E98" s="676" t="s">
        <v>2430</v>
      </c>
      <c r="F98" s="680"/>
      <c r="G98" s="680"/>
      <c r="H98" s="680"/>
      <c r="I98" s="680"/>
      <c r="J98" s="680">
        <v>1</v>
      </c>
      <c r="K98" s="680">
        <v>4340</v>
      </c>
      <c r="L98" s="680">
        <v>1</v>
      </c>
      <c r="M98" s="680">
        <v>4340</v>
      </c>
      <c r="N98" s="680"/>
      <c r="O98" s="680"/>
      <c r="P98" s="702"/>
      <c r="Q98" s="681"/>
    </row>
    <row r="99" spans="1:17" ht="14.4" customHeight="1" x14ac:dyDescent="0.3">
      <c r="A99" s="675" t="s">
        <v>484</v>
      </c>
      <c r="B99" s="676" t="s">
        <v>2418</v>
      </c>
      <c r="C99" s="676" t="s">
        <v>2244</v>
      </c>
      <c r="D99" s="676" t="s">
        <v>2431</v>
      </c>
      <c r="E99" s="676" t="s">
        <v>2432</v>
      </c>
      <c r="F99" s="680"/>
      <c r="G99" s="680"/>
      <c r="H99" s="680"/>
      <c r="I99" s="680"/>
      <c r="J99" s="680">
        <v>1</v>
      </c>
      <c r="K99" s="680">
        <v>120</v>
      </c>
      <c r="L99" s="680">
        <v>1</v>
      </c>
      <c r="M99" s="680">
        <v>120</v>
      </c>
      <c r="N99" s="680"/>
      <c r="O99" s="680"/>
      <c r="P99" s="702"/>
      <c r="Q99" s="681"/>
    </row>
    <row r="100" spans="1:17" ht="14.4" customHeight="1" x14ac:dyDescent="0.3">
      <c r="A100" s="675" t="s">
        <v>484</v>
      </c>
      <c r="B100" s="676" t="s">
        <v>2418</v>
      </c>
      <c r="C100" s="676" t="s">
        <v>2244</v>
      </c>
      <c r="D100" s="676" t="s">
        <v>2433</v>
      </c>
      <c r="E100" s="676" t="s">
        <v>2434</v>
      </c>
      <c r="F100" s="680"/>
      <c r="G100" s="680"/>
      <c r="H100" s="680"/>
      <c r="I100" s="680"/>
      <c r="J100" s="680">
        <v>5</v>
      </c>
      <c r="K100" s="680">
        <v>1795</v>
      </c>
      <c r="L100" s="680">
        <v>1</v>
      </c>
      <c r="M100" s="680">
        <v>359</v>
      </c>
      <c r="N100" s="680"/>
      <c r="O100" s="680"/>
      <c r="P100" s="702"/>
      <c r="Q100" s="681"/>
    </row>
    <row r="101" spans="1:17" ht="14.4" customHeight="1" x14ac:dyDescent="0.3">
      <c r="A101" s="675" t="s">
        <v>484</v>
      </c>
      <c r="B101" s="676" t="s">
        <v>2418</v>
      </c>
      <c r="C101" s="676" t="s">
        <v>2244</v>
      </c>
      <c r="D101" s="676" t="s">
        <v>2435</v>
      </c>
      <c r="E101" s="676" t="s">
        <v>2436</v>
      </c>
      <c r="F101" s="680"/>
      <c r="G101" s="680"/>
      <c r="H101" s="680"/>
      <c r="I101" s="680"/>
      <c r="J101" s="680">
        <v>1</v>
      </c>
      <c r="K101" s="680">
        <v>4468</v>
      </c>
      <c r="L101" s="680">
        <v>1</v>
      </c>
      <c r="M101" s="680">
        <v>4468</v>
      </c>
      <c r="N101" s="680"/>
      <c r="O101" s="680"/>
      <c r="P101" s="702"/>
      <c r="Q101" s="681"/>
    </row>
    <row r="102" spans="1:17" ht="14.4" customHeight="1" x14ac:dyDescent="0.3">
      <c r="A102" s="675" t="s">
        <v>484</v>
      </c>
      <c r="B102" s="676" t="s">
        <v>2418</v>
      </c>
      <c r="C102" s="676" t="s">
        <v>2244</v>
      </c>
      <c r="D102" s="676" t="s">
        <v>2437</v>
      </c>
      <c r="E102" s="676" t="s">
        <v>2438</v>
      </c>
      <c r="F102" s="680"/>
      <c r="G102" s="680"/>
      <c r="H102" s="680"/>
      <c r="I102" s="680"/>
      <c r="J102" s="680">
        <v>2</v>
      </c>
      <c r="K102" s="680">
        <v>4932</v>
      </c>
      <c r="L102" s="680">
        <v>1</v>
      </c>
      <c r="M102" s="680">
        <v>2466</v>
      </c>
      <c r="N102" s="680"/>
      <c r="O102" s="680"/>
      <c r="P102" s="702"/>
      <c r="Q102" s="681"/>
    </row>
    <row r="103" spans="1:17" ht="14.4" customHeight="1" x14ac:dyDescent="0.3">
      <c r="A103" s="675" t="s">
        <v>484</v>
      </c>
      <c r="B103" s="676" t="s">
        <v>2418</v>
      </c>
      <c r="C103" s="676" t="s">
        <v>2244</v>
      </c>
      <c r="D103" s="676" t="s">
        <v>2439</v>
      </c>
      <c r="E103" s="676" t="s">
        <v>2440</v>
      </c>
      <c r="F103" s="680">
        <v>3</v>
      </c>
      <c r="G103" s="680">
        <v>16086</v>
      </c>
      <c r="H103" s="680">
        <v>0.58420192482295263</v>
      </c>
      <c r="I103" s="680">
        <v>5362</v>
      </c>
      <c r="J103" s="680">
        <v>5</v>
      </c>
      <c r="K103" s="680">
        <v>27535</v>
      </c>
      <c r="L103" s="680">
        <v>1</v>
      </c>
      <c r="M103" s="680">
        <v>5507</v>
      </c>
      <c r="N103" s="680">
        <v>1</v>
      </c>
      <c r="O103" s="680">
        <v>5509</v>
      </c>
      <c r="P103" s="702">
        <v>0.20007263482840021</v>
      </c>
      <c r="Q103" s="681">
        <v>5509</v>
      </c>
    </row>
    <row r="104" spans="1:17" ht="14.4" customHeight="1" x14ac:dyDescent="0.3">
      <c r="A104" s="675" t="s">
        <v>484</v>
      </c>
      <c r="B104" s="676" t="s">
        <v>2418</v>
      </c>
      <c r="C104" s="676" t="s">
        <v>2244</v>
      </c>
      <c r="D104" s="676" t="s">
        <v>2441</v>
      </c>
      <c r="E104" s="676" t="s">
        <v>2442</v>
      </c>
      <c r="F104" s="680"/>
      <c r="G104" s="680"/>
      <c r="H104" s="680"/>
      <c r="I104" s="680"/>
      <c r="J104" s="680">
        <v>1</v>
      </c>
      <c r="K104" s="680">
        <v>9211</v>
      </c>
      <c r="L104" s="680">
        <v>1</v>
      </c>
      <c r="M104" s="680">
        <v>9211</v>
      </c>
      <c r="N104" s="680">
        <v>2</v>
      </c>
      <c r="O104" s="680">
        <v>18438</v>
      </c>
      <c r="P104" s="702">
        <v>2.0017370535229615</v>
      </c>
      <c r="Q104" s="681">
        <v>9219</v>
      </c>
    </row>
    <row r="105" spans="1:17" ht="14.4" customHeight="1" x14ac:dyDescent="0.3">
      <c r="A105" s="675" t="s">
        <v>484</v>
      </c>
      <c r="B105" s="676" t="s">
        <v>2418</v>
      </c>
      <c r="C105" s="676" t="s">
        <v>2244</v>
      </c>
      <c r="D105" s="676" t="s">
        <v>2443</v>
      </c>
      <c r="E105" s="676" t="s">
        <v>2444</v>
      </c>
      <c r="F105" s="680"/>
      <c r="G105" s="680"/>
      <c r="H105" s="680"/>
      <c r="I105" s="680"/>
      <c r="J105" s="680">
        <v>1</v>
      </c>
      <c r="K105" s="680">
        <v>1309</v>
      </c>
      <c r="L105" s="680">
        <v>1</v>
      </c>
      <c r="M105" s="680">
        <v>1309</v>
      </c>
      <c r="N105" s="680"/>
      <c r="O105" s="680"/>
      <c r="P105" s="702"/>
      <c r="Q105" s="681"/>
    </row>
    <row r="106" spans="1:17" ht="14.4" customHeight="1" x14ac:dyDescent="0.3">
      <c r="A106" s="675" t="s">
        <v>484</v>
      </c>
      <c r="B106" s="676" t="s">
        <v>2418</v>
      </c>
      <c r="C106" s="676" t="s">
        <v>2244</v>
      </c>
      <c r="D106" s="676" t="s">
        <v>2445</v>
      </c>
      <c r="E106" s="676" t="s">
        <v>2446</v>
      </c>
      <c r="F106" s="680">
        <v>1</v>
      </c>
      <c r="G106" s="680">
        <v>4082</v>
      </c>
      <c r="H106" s="680">
        <v>0.136791662477799</v>
      </c>
      <c r="I106" s="680">
        <v>4082</v>
      </c>
      <c r="J106" s="680">
        <v>7</v>
      </c>
      <c r="K106" s="680">
        <v>29841</v>
      </c>
      <c r="L106" s="680">
        <v>1</v>
      </c>
      <c r="M106" s="680">
        <v>4263</v>
      </c>
      <c r="N106" s="680">
        <v>3</v>
      </c>
      <c r="O106" s="680">
        <v>12798</v>
      </c>
      <c r="P106" s="702">
        <v>0.42887302704332964</v>
      </c>
      <c r="Q106" s="681">
        <v>4266</v>
      </c>
    </row>
    <row r="107" spans="1:17" ht="14.4" customHeight="1" x14ac:dyDescent="0.3">
      <c r="A107" s="675" t="s">
        <v>484</v>
      </c>
      <c r="B107" s="676" t="s">
        <v>2418</v>
      </c>
      <c r="C107" s="676" t="s">
        <v>2244</v>
      </c>
      <c r="D107" s="676" t="s">
        <v>2447</v>
      </c>
      <c r="E107" s="676" t="s">
        <v>2448</v>
      </c>
      <c r="F107" s="680">
        <v>2</v>
      </c>
      <c r="G107" s="680">
        <v>1892</v>
      </c>
      <c r="H107" s="680">
        <v>0.97425334706488154</v>
      </c>
      <c r="I107" s="680">
        <v>946</v>
      </c>
      <c r="J107" s="680">
        <v>2</v>
      </c>
      <c r="K107" s="680">
        <v>1942</v>
      </c>
      <c r="L107" s="680">
        <v>1</v>
      </c>
      <c r="M107" s="680">
        <v>971</v>
      </c>
      <c r="N107" s="680">
        <v>2</v>
      </c>
      <c r="O107" s="680">
        <v>1944</v>
      </c>
      <c r="P107" s="702">
        <v>1.0010298661174046</v>
      </c>
      <c r="Q107" s="681">
        <v>972</v>
      </c>
    </row>
    <row r="108" spans="1:17" ht="14.4" customHeight="1" x14ac:dyDescent="0.3">
      <c r="A108" s="675" t="s">
        <v>484</v>
      </c>
      <c r="B108" s="676" t="s">
        <v>2418</v>
      </c>
      <c r="C108" s="676" t="s">
        <v>2244</v>
      </c>
      <c r="D108" s="676" t="s">
        <v>2449</v>
      </c>
      <c r="E108" s="676" t="s">
        <v>2450</v>
      </c>
      <c r="F108" s="680"/>
      <c r="G108" s="680"/>
      <c r="H108" s="680"/>
      <c r="I108" s="680"/>
      <c r="J108" s="680">
        <v>1</v>
      </c>
      <c r="K108" s="680">
        <v>930</v>
      </c>
      <c r="L108" s="680">
        <v>1</v>
      </c>
      <c r="M108" s="680">
        <v>930</v>
      </c>
      <c r="N108" s="680"/>
      <c r="O108" s="680"/>
      <c r="P108" s="702"/>
      <c r="Q108" s="681"/>
    </row>
    <row r="109" spans="1:17" ht="14.4" customHeight="1" x14ac:dyDescent="0.3">
      <c r="A109" s="675" t="s">
        <v>484</v>
      </c>
      <c r="B109" s="676" t="s">
        <v>2418</v>
      </c>
      <c r="C109" s="676" t="s">
        <v>2244</v>
      </c>
      <c r="D109" s="676" t="s">
        <v>2280</v>
      </c>
      <c r="E109" s="676" t="s">
        <v>2281</v>
      </c>
      <c r="F109" s="680">
        <v>2</v>
      </c>
      <c r="G109" s="680">
        <v>1638</v>
      </c>
      <c r="H109" s="680">
        <v>1.9593301435406698</v>
      </c>
      <c r="I109" s="680">
        <v>819</v>
      </c>
      <c r="J109" s="680">
        <v>1</v>
      </c>
      <c r="K109" s="680">
        <v>836</v>
      </c>
      <c r="L109" s="680">
        <v>1</v>
      </c>
      <c r="M109" s="680">
        <v>836</v>
      </c>
      <c r="N109" s="680"/>
      <c r="O109" s="680"/>
      <c r="P109" s="702"/>
      <c r="Q109" s="681"/>
    </row>
    <row r="110" spans="1:17" ht="14.4" customHeight="1" x14ac:dyDescent="0.3">
      <c r="A110" s="675" t="s">
        <v>484</v>
      </c>
      <c r="B110" s="676" t="s">
        <v>2418</v>
      </c>
      <c r="C110" s="676" t="s">
        <v>2244</v>
      </c>
      <c r="D110" s="676" t="s">
        <v>2451</v>
      </c>
      <c r="E110" s="676" t="s">
        <v>2452</v>
      </c>
      <c r="F110" s="680">
        <v>1</v>
      </c>
      <c r="G110" s="680">
        <v>3958</v>
      </c>
      <c r="H110" s="680">
        <v>0.95626963034549406</v>
      </c>
      <c r="I110" s="680">
        <v>3958</v>
      </c>
      <c r="J110" s="680">
        <v>1</v>
      </c>
      <c r="K110" s="680">
        <v>4139</v>
      </c>
      <c r="L110" s="680">
        <v>1</v>
      </c>
      <c r="M110" s="680">
        <v>4139</v>
      </c>
      <c r="N110" s="680"/>
      <c r="O110" s="680"/>
      <c r="P110" s="702"/>
      <c r="Q110" s="681"/>
    </row>
    <row r="111" spans="1:17" ht="14.4" customHeight="1" x14ac:dyDescent="0.3">
      <c r="A111" s="675" t="s">
        <v>484</v>
      </c>
      <c r="B111" s="676" t="s">
        <v>2418</v>
      </c>
      <c r="C111" s="676" t="s">
        <v>2244</v>
      </c>
      <c r="D111" s="676" t="s">
        <v>2453</v>
      </c>
      <c r="E111" s="676" t="s">
        <v>2454</v>
      </c>
      <c r="F111" s="680">
        <v>1</v>
      </c>
      <c r="G111" s="680">
        <v>2853</v>
      </c>
      <c r="H111" s="680">
        <v>0.19342372881355932</v>
      </c>
      <c r="I111" s="680">
        <v>2853</v>
      </c>
      <c r="J111" s="680">
        <v>5</v>
      </c>
      <c r="K111" s="680">
        <v>14750</v>
      </c>
      <c r="L111" s="680">
        <v>1</v>
      </c>
      <c r="M111" s="680">
        <v>2950</v>
      </c>
      <c r="N111" s="680">
        <v>1</v>
      </c>
      <c r="O111" s="680">
        <v>2952</v>
      </c>
      <c r="P111" s="702">
        <v>0.20013559322033897</v>
      </c>
      <c r="Q111" s="681">
        <v>2952</v>
      </c>
    </row>
    <row r="112" spans="1:17" ht="14.4" customHeight="1" x14ac:dyDescent="0.3">
      <c r="A112" s="675" t="s">
        <v>484</v>
      </c>
      <c r="B112" s="676" t="s">
        <v>2418</v>
      </c>
      <c r="C112" s="676" t="s">
        <v>2244</v>
      </c>
      <c r="D112" s="676" t="s">
        <v>2322</v>
      </c>
      <c r="E112" s="676" t="s">
        <v>2323</v>
      </c>
      <c r="F112" s="680"/>
      <c r="G112" s="680"/>
      <c r="H112" s="680"/>
      <c r="I112" s="680"/>
      <c r="J112" s="680">
        <v>3</v>
      </c>
      <c r="K112" s="680">
        <v>1332</v>
      </c>
      <c r="L112" s="680">
        <v>1</v>
      </c>
      <c r="M112" s="680">
        <v>444</v>
      </c>
      <c r="N112" s="680"/>
      <c r="O112" s="680"/>
      <c r="P112" s="702"/>
      <c r="Q112" s="681"/>
    </row>
    <row r="113" spans="1:17" ht="14.4" customHeight="1" x14ac:dyDescent="0.3">
      <c r="A113" s="675" t="s">
        <v>484</v>
      </c>
      <c r="B113" s="676" t="s">
        <v>2418</v>
      </c>
      <c r="C113" s="676" t="s">
        <v>2244</v>
      </c>
      <c r="D113" s="676" t="s">
        <v>2455</v>
      </c>
      <c r="E113" s="676" t="s">
        <v>2456</v>
      </c>
      <c r="F113" s="680">
        <v>1</v>
      </c>
      <c r="G113" s="680">
        <v>114</v>
      </c>
      <c r="H113" s="680"/>
      <c r="I113" s="680">
        <v>114</v>
      </c>
      <c r="J113" s="680"/>
      <c r="K113" s="680"/>
      <c r="L113" s="680"/>
      <c r="M113" s="680"/>
      <c r="N113" s="680"/>
      <c r="O113" s="680"/>
      <c r="P113" s="702"/>
      <c r="Q113" s="681"/>
    </row>
    <row r="114" spans="1:17" ht="14.4" customHeight="1" x14ac:dyDescent="0.3">
      <c r="A114" s="675" t="s">
        <v>484</v>
      </c>
      <c r="B114" s="676" t="s">
        <v>2418</v>
      </c>
      <c r="C114" s="676" t="s">
        <v>2244</v>
      </c>
      <c r="D114" s="676" t="s">
        <v>2324</v>
      </c>
      <c r="E114" s="676" t="s">
        <v>2325</v>
      </c>
      <c r="F114" s="680">
        <v>4</v>
      </c>
      <c r="G114" s="680">
        <v>3408</v>
      </c>
      <c r="H114" s="680">
        <v>0.30306803023566031</v>
      </c>
      <c r="I114" s="680">
        <v>852</v>
      </c>
      <c r="J114" s="680">
        <v>13</v>
      </c>
      <c r="K114" s="680">
        <v>11245</v>
      </c>
      <c r="L114" s="680">
        <v>1</v>
      </c>
      <c r="M114" s="680">
        <v>865</v>
      </c>
      <c r="N114" s="680">
        <v>5</v>
      </c>
      <c r="O114" s="680">
        <v>4325</v>
      </c>
      <c r="P114" s="702">
        <v>0.38461538461538464</v>
      </c>
      <c r="Q114" s="681">
        <v>865</v>
      </c>
    </row>
    <row r="115" spans="1:17" ht="14.4" customHeight="1" x14ac:dyDescent="0.3">
      <c r="A115" s="675" t="s">
        <v>484</v>
      </c>
      <c r="B115" s="676" t="s">
        <v>2418</v>
      </c>
      <c r="C115" s="676" t="s">
        <v>2244</v>
      </c>
      <c r="D115" s="676" t="s">
        <v>2457</v>
      </c>
      <c r="E115" s="676" t="s">
        <v>2458</v>
      </c>
      <c r="F115" s="680">
        <v>6</v>
      </c>
      <c r="G115" s="680">
        <v>684</v>
      </c>
      <c r="H115" s="680">
        <v>0.40714285714285714</v>
      </c>
      <c r="I115" s="680">
        <v>114</v>
      </c>
      <c r="J115" s="680">
        <v>14</v>
      </c>
      <c r="K115" s="680">
        <v>1680</v>
      </c>
      <c r="L115" s="680">
        <v>1</v>
      </c>
      <c r="M115" s="680">
        <v>120</v>
      </c>
      <c r="N115" s="680">
        <v>2</v>
      </c>
      <c r="O115" s="680">
        <v>240</v>
      </c>
      <c r="P115" s="702">
        <v>0.14285714285714285</v>
      </c>
      <c r="Q115" s="681">
        <v>120</v>
      </c>
    </row>
    <row r="116" spans="1:17" ht="14.4" customHeight="1" x14ac:dyDescent="0.3">
      <c r="A116" s="675" t="s">
        <v>484</v>
      </c>
      <c r="B116" s="676" t="s">
        <v>2418</v>
      </c>
      <c r="C116" s="676" t="s">
        <v>2244</v>
      </c>
      <c r="D116" s="676" t="s">
        <v>2459</v>
      </c>
      <c r="E116" s="676" t="s">
        <v>2460</v>
      </c>
      <c r="F116" s="680">
        <v>1</v>
      </c>
      <c r="G116" s="680">
        <v>311</v>
      </c>
      <c r="H116" s="680">
        <v>0.48746081504702193</v>
      </c>
      <c r="I116" s="680">
        <v>311</v>
      </c>
      <c r="J116" s="680">
        <v>2</v>
      </c>
      <c r="K116" s="680">
        <v>638</v>
      </c>
      <c r="L116" s="680">
        <v>1</v>
      </c>
      <c r="M116" s="680">
        <v>319</v>
      </c>
      <c r="N116" s="680"/>
      <c r="O116" s="680"/>
      <c r="P116" s="702"/>
      <c r="Q116" s="681"/>
    </row>
    <row r="117" spans="1:17" ht="14.4" customHeight="1" x14ac:dyDescent="0.3">
      <c r="A117" s="675" t="s">
        <v>484</v>
      </c>
      <c r="B117" s="676" t="s">
        <v>2418</v>
      </c>
      <c r="C117" s="676" t="s">
        <v>2244</v>
      </c>
      <c r="D117" s="676" t="s">
        <v>2461</v>
      </c>
      <c r="E117" s="676" t="s">
        <v>2462</v>
      </c>
      <c r="F117" s="680">
        <v>2</v>
      </c>
      <c r="G117" s="680">
        <v>5080</v>
      </c>
      <c r="H117" s="680"/>
      <c r="I117" s="680">
        <v>2540</v>
      </c>
      <c r="J117" s="680"/>
      <c r="K117" s="680"/>
      <c r="L117" s="680"/>
      <c r="M117" s="680"/>
      <c r="N117" s="680"/>
      <c r="O117" s="680"/>
      <c r="P117" s="702"/>
      <c r="Q117" s="681"/>
    </row>
    <row r="118" spans="1:17" ht="14.4" customHeight="1" x14ac:dyDescent="0.3">
      <c r="A118" s="675" t="s">
        <v>484</v>
      </c>
      <c r="B118" s="676" t="s">
        <v>2418</v>
      </c>
      <c r="C118" s="676" t="s">
        <v>2244</v>
      </c>
      <c r="D118" s="676" t="s">
        <v>2463</v>
      </c>
      <c r="E118" s="676" t="s">
        <v>2464</v>
      </c>
      <c r="F118" s="680"/>
      <c r="G118" s="680"/>
      <c r="H118" s="680"/>
      <c r="I118" s="680"/>
      <c r="J118" s="680">
        <v>6</v>
      </c>
      <c r="K118" s="680">
        <v>34236</v>
      </c>
      <c r="L118" s="680">
        <v>1</v>
      </c>
      <c r="M118" s="680">
        <v>5706</v>
      </c>
      <c r="N118" s="680">
        <v>2</v>
      </c>
      <c r="O118" s="680">
        <v>11422</v>
      </c>
      <c r="P118" s="702">
        <v>0.33362542353078628</v>
      </c>
      <c r="Q118" s="681">
        <v>5711</v>
      </c>
    </row>
    <row r="119" spans="1:17" ht="14.4" customHeight="1" x14ac:dyDescent="0.3">
      <c r="A119" s="675" t="s">
        <v>484</v>
      </c>
      <c r="B119" s="676" t="s">
        <v>2418</v>
      </c>
      <c r="C119" s="676" t="s">
        <v>2244</v>
      </c>
      <c r="D119" s="676" t="s">
        <v>2465</v>
      </c>
      <c r="E119" s="676" t="s">
        <v>2466</v>
      </c>
      <c r="F119" s="680"/>
      <c r="G119" s="680"/>
      <c r="H119" s="680"/>
      <c r="I119" s="680"/>
      <c r="J119" s="680">
        <v>1</v>
      </c>
      <c r="K119" s="680">
        <v>2548</v>
      </c>
      <c r="L119" s="680">
        <v>1</v>
      </c>
      <c r="M119" s="680">
        <v>2548</v>
      </c>
      <c r="N119" s="680"/>
      <c r="O119" s="680"/>
      <c r="P119" s="702"/>
      <c r="Q119" s="681"/>
    </row>
    <row r="120" spans="1:17" ht="14.4" customHeight="1" x14ac:dyDescent="0.3">
      <c r="A120" s="675" t="s">
        <v>484</v>
      </c>
      <c r="B120" s="676" t="s">
        <v>2418</v>
      </c>
      <c r="C120" s="676" t="s">
        <v>2244</v>
      </c>
      <c r="D120" s="676" t="s">
        <v>2348</v>
      </c>
      <c r="E120" s="676" t="s">
        <v>2349</v>
      </c>
      <c r="F120" s="680">
        <v>2</v>
      </c>
      <c r="G120" s="680">
        <v>8778</v>
      </c>
      <c r="H120" s="680">
        <v>1.9207877461706784</v>
      </c>
      <c r="I120" s="680">
        <v>4389</v>
      </c>
      <c r="J120" s="680">
        <v>1</v>
      </c>
      <c r="K120" s="680">
        <v>4570</v>
      </c>
      <c r="L120" s="680">
        <v>1</v>
      </c>
      <c r="M120" s="680">
        <v>4570</v>
      </c>
      <c r="N120" s="680"/>
      <c r="O120" s="680"/>
      <c r="P120" s="702"/>
      <c r="Q120" s="681"/>
    </row>
    <row r="121" spans="1:17" ht="14.4" customHeight="1" x14ac:dyDescent="0.3">
      <c r="A121" s="675" t="s">
        <v>484</v>
      </c>
      <c r="B121" s="676" t="s">
        <v>2418</v>
      </c>
      <c r="C121" s="676" t="s">
        <v>2244</v>
      </c>
      <c r="D121" s="676" t="s">
        <v>2467</v>
      </c>
      <c r="E121" s="676" t="s">
        <v>2468</v>
      </c>
      <c r="F121" s="680">
        <v>1</v>
      </c>
      <c r="G121" s="680">
        <v>3795</v>
      </c>
      <c r="H121" s="680"/>
      <c r="I121" s="680">
        <v>3795</v>
      </c>
      <c r="J121" s="680"/>
      <c r="K121" s="680"/>
      <c r="L121" s="680"/>
      <c r="M121" s="680"/>
      <c r="N121" s="680"/>
      <c r="O121" s="680"/>
      <c r="P121" s="702"/>
      <c r="Q121" s="681"/>
    </row>
    <row r="122" spans="1:17" ht="14.4" customHeight="1" x14ac:dyDescent="0.3">
      <c r="A122" s="675" t="s">
        <v>484</v>
      </c>
      <c r="B122" s="676" t="s">
        <v>2418</v>
      </c>
      <c r="C122" s="676" t="s">
        <v>2244</v>
      </c>
      <c r="D122" s="676" t="s">
        <v>2469</v>
      </c>
      <c r="E122" s="676" t="s">
        <v>2470</v>
      </c>
      <c r="F122" s="680"/>
      <c r="G122" s="680"/>
      <c r="H122" s="680"/>
      <c r="I122" s="680"/>
      <c r="J122" s="680"/>
      <c r="K122" s="680"/>
      <c r="L122" s="680"/>
      <c r="M122" s="680"/>
      <c r="N122" s="680">
        <v>1</v>
      </c>
      <c r="O122" s="680">
        <v>120</v>
      </c>
      <c r="P122" s="702"/>
      <c r="Q122" s="681">
        <v>120</v>
      </c>
    </row>
    <row r="123" spans="1:17" ht="14.4" customHeight="1" x14ac:dyDescent="0.3">
      <c r="A123" s="675" t="s">
        <v>484</v>
      </c>
      <c r="B123" s="676" t="s">
        <v>2418</v>
      </c>
      <c r="C123" s="676" t="s">
        <v>2244</v>
      </c>
      <c r="D123" s="676" t="s">
        <v>2471</v>
      </c>
      <c r="E123" s="676" t="s">
        <v>2472</v>
      </c>
      <c r="F123" s="680"/>
      <c r="G123" s="680"/>
      <c r="H123" s="680"/>
      <c r="I123" s="680"/>
      <c r="J123" s="680">
        <v>3</v>
      </c>
      <c r="K123" s="680">
        <v>24918</v>
      </c>
      <c r="L123" s="680">
        <v>1</v>
      </c>
      <c r="M123" s="680">
        <v>8306</v>
      </c>
      <c r="N123" s="680">
        <v>2</v>
      </c>
      <c r="O123" s="680">
        <v>16624</v>
      </c>
      <c r="P123" s="702">
        <v>0.66714824624769242</v>
      </c>
      <c r="Q123" s="681">
        <v>8312</v>
      </c>
    </row>
    <row r="124" spans="1:17" ht="14.4" customHeight="1" x14ac:dyDescent="0.3">
      <c r="A124" s="675" t="s">
        <v>484</v>
      </c>
      <c r="B124" s="676" t="s">
        <v>2418</v>
      </c>
      <c r="C124" s="676" t="s">
        <v>2244</v>
      </c>
      <c r="D124" s="676" t="s">
        <v>2473</v>
      </c>
      <c r="E124" s="676" t="s">
        <v>2474</v>
      </c>
      <c r="F124" s="680">
        <v>1</v>
      </c>
      <c r="G124" s="680">
        <v>318</v>
      </c>
      <c r="H124" s="680">
        <v>0.9607250755287009</v>
      </c>
      <c r="I124" s="680">
        <v>318</v>
      </c>
      <c r="J124" s="680">
        <v>1</v>
      </c>
      <c r="K124" s="680">
        <v>331</v>
      </c>
      <c r="L124" s="680">
        <v>1</v>
      </c>
      <c r="M124" s="680">
        <v>331</v>
      </c>
      <c r="N124" s="680"/>
      <c r="O124" s="680"/>
      <c r="P124" s="702"/>
      <c r="Q124" s="681"/>
    </row>
    <row r="125" spans="1:17" ht="14.4" customHeight="1" x14ac:dyDescent="0.3">
      <c r="A125" s="675" t="s">
        <v>484</v>
      </c>
      <c r="B125" s="676" t="s">
        <v>2418</v>
      </c>
      <c r="C125" s="676" t="s">
        <v>2244</v>
      </c>
      <c r="D125" s="676" t="s">
        <v>2475</v>
      </c>
      <c r="E125" s="676" t="s">
        <v>2476</v>
      </c>
      <c r="F125" s="680"/>
      <c r="G125" s="680"/>
      <c r="H125" s="680"/>
      <c r="I125" s="680"/>
      <c r="J125" s="680">
        <v>1</v>
      </c>
      <c r="K125" s="680">
        <v>1109</v>
      </c>
      <c r="L125" s="680">
        <v>1</v>
      </c>
      <c r="M125" s="680">
        <v>1109</v>
      </c>
      <c r="N125" s="680"/>
      <c r="O125" s="680"/>
      <c r="P125" s="702"/>
      <c r="Q125" s="681"/>
    </row>
    <row r="126" spans="1:17" ht="14.4" customHeight="1" x14ac:dyDescent="0.3">
      <c r="A126" s="675" t="s">
        <v>484</v>
      </c>
      <c r="B126" s="676" t="s">
        <v>2418</v>
      </c>
      <c r="C126" s="676" t="s">
        <v>2244</v>
      </c>
      <c r="D126" s="676" t="s">
        <v>2477</v>
      </c>
      <c r="E126" s="676" t="s">
        <v>2478</v>
      </c>
      <c r="F126" s="680"/>
      <c r="G126" s="680"/>
      <c r="H126" s="680"/>
      <c r="I126" s="680"/>
      <c r="J126" s="680">
        <v>1</v>
      </c>
      <c r="K126" s="680">
        <v>1238</v>
      </c>
      <c r="L126" s="680">
        <v>1</v>
      </c>
      <c r="M126" s="680">
        <v>1238</v>
      </c>
      <c r="N126" s="680"/>
      <c r="O126" s="680"/>
      <c r="P126" s="702"/>
      <c r="Q126" s="681"/>
    </row>
    <row r="127" spans="1:17" ht="14.4" customHeight="1" x14ac:dyDescent="0.3">
      <c r="A127" s="675" t="s">
        <v>484</v>
      </c>
      <c r="B127" s="676" t="s">
        <v>2418</v>
      </c>
      <c r="C127" s="676" t="s">
        <v>2244</v>
      </c>
      <c r="D127" s="676" t="s">
        <v>2479</v>
      </c>
      <c r="E127" s="676" t="s">
        <v>2480</v>
      </c>
      <c r="F127" s="680"/>
      <c r="G127" s="680"/>
      <c r="H127" s="680"/>
      <c r="I127" s="680"/>
      <c r="J127" s="680">
        <v>1</v>
      </c>
      <c r="K127" s="680">
        <v>2387</v>
      </c>
      <c r="L127" s="680">
        <v>1</v>
      </c>
      <c r="M127" s="680">
        <v>2387</v>
      </c>
      <c r="N127" s="680"/>
      <c r="O127" s="680"/>
      <c r="P127" s="702"/>
      <c r="Q127" s="681"/>
    </row>
    <row r="128" spans="1:17" ht="14.4" customHeight="1" x14ac:dyDescent="0.3">
      <c r="A128" s="675" t="s">
        <v>484</v>
      </c>
      <c r="B128" s="676" t="s">
        <v>2418</v>
      </c>
      <c r="C128" s="676" t="s">
        <v>2244</v>
      </c>
      <c r="D128" s="676" t="s">
        <v>2481</v>
      </c>
      <c r="E128" s="676" t="s">
        <v>2440</v>
      </c>
      <c r="F128" s="680"/>
      <c r="G128" s="680"/>
      <c r="H128" s="680"/>
      <c r="I128" s="680"/>
      <c r="J128" s="680">
        <v>2</v>
      </c>
      <c r="K128" s="680">
        <v>1186</v>
      </c>
      <c r="L128" s="680">
        <v>1</v>
      </c>
      <c r="M128" s="680">
        <v>593</v>
      </c>
      <c r="N128" s="680">
        <v>1</v>
      </c>
      <c r="O128" s="680">
        <v>593</v>
      </c>
      <c r="P128" s="702">
        <v>0.5</v>
      </c>
      <c r="Q128" s="681">
        <v>593</v>
      </c>
    </row>
    <row r="129" spans="1:17" ht="14.4" customHeight="1" x14ac:dyDescent="0.3">
      <c r="A129" s="675" t="s">
        <v>484</v>
      </c>
      <c r="B129" s="676" t="s">
        <v>2418</v>
      </c>
      <c r="C129" s="676" t="s">
        <v>2244</v>
      </c>
      <c r="D129" s="676" t="s">
        <v>2482</v>
      </c>
      <c r="E129" s="676" t="s">
        <v>2483</v>
      </c>
      <c r="F129" s="680"/>
      <c r="G129" s="680"/>
      <c r="H129" s="680"/>
      <c r="I129" s="680"/>
      <c r="J129" s="680">
        <v>1</v>
      </c>
      <c r="K129" s="680">
        <v>3713</v>
      </c>
      <c r="L129" s="680">
        <v>1</v>
      </c>
      <c r="M129" s="680">
        <v>3713</v>
      </c>
      <c r="N129" s="680"/>
      <c r="O129" s="680"/>
      <c r="P129" s="702"/>
      <c r="Q129" s="681"/>
    </row>
    <row r="130" spans="1:17" ht="14.4" customHeight="1" x14ac:dyDescent="0.3">
      <c r="A130" s="675" t="s">
        <v>484</v>
      </c>
      <c r="B130" s="676" t="s">
        <v>2418</v>
      </c>
      <c r="C130" s="676" t="s">
        <v>2244</v>
      </c>
      <c r="D130" s="676" t="s">
        <v>2484</v>
      </c>
      <c r="E130" s="676" t="s">
        <v>2485</v>
      </c>
      <c r="F130" s="680"/>
      <c r="G130" s="680"/>
      <c r="H130" s="680"/>
      <c r="I130" s="680"/>
      <c r="J130" s="680">
        <v>1</v>
      </c>
      <c r="K130" s="680">
        <v>2758</v>
      </c>
      <c r="L130" s="680">
        <v>1</v>
      </c>
      <c r="M130" s="680">
        <v>2758</v>
      </c>
      <c r="N130" s="680"/>
      <c r="O130" s="680"/>
      <c r="P130" s="702"/>
      <c r="Q130" s="681"/>
    </row>
    <row r="131" spans="1:17" ht="14.4" customHeight="1" x14ac:dyDescent="0.3">
      <c r="A131" s="675" t="s">
        <v>484</v>
      </c>
      <c r="B131" s="676" t="s">
        <v>2486</v>
      </c>
      <c r="C131" s="676" t="s">
        <v>2244</v>
      </c>
      <c r="D131" s="676" t="s">
        <v>2292</v>
      </c>
      <c r="E131" s="676" t="s">
        <v>2293</v>
      </c>
      <c r="F131" s="680"/>
      <c r="G131" s="680"/>
      <c r="H131" s="680"/>
      <c r="I131" s="680"/>
      <c r="J131" s="680"/>
      <c r="K131" s="680"/>
      <c r="L131" s="680"/>
      <c r="M131" s="680"/>
      <c r="N131" s="680">
        <v>1</v>
      </c>
      <c r="O131" s="680">
        <v>0</v>
      </c>
      <c r="P131" s="702"/>
      <c r="Q131" s="681">
        <v>0</v>
      </c>
    </row>
    <row r="132" spans="1:17" ht="14.4" customHeight="1" x14ac:dyDescent="0.3">
      <c r="A132" s="675" t="s">
        <v>484</v>
      </c>
      <c r="B132" s="676" t="s">
        <v>2486</v>
      </c>
      <c r="C132" s="676" t="s">
        <v>2244</v>
      </c>
      <c r="D132" s="676" t="s">
        <v>2308</v>
      </c>
      <c r="E132" s="676" t="s">
        <v>2309</v>
      </c>
      <c r="F132" s="680"/>
      <c r="G132" s="680"/>
      <c r="H132" s="680"/>
      <c r="I132" s="680"/>
      <c r="J132" s="680"/>
      <c r="K132" s="680"/>
      <c r="L132" s="680"/>
      <c r="M132" s="680"/>
      <c r="N132" s="680">
        <v>1</v>
      </c>
      <c r="O132" s="680">
        <v>0</v>
      </c>
      <c r="P132" s="702"/>
      <c r="Q132" s="681">
        <v>0</v>
      </c>
    </row>
    <row r="133" spans="1:17" ht="14.4" customHeight="1" x14ac:dyDescent="0.3">
      <c r="A133" s="675" t="s">
        <v>484</v>
      </c>
      <c r="B133" s="676" t="s">
        <v>2486</v>
      </c>
      <c r="C133" s="676" t="s">
        <v>2244</v>
      </c>
      <c r="D133" s="676" t="s">
        <v>2358</v>
      </c>
      <c r="E133" s="676" t="s">
        <v>2359</v>
      </c>
      <c r="F133" s="680"/>
      <c r="G133" s="680"/>
      <c r="H133" s="680"/>
      <c r="I133" s="680"/>
      <c r="J133" s="680"/>
      <c r="K133" s="680"/>
      <c r="L133" s="680"/>
      <c r="M133" s="680"/>
      <c r="N133" s="680">
        <v>1</v>
      </c>
      <c r="O133" s="680">
        <v>0</v>
      </c>
      <c r="P133" s="702"/>
      <c r="Q133" s="681">
        <v>0</v>
      </c>
    </row>
    <row r="134" spans="1:17" ht="14.4" customHeight="1" x14ac:dyDescent="0.3">
      <c r="A134" s="675" t="s">
        <v>484</v>
      </c>
      <c r="B134" s="676" t="s">
        <v>2486</v>
      </c>
      <c r="C134" s="676" t="s">
        <v>2244</v>
      </c>
      <c r="D134" s="676" t="s">
        <v>2487</v>
      </c>
      <c r="E134" s="676" t="s">
        <v>2488</v>
      </c>
      <c r="F134" s="680"/>
      <c r="G134" s="680"/>
      <c r="H134" s="680"/>
      <c r="I134" s="680"/>
      <c r="J134" s="680"/>
      <c r="K134" s="680"/>
      <c r="L134" s="680"/>
      <c r="M134" s="680"/>
      <c r="N134" s="680">
        <v>1</v>
      </c>
      <c r="O134" s="680">
        <v>0</v>
      </c>
      <c r="P134" s="702"/>
      <c r="Q134" s="681">
        <v>0</v>
      </c>
    </row>
    <row r="135" spans="1:17" ht="14.4" customHeight="1" x14ac:dyDescent="0.3">
      <c r="A135" s="675" t="s">
        <v>484</v>
      </c>
      <c r="B135" s="676" t="s">
        <v>2486</v>
      </c>
      <c r="C135" s="676" t="s">
        <v>2244</v>
      </c>
      <c r="D135" s="676" t="s">
        <v>2489</v>
      </c>
      <c r="E135" s="676" t="s">
        <v>2490</v>
      </c>
      <c r="F135" s="680"/>
      <c r="G135" s="680"/>
      <c r="H135" s="680"/>
      <c r="I135" s="680"/>
      <c r="J135" s="680"/>
      <c r="K135" s="680"/>
      <c r="L135" s="680"/>
      <c r="M135" s="680"/>
      <c r="N135" s="680">
        <v>1</v>
      </c>
      <c r="O135" s="680">
        <v>0</v>
      </c>
      <c r="P135" s="702"/>
      <c r="Q135" s="681">
        <v>0</v>
      </c>
    </row>
    <row r="136" spans="1:17" ht="14.4" customHeight="1" x14ac:dyDescent="0.3">
      <c r="A136" s="675" t="s">
        <v>484</v>
      </c>
      <c r="B136" s="676" t="s">
        <v>2486</v>
      </c>
      <c r="C136" s="676" t="s">
        <v>2244</v>
      </c>
      <c r="D136" s="676" t="s">
        <v>2491</v>
      </c>
      <c r="E136" s="676"/>
      <c r="F136" s="680"/>
      <c r="G136" s="680"/>
      <c r="H136" s="680"/>
      <c r="I136" s="680"/>
      <c r="J136" s="680"/>
      <c r="K136" s="680"/>
      <c r="L136" s="680"/>
      <c r="M136" s="680"/>
      <c r="N136" s="680">
        <v>1</v>
      </c>
      <c r="O136" s="680">
        <v>7605</v>
      </c>
      <c r="P136" s="702"/>
      <c r="Q136" s="681">
        <v>7605</v>
      </c>
    </row>
    <row r="137" spans="1:17" ht="14.4" customHeight="1" x14ac:dyDescent="0.3">
      <c r="A137" s="675" t="s">
        <v>484</v>
      </c>
      <c r="B137" s="676" t="s">
        <v>2492</v>
      </c>
      <c r="C137" s="676" t="s">
        <v>2244</v>
      </c>
      <c r="D137" s="676" t="s">
        <v>2493</v>
      </c>
      <c r="E137" s="676" t="s">
        <v>2494</v>
      </c>
      <c r="F137" s="680">
        <v>1</v>
      </c>
      <c r="G137" s="680">
        <v>5482</v>
      </c>
      <c r="H137" s="680"/>
      <c r="I137" s="680">
        <v>5482</v>
      </c>
      <c r="J137" s="680"/>
      <c r="K137" s="680"/>
      <c r="L137" s="680"/>
      <c r="M137" s="680"/>
      <c r="N137" s="680">
        <v>1</v>
      </c>
      <c r="O137" s="680">
        <v>5705</v>
      </c>
      <c r="P137" s="702"/>
      <c r="Q137" s="681">
        <v>5705</v>
      </c>
    </row>
    <row r="138" spans="1:17" ht="14.4" customHeight="1" x14ac:dyDescent="0.3">
      <c r="A138" s="675" t="s">
        <v>484</v>
      </c>
      <c r="B138" s="676" t="s">
        <v>2492</v>
      </c>
      <c r="C138" s="676" t="s">
        <v>2244</v>
      </c>
      <c r="D138" s="676" t="s">
        <v>2495</v>
      </c>
      <c r="E138" s="676" t="s">
        <v>2496</v>
      </c>
      <c r="F138" s="680">
        <v>1</v>
      </c>
      <c r="G138" s="680">
        <v>2238</v>
      </c>
      <c r="H138" s="680"/>
      <c r="I138" s="680">
        <v>2238</v>
      </c>
      <c r="J138" s="680"/>
      <c r="K138" s="680"/>
      <c r="L138" s="680"/>
      <c r="M138" s="680"/>
      <c r="N138" s="680">
        <v>1</v>
      </c>
      <c r="O138" s="680">
        <v>2348</v>
      </c>
      <c r="P138" s="702"/>
      <c r="Q138" s="681">
        <v>2348</v>
      </c>
    </row>
    <row r="139" spans="1:17" ht="14.4" customHeight="1" x14ac:dyDescent="0.3">
      <c r="A139" s="675" t="s">
        <v>484</v>
      </c>
      <c r="B139" s="676" t="s">
        <v>2492</v>
      </c>
      <c r="C139" s="676" t="s">
        <v>2244</v>
      </c>
      <c r="D139" s="676" t="s">
        <v>2497</v>
      </c>
      <c r="E139" s="676" t="s">
        <v>2498</v>
      </c>
      <c r="F139" s="680">
        <v>36</v>
      </c>
      <c r="G139" s="680">
        <v>6264</v>
      </c>
      <c r="H139" s="680"/>
      <c r="I139" s="680">
        <v>174</v>
      </c>
      <c r="J139" s="680"/>
      <c r="K139" s="680"/>
      <c r="L139" s="680"/>
      <c r="M139" s="680"/>
      <c r="N139" s="680">
        <v>4</v>
      </c>
      <c r="O139" s="680">
        <v>696</v>
      </c>
      <c r="P139" s="702"/>
      <c r="Q139" s="681">
        <v>174</v>
      </c>
    </row>
    <row r="140" spans="1:17" ht="14.4" customHeight="1" x14ac:dyDescent="0.3">
      <c r="A140" s="675" t="s">
        <v>484</v>
      </c>
      <c r="B140" s="676" t="s">
        <v>2492</v>
      </c>
      <c r="C140" s="676" t="s">
        <v>2244</v>
      </c>
      <c r="D140" s="676" t="s">
        <v>2499</v>
      </c>
      <c r="E140" s="676" t="s">
        <v>2500</v>
      </c>
      <c r="F140" s="680">
        <v>2</v>
      </c>
      <c r="G140" s="680">
        <v>10630</v>
      </c>
      <c r="H140" s="680"/>
      <c r="I140" s="680">
        <v>5315</v>
      </c>
      <c r="J140" s="680"/>
      <c r="K140" s="680"/>
      <c r="L140" s="680"/>
      <c r="M140" s="680"/>
      <c r="N140" s="680">
        <v>1</v>
      </c>
      <c r="O140" s="680">
        <v>5606</v>
      </c>
      <c r="P140" s="702"/>
      <c r="Q140" s="681">
        <v>5606</v>
      </c>
    </row>
    <row r="141" spans="1:17" ht="14.4" customHeight="1" x14ac:dyDescent="0.3">
      <c r="A141" s="675" t="s">
        <v>484</v>
      </c>
      <c r="B141" s="676" t="s">
        <v>2492</v>
      </c>
      <c r="C141" s="676" t="s">
        <v>2244</v>
      </c>
      <c r="D141" s="676" t="s">
        <v>2501</v>
      </c>
      <c r="E141" s="676" t="s">
        <v>2502</v>
      </c>
      <c r="F141" s="680">
        <v>1</v>
      </c>
      <c r="G141" s="680">
        <v>3629</v>
      </c>
      <c r="H141" s="680"/>
      <c r="I141" s="680">
        <v>3629</v>
      </c>
      <c r="J141" s="680"/>
      <c r="K141" s="680"/>
      <c r="L141" s="680"/>
      <c r="M141" s="680"/>
      <c r="N141" s="680">
        <v>1</v>
      </c>
      <c r="O141" s="680">
        <v>3824</v>
      </c>
      <c r="P141" s="702"/>
      <c r="Q141" s="681">
        <v>3824</v>
      </c>
    </row>
    <row r="142" spans="1:17" ht="14.4" customHeight="1" x14ac:dyDescent="0.3">
      <c r="A142" s="675" t="s">
        <v>484</v>
      </c>
      <c r="B142" s="676" t="s">
        <v>2492</v>
      </c>
      <c r="C142" s="676" t="s">
        <v>2244</v>
      </c>
      <c r="D142" s="676" t="s">
        <v>2503</v>
      </c>
      <c r="E142" s="676" t="s">
        <v>2504</v>
      </c>
      <c r="F142" s="680">
        <v>1</v>
      </c>
      <c r="G142" s="680">
        <v>1512</v>
      </c>
      <c r="H142" s="680"/>
      <c r="I142" s="680">
        <v>1512</v>
      </c>
      <c r="J142" s="680"/>
      <c r="K142" s="680"/>
      <c r="L142" s="680"/>
      <c r="M142" s="680"/>
      <c r="N142" s="680">
        <v>1</v>
      </c>
      <c r="O142" s="680">
        <v>1594</v>
      </c>
      <c r="P142" s="702"/>
      <c r="Q142" s="681">
        <v>1594</v>
      </c>
    </row>
    <row r="143" spans="1:17" ht="14.4" customHeight="1" x14ac:dyDescent="0.3">
      <c r="A143" s="675" t="s">
        <v>484</v>
      </c>
      <c r="B143" s="676" t="s">
        <v>2492</v>
      </c>
      <c r="C143" s="676" t="s">
        <v>2244</v>
      </c>
      <c r="D143" s="676" t="s">
        <v>2505</v>
      </c>
      <c r="E143" s="676" t="s">
        <v>2506</v>
      </c>
      <c r="F143" s="680">
        <v>1</v>
      </c>
      <c r="G143" s="680">
        <v>2722</v>
      </c>
      <c r="H143" s="680"/>
      <c r="I143" s="680">
        <v>2722</v>
      </c>
      <c r="J143" s="680"/>
      <c r="K143" s="680"/>
      <c r="L143" s="680"/>
      <c r="M143" s="680"/>
      <c r="N143" s="680">
        <v>1</v>
      </c>
      <c r="O143" s="680">
        <v>2868</v>
      </c>
      <c r="P143" s="702"/>
      <c r="Q143" s="681">
        <v>2868</v>
      </c>
    </row>
    <row r="144" spans="1:17" ht="14.4" customHeight="1" x14ac:dyDescent="0.3">
      <c r="A144" s="675" t="s">
        <v>484</v>
      </c>
      <c r="B144" s="676" t="s">
        <v>2492</v>
      </c>
      <c r="C144" s="676" t="s">
        <v>2244</v>
      </c>
      <c r="D144" s="676" t="s">
        <v>2507</v>
      </c>
      <c r="E144" s="676" t="s">
        <v>2508</v>
      </c>
      <c r="F144" s="680">
        <v>1</v>
      </c>
      <c r="G144" s="680">
        <v>1128</v>
      </c>
      <c r="H144" s="680"/>
      <c r="I144" s="680">
        <v>1128</v>
      </c>
      <c r="J144" s="680"/>
      <c r="K144" s="680"/>
      <c r="L144" s="680"/>
      <c r="M144" s="680"/>
      <c r="N144" s="680">
        <v>1</v>
      </c>
      <c r="O144" s="680">
        <v>1191</v>
      </c>
      <c r="P144" s="702"/>
      <c r="Q144" s="681">
        <v>1191</v>
      </c>
    </row>
    <row r="145" spans="1:17" ht="14.4" customHeight="1" x14ac:dyDescent="0.3">
      <c r="A145" s="675" t="s">
        <v>484</v>
      </c>
      <c r="B145" s="676" t="s">
        <v>2492</v>
      </c>
      <c r="C145" s="676" t="s">
        <v>2244</v>
      </c>
      <c r="D145" s="676" t="s">
        <v>2509</v>
      </c>
      <c r="E145" s="676" t="s">
        <v>2510</v>
      </c>
      <c r="F145" s="680">
        <v>1</v>
      </c>
      <c r="G145" s="680">
        <v>5356</v>
      </c>
      <c r="H145" s="680"/>
      <c r="I145" s="680">
        <v>5356</v>
      </c>
      <c r="J145" s="680"/>
      <c r="K145" s="680"/>
      <c r="L145" s="680"/>
      <c r="M145" s="680"/>
      <c r="N145" s="680">
        <v>1</v>
      </c>
      <c r="O145" s="680">
        <v>5551</v>
      </c>
      <c r="P145" s="702"/>
      <c r="Q145" s="681">
        <v>5551</v>
      </c>
    </row>
    <row r="146" spans="1:17" ht="14.4" customHeight="1" x14ac:dyDescent="0.3">
      <c r="A146" s="675" t="s">
        <v>484</v>
      </c>
      <c r="B146" s="676" t="s">
        <v>2492</v>
      </c>
      <c r="C146" s="676" t="s">
        <v>2244</v>
      </c>
      <c r="D146" s="676" t="s">
        <v>2511</v>
      </c>
      <c r="E146" s="676" t="s">
        <v>2512</v>
      </c>
      <c r="F146" s="680">
        <v>2</v>
      </c>
      <c r="G146" s="680">
        <v>2518</v>
      </c>
      <c r="H146" s="680"/>
      <c r="I146" s="680">
        <v>1259</v>
      </c>
      <c r="J146" s="680"/>
      <c r="K146" s="680"/>
      <c r="L146" s="680"/>
      <c r="M146" s="680"/>
      <c r="N146" s="680">
        <v>2</v>
      </c>
      <c r="O146" s="680">
        <v>2648</v>
      </c>
      <c r="P146" s="702"/>
      <c r="Q146" s="681">
        <v>1324</v>
      </c>
    </row>
    <row r="147" spans="1:17" ht="14.4" customHeight="1" x14ac:dyDescent="0.3">
      <c r="A147" s="675" t="s">
        <v>484</v>
      </c>
      <c r="B147" s="676" t="s">
        <v>2492</v>
      </c>
      <c r="C147" s="676" t="s">
        <v>2244</v>
      </c>
      <c r="D147" s="676" t="s">
        <v>2513</v>
      </c>
      <c r="E147" s="676" t="s">
        <v>2514</v>
      </c>
      <c r="F147" s="680">
        <v>2</v>
      </c>
      <c r="G147" s="680">
        <v>902</v>
      </c>
      <c r="H147" s="680"/>
      <c r="I147" s="680">
        <v>451</v>
      </c>
      <c r="J147" s="680"/>
      <c r="K147" s="680"/>
      <c r="L147" s="680"/>
      <c r="M147" s="680"/>
      <c r="N147" s="680">
        <v>2</v>
      </c>
      <c r="O147" s="680">
        <v>952</v>
      </c>
      <c r="P147" s="702"/>
      <c r="Q147" s="681">
        <v>476</v>
      </c>
    </row>
    <row r="148" spans="1:17" ht="14.4" customHeight="1" x14ac:dyDescent="0.3">
      <c r="A148" s="675" t="s">
        <v>484</v>
      </c>
      <c r="B148" s="676" t="s">
        <v>2492</v>
      </c>
      <c r="C148" s="676" t="s">
        <v>2244</v>
      </c>
      <c r="D148" s="676" t="s">
        <v>2515</v>
      </c>
      <c r="E148" s="676" t="s">
        <v>2516</v>
      </c>
      <c r="F148" s="680">
        <v>1</v>
      </c>
      <c r="G148" s="680">
        <v>3967</v>
      </c>
      <c r="H148" s="680"/>
      <c r="I148" s="680">
        <v>3967</v>
      </c>
      <c r="J148" s="680"/>
      <c r="K148" s="680"/>
      <c r="L148" s="680"/>
      <c r="M148" s="680"/>
      <c r="N148" s="680">
        <v>1</v>
      </c>
      <c r="O148" s="680">
        <v>4114</v>
      </c>
      <c r="P148" s="702"/>
      <c r="Q148" s="681">
        <v>4114</v>
      </c>
    </row>
    <row r="149" spans="1:17" ht="14.4" customHeight="1" x14ac:dyDescent="0.3">
      <c r="A149" s="675" t="s">
        <v>484</v>
      </c>
      <c r="B149" s="676" t="s">
        <v>2492</v>
      </c>
      <c r="C149" s="676" t="s">
        <v>2244</v>
      </c>
      <c r="D149" s="676" t="s">
        <v>2517</v>
      </c>
      <c r="E149" s="676" t="s">
        <v>2518</v>
      </c>
      <c r="F149" s="680">
        <v>2</v>
      </c>
      <c r="G149" s="680">
        <v>25080</v>
      </c>
      <c r="H149" s="680"/>
      <c r="I149" s="680">
        <v>12540</v>
      </c>
      <c r="J149" s="680"/>
      <c r="K149" s="680"/>
      <c r="L149" s="680"/>
      <c r="M149" s="680"/>
      <c r="N149" s="680"/>
      <c r="O149" s="680"/>
      <c r="P149" s="702"/>
      <c r="Q149" s="681"/>
    </row>
    <row r="150" spans="1:17" ht="14.4" customHeight="1" x14ac:dyDescent="0.3">
      <c r="A150" s="675" t="s">
        <v>484</v>
      </c>
      <c r="B150" s="676" t="s">
        <v>2492</v>
      </c>
      <c r="C150" s="676" t="s">
        <v>2244</v>
      </c>
      <c r="D150" s="676" t="s">
        <v>2519</v>
      </c>
      <c r="E150" s="676" t="s">
        <v>2520</v>
      </c>
      <c r="F150" s="680">
        <v>2</v>
      </c>
      <c r="G150" s="680">
        <v>8870</v>
      </c>
      <c r="H150" s="680"/>
      <c r="I150" s="680">
        <v>4435</v>
      </c>
      <c r="J150" s="680"/>
      <c r="K150" s="680"/>
      <c r="L150" s="680"/>
      <c r="M150" s="680"/>
      <c r="N150" s="680">
        <v>1</v>
      </c>
      <c r="O150" s="680">
        <v>4609</v>
      </c>
      <c r="P150" s="702"/>
      <c r="Q150" s="681">
        <v>4609</v>
      </c>
    </row>
    <row r="151" spans="1:17" ht="14.4" customHeight="1" x14ac:dyDescent="0.3">
      <c r="A151" s="675" t="s">
        <v>484</v>
      </c>
      <c r="B151" s="676" t="s">
        <v>2243</v>
      </c>
      <c r="C151" s="676" t="s">
        <v>2521</v>
      </c>
      <c r="D151" s="676" t="s">
        <v>2522</v>
      </c>
      <c r="E151" s="676" t="s">
        <v>1233</v>
      </c>
      <c r="F151" s="680">
        <v>0.2</v>
      </c>
      <c r="G151" s="680">
        <v>2258.7600000000002</v>
      </c>
      <c r="H151" s="680">
        <v>1</v>
      </c>
      <c r="I151" s="680">
        <v>11293.800000000001</v>
      </c>
      <c r="J151" s="680">
        <v>0.2</v>
      </c>
      <c r="K151" s="680">
        <v>2258.7600000000002</v>
      </c>
      <c r="L151" s="680">
        <v>1</v>
      </c>
      <c r="M151" s="680">
        <v>11293.800000000001</v>
      </c>
      <c r="N151" s="680">
        <v>1.7</v>
      </c>
      <c r="O151" s="680">
        <v>19199.48</v>
      </c>
      <c r="P151" s="702">
        <v>8.5000088544156966</v>
      </c>
      <c r="Q151" s="681">
        <v>11293.811764705883</v>
      </c>
    </row>
    <row r="152" spans="1:17" ht="14.4" customHeight="1" x14ac:dyDescent="0.3">
      <c r="A152" s="675" t="s">
        <v>484</v>
      </c>
      <c r="B152" s="676" t="s">
        <v>2243</v>
      </c>
      <c r="C152" s="676" t="s">
        <v>2521</v>
      </c>
      <c r="D152" s="676" t="s">
        <v>2523</v>
      </c>
      <c r="E152" s="676" t="s">
        <v>2524</v>
      </c>
      <c r="F152" s="680">
        <v>94.5</v>
      </c>
      <c r="G152" s="680">
        <v>9212.61</v>
      </c>
      <c r="H152" s="680">
        <v>5.4267798447237894</v>
      </c>
      <c r="I152" s="680">
        <v>97.48793650793651</v>
      </c>
      <c r="J152" s="680">
        <v>34</v>
      </c>
      <c r="K152" s="680">
        <v>1697.6200000000001</v>
      </c>
      <c r="L152" s="680">
        <v>1</v>
      </c>
      <c r="M152" s="680">
        <v>49.930000000000007</v>
      </c>
      <c r="N152" s="680"/>
      <c r="O152" s="680"/>
      <c r="P152" s="702"/>
      <c r="Q152" s="681"/>
    </row>
    <row r="153" spans="1:17" ht="14.4" customHeight="1" x14ac:dyDescent="0.3">
      <c r="A153" s="675" t="s">
        <v>484</v>
      </c>
      <c r="B153" s="676" t="s">
        <v>2243</v>
      </c>
      <c r="C153" s="676" t="s">
        <v>2521</v>
      </c>
      <c r="D153" s="676" t="s">
        <v>2525</v>
      </c>
      <c r="E153" s="676" t="s">
        <v>2526</v>
      </c>
      <c r="F153" s="680">
        <v>2</v>
      </c>
      <c r="G153" s="680">
        <v>1739.44</v>
      </c>
      <c r="H153" s="680">
        <v>2.0161108986172445</v>
      </c>
      <c r="I153" s="680">
        <v>869.72</v>
      </c>
      <c r="J153" s="680">
        <v>1</v>
      </c>
      <c r="K153" s="680">
        <v>862.77</v>
      </c>
      <c r="L153" s="680">
        <v>1</v>
      </c>
      <c r="M153" s="680">
        <v>862.77</v>
      </c>
      <c r="N153" s="680"/>
      <c r="O153" s="680"/>
      <c r="P153" s="702"/>
      <c r="Q153" s="681"/>
    </row>
    <row r="154" spans="1:17" ht="14.4" customHeight="1" x14ac:dyDescent="0.3">
      <c r="A154" s="675" t="s">
        <v>484</v>
      </c>
      <c r="B154" s="676" t="s">
        <v>2243</v>
      </c>
      <c r="C154" s="676" t="s">
        <v>2521</v>
      </c>
      <c r="D154" s="676" t="s">
        <v>2527</v>
      </c>
      <c r="E154" s="676" t="s">
        <v>1146</v>
      </c>
      <c r="F154" s="680">
        <v>23</v>
      </c>
      <c r="G154" s="680">
        <v>114726.07</v>
      </c>
      <c r="H154" s="680">
        <v>0.91999409797915932</v>
      </c>
      <c r="I154" s="680">
        <v>4988.09</v>
      </c>
      <c r="J154" s="680">
        <v>25</v>
      </c>
      <c r="K154" s="680">
        <v>124703.05</v>
      </c>
      <c r="L154" s="680">
        <v>1</v>
      </c>
      <c r="M154" s="680">
        <v>4988.1220000000003</v>
      </c>
      <c r="N154" s="680">
        <v>28</v>
      </c>
      <c r="O154" s="680">
        <v>139667.12</v>
      </c>
      <c r="P154" s="702">
        <v>1.1199976263611835</v>
      </c>
      <c r="Q154" s="681">
        <v>4988.1114285714284</v>
      </c>
    </row>
    <row r="155" spans="1:17" ht="14.4" customHeight="1" x14ac:dyDescent="0.3">
      <c r="A155" s="675" t="s">
        <v>484</v>
      </c>
      <c r="B155" s="676" t="s">
        <v>2243</v>
      </c>
      <c r="C155" s="676" t="s">
        <v>2521</v>
      </c>
      <c r="D155" s="676" t="s">
        <v>2528</v>
      </c>
      <c r="E155" s="676" t="s">
        <v>2529</v>
      </c>
      <c r="F155" s="680">
        <v>36</v>
      </c>
      <c r="G155" s="680">
        <v>4061.88</v>
      </c>
      <c r="H155" s="680"/>
      <c r="I155" s="680">
        <v>112.83</v>
      </c>
      <c r="J155" s="680"/>
      <c r="K155" s="680"/>
      <c r="L155" s="680"/>
      <c r="M155" s="680"/>
      <c r="N155" s="680"/>
      <c r="O155" s="680"/>
      <c r="P155" s="702"/>
      <c r="Q155" s="681"/>
    </row>
    <row r="156" spans="1:17" ht="14.4" customHeight="1" x14ac:dyDescent="0.3">
      <c r="A156" s="675" t="s">
        <v>484</v>
      </c>
      <c r="B156" s="676" t="s">
        <v>2243</v>
      </c>
      <c r="C156" s="676" t="s">
        <v>2521</v>
      </c>
      <c r="D156" s="676" t="s">
        <v>2530</v>
      </c>
      <c r="E156" s="676" t="s">
        <v>2529</v>
      </c>
      <c r="F156" s="680">
        <v>20.100000000000001</v>
      </c>
      <c r="G156" s="680">
        <v>1530.21</v>
      </c>
      <c r="H156" s="680"/>
      <c r="I156" s="680">
        <v>76.129850746268659</v>
      </c>
      <c r="J156" s="680"/>
      <c r="K156" s="680"/>
      <c r="L156" s="680"/>
      <c r="M156" s="680"/>
      <c r="N156" s="680"/>
      <c r="O156" s="680"/>
      <c r="P156" s="702"/>
      <c r="Q156" s="681"/>
    </row>
    <row r="157" spans="1:17" ht="14.4" customHeight="1" x14ac:dyDescent="0.3">
      <c r="A157" s="675" t="s">
        <v>484</v>
      </c>
      <c r="B157" s="676" t="s">
        <v>2243</v>
      </c>
      <c r="C157" s="676" t="s">
        <v>2521</v>
      </c>
      <c r="D157" s="676" t="s">
        <v>2531</v>
      </c>
      <c r="E157" s="676" t="s">
        <v>1474</v>
      </c>
      <c r="F157" s="680">
        <v>42.5</v>
      </c>
      <c r="G157" s="680">
        <v>26197.25</v>
      </c>
      <c r="H157" s="680"/>
      <c r="I157" s="680">
        <v>616.40588235294115</v>
      </c>
      <c r="J157" s="680"/>
      <c r="K157" s="680"/>
      <c r="L157" s="680"/>
      <c r="M157" s="680"/>
      <c r="N157" s="680"/>
      <c r="O157" s="680"/>
      <c r="P157" s="702"/>
      <c r="Q157" s="681"/>
    </row>
    <row r="158" spans="1:17" ht="14.4" customHeight="1" x14ac:dyDescent="0.3">
      <c r="A158" s="675" t="s">
        <v>484</v>
      </c>
      <c r="B158" s="676" t="s">
        <v>2243</v>
      </c>
      <c r="C158" s="676" t="s">
        <v>2521</v>
      </c>
      <c r="D158" s="676" t="s">
        <v>2532</v>
      </c>
      <c r="E158" s="676" t="s">
        <v>2533</v>
      </c>
      <c r="F158" s="680">
        <v>37</v>
      </c>
      <c r="G158" s="680">
        <v>2975.8599999999997</v>
      </c>
      <c r="H158" s="680">
        <v>1.761875159114995</v>
      </c>
      <c r="I158" s="680">
        <v>80.428648648648647</v>
      </c>
      <c r="J158" s="680">
        <v>21</v>
      </c>
      <c r="K158" s="680">
        <v>1689.0299999999997</v>
      </c>
      <c r="L158" s="680">
        <v>1</v>
      </c>
      <c r="M158" s="680">
        <v>80.429999999999993</v>
      </c>
      <c r="N158" s="680"/>
      <c r="O158" s="680"/>
      <c r="P158" s="702"/>
      <c r="Q158" s="681"/>
    </row>
    <row r="159" spans="1:17" ht="14.4" customHeight="1" x14ac:dyDescent="0.3">
      <c r="A159" s="675" t="s">
        <v>484</v>
      </c>
      <c r="B159" s="676" t="s">
        <v>2243</v>
      </c>
      <c r="C159" s="676" t="s">
        <v>2521</v>
      </c>
      <c r="D159" s="676" t="s">
        <v>2534</v>
      </c>
      <c r="E159" s="676" t="s">
        <v>635</v>
      </c>
      <c r="F159" s="680"/>
      <c r="G159" s="680"/>
      <c r="H159" s="680"/>
      <c r="I159" s="680"/>
      <c r="J159" s="680">
        <v>2</v>
      </c>
      <c r="K159" s="680">
        <v>1380.92</v>
      </c>
      <c r="L159" s="680">
        <v>1</v>
      </c>
      <c r="M159" s="680">
        <v>690.46</v>
      </c>
      <c r="N159" s="680">
        <v>2</v>
      </c>
      <c r="O159" s="680">
        <v>1380.92</v>
      </c>
      <c r="P159" s="702">
        <v>1</v>
      </c>
      <c r="Q159" s="681">
        <v>690.46</v>
      </c>
    </row>
    <row r="160" spans="1:17" ht="14.4" customHeight="1" x14ac:dyDescent="0.3">
      <c r="A160" s="675" t="s">
        <v>484</v>
      </c>
      <c r="B160" s="676" t="s">
        <v>2243</v>
      </c>
      <c r="C160" s="676" t="s">
        <v>2521</v>
      </c>
      <c r="D160" s="676" t="s">
        <v>2535</v>
      </c>
      <c r="E160" s="676" t="s">
        <v>1227</v>
      </c>
      <c r="F160" s="680">
        <v>245</v>
      </c>
      <c r="G160" s="680">
        <v>14308</v>
      </c>
      <c r="H160" s="680">
        <v>1.8014705882352939</v>
      </c>
      <c r="I160" s="680">
        <v>58.4</v>
      </c>
      <c r="J160" s="680">
        <v>136</v>
      </c>
      <c r="K160" s="680">
        <v>7942.4000000000005</v>
      </c>
      <c r="L160" s="680">
        <v>1</v>
      </c>
      <c r="M160" s="680">
        <v>58.400000000000006</v>
      </c>
      <c r="N160" s="680">
        <v>294</v>
      </c>
      <c r="O160" s="680">
        <v>17169.600000000002</v>
      </c>
      <c r="P160" s="702">
        <v>2.1617647058823533</v>
      </c>
      <c r="Q160" s="681">
        <v>58.400000000000006</v>
      </c>
    </row>
    <row r="161" spans="1:17" ht="14.4" customHeight="1" x14ac:dyDescent="0.3">
      <c r="A161" s="675" t="s">
        <v>484</v>
      </c>
      <c r="B161" s="676" t="s">
        <v>2243</v>
      </c>
      <c r="C161" s="676" t="s">
        <v>2521</v>
      </c>
      <c r="D161" s="676" t="s">
        <v>2536</v>
      </c>
      <c r="E161" s="676" t="s">
        <v>2537</v>
      </c>
      <c r="F161" s="680"/>
      <c r="G161" s="680"/>
      <c r="H161" s="680"/>
      <c r="I161" s="680"/>
      <c r="J161" s="680">
        <v>6</v>
      </c>
      <c r="K161" s="680">
        <v>635.76</v>
      </c>
      <c r="L161" s="680">
        <v>1</v>
      </c>
      <c r="M161" s="680">
        <v>105.96</v>
      </c>
      <c r="N161" s="680">
        <v>8</v>
      </c>
      <c r="O161" s="680">
        <v>847.68</v>
      </c>
      <c r="P161" s="702">
        <v>1.3333333333333333</v>
      </c>
      <c r="Q161" s="681">
        <v>105.96</v>
      </c>
    </row>
    <row r="162" spans="1:17" ht="14.4" customHeight="1" x14ac:dyDescent="0.3">
      <c r="A162" s="675" t="s">
        <v>484</v>
      </c>
      <c r="B162" s="676" t="s">
        <v>2243</v>
      </c>
      <c r="C162" s="676" t="s">
        <v>2521</v>
      </c>
      <c r="D162" s="676" t="s">
        <v>2538</v>
      </c>
      <c r="E162" s="676" t="s">
        <v>2539</v>
      </c>
      <c r="F162" s="680">
        <v>14.7</v>
      </c>
      <c r="G162" s="680">
        <v>10175.990000000002</v>
      </c>
      <c r="H162" s="680">
        <v>0.617648647647974</v>
      </c>
      <c r="I162" s="680">
        <v>692.24421768707498</v>
      </c>
      <c r="J162" s="680">
        <v>23.800000000000004</v>
      </c>
      <c r="K162" s="680">
        <v>16475.37</v>
      </c>
      <c r="L162" s="680">
        <v>1</v>
      </c>
      <c r="M162" s="680">
        <v>692.24243697478971</v>
      </c>
      <c r="N162" s="680">
        <v>17.7</v>
      </c>
      <c r="O162" s="680">
        <v>12252.72</v>
      </c>
      <c r="P162" s="702">
        <v>0.74369923103396163</v>
      </c>
      <c r="Q162" s="681">
        <v>692.24406779661012</v>
      </c>
    </row>
    <row r="163" spans="1:17" ht="14.4" customHeight="1" x14ac:dyDescent="0.3">
      <c r="A163" s="675" t="s">
        <v>484</v>
      </c>
      <c r="B163" s="676" t="s">
        <v>2243</v>
      </c>
      <c r="C163" s="676" t="s">
        <v>2521</v>
      </c>
      <c r="D163" s="676" t="s">
        <v>2540</v>
      </c>
      <c r="E163" s="676" t="s">
        <v>2541</v>
      </c>
      <c r="F163" s="680"/>
      <c r="G163" s="680"/>
      <c r="H163" s="680"/>
      <c r="I163" s="680"/>
      <c r="J163" s="680">
        <v>2</v>
      </c>
      <c r="K163" s="680">
        <v>24754.86</v>
      </c>
      <c r="L163" s="680">
        <v>1</v>
      </c>
      <c r="M163" s="680">
        <v>12377.43</v>
      </c>
      <c r="N163" s="680"/>
      <c r="O163" s="680"/>
      <c r="P163" s="702"/>
      <c r="Q163" s="681"/>
    </row>
    <row r="164" spans="1:17" ht="14.4" customHeight="1" x14ac:dyDescent="0.3">
      <c r="A164" s="675" t="s">
        <v>484</v>
      </c>
      <c r="B164" s="676" t="s">
        <v>2243</v>
      </c>
      <c r="C164" s="676" t="s">
        <v>2521</v>
      </c>
      <c r="D164" s="676" t="s">
        <v>2542</v>
      </c>
      <c r="E164" s="676" t="s">
        <v>1422</v>
      </c>
      <c r="F164" s="680">
        <v>15.2</v>
      </c>
      <c r="G164" s="680">
        <v>182603.68</v>
      </c>
      <c r="H164" s="680">
        <v>0.63865546218487401</v>
      </c>
      <c r="I164" s="680">
        <v>12013.4</v>
      </c>
      <c r="J164" s="680">
        <v>23.8</v>
      </c>
      <c r="K164" s="680">
        <v>285918.92</v>
      </c>
      <c r="L164" s="680">
        <v>1</v>
      </c>
      <c r="M164" s="680">
        <v>12013.4</v>
      </c>
      <c r="N164" s="680">
        <v>56.3</v>
      </c>
      <c r="O164" s="680">
        <v>676354.42</v>
      </c>
      <c r="P164" s="702">
        <v>2.3655462184873954</v>
      </c>
      <c r="Q164" s="681">
        <v>12013.400000000001</v>
      </c>
    </row>
    <row r="165" spans="1:17" ht="14.4" customHeight="1" x14ac:dyDescent="0.3">
      <c r="A165" s="675" t="s">
        <v>484</v>
      </c>
      <c r="B165" s="676" t="s">
        <v>2243</v>
      </c>
      <c r="C165" s="676" t="s">
        <v>2521</v>
      </c>
      <c r="D165" s="676" t="s">
        <v>2543</v>
      </c>
      <c r="E165" s="676" t="s">
        <v>2544</v>
      </c>
      <c r="F165" s="680">
        <v>111</v>
      </c>
      <c r="G165" s="680">
        <v>371864.43</v>
      </c>
      <c r="H165" s="680">
        <v>0.84732824427480913</v>
      </c>
      <c r="I165" s="680">
        <v>3350.13</v>
      </c>
      <c r="J165" s="680">
        <v>131</v>
      </c>
      <c r="K165" s="680">
        <v>438867.03</v>
      </c>
      <c r="L165" s="680">
        <v>1</v>
      </c>
      <c r="M165" s="680">
        <v>3350.13</v>
      </c>
      <c r="N165" s="680"/>
      <c r="O165" s="680"/>
      <c r="P165" s="702"/>
      <c r="Q165" s="681"/>
    </row>
    <row r="166" spans="1:17" ht="14.4" customHeight="1" x14ac:dyDescent="0.3">
      <c r="A166" s="675" t="s">
        <v>484</v>
      </c>
      <c r="B166" s="676" t="s">
        <v>2243</v>
      </c>
      <c r="C166" s="676" t="s">
        <v>2521</v>
      </c>
      <c r="D166" s="676" t="s">
        <v>2545</v>
      </c>
      <c r="E166" s="676" t="s">
        <v>2546</v>
      </c>
      <c r="F166" s="680"/>
      <c r="G166" s="680"/>
      <c r="H166" s="680"/>
      <c r="I166" s="680"/>
      <c r="J166" s="680">
        <v>2</v>
      </c>
      <c r="K166" s="680">
        <v>22841.74</v>
      </c>
      <c r="L166" s="680">
        <v>1</v>
      </c>
      <c r="M166" s="680">
        <v>11420.87</v>
      </c>
      <c r="N166" s="680"/>
      <c r="O166" s="680"/>
      <c r="P166" s="702"/>
      <c r="Q166" s="681"/>
    </row>
    <row r="167" spans="1:17" ht="14.4" customHeight="1" x14ac:dyDescent="0.3">
      <c r="A167" s="675" t="s">
        <v>484</v>
      </c>
      <c r="B167" s="676" t="s">
        <v>2243</v>
      </c>
      <c r="C167" s="676" t="s">
        <v>2521</v>
      </c>
      <c r="D167" s="676" t="s">
        <v>2547</v>
      </c>
      <c r="E167" s="676" t="s">
        <v>2548</v>
      </c>
      <c r="F167" s="680">
        <v>0.30000000000000004</v>
      </c>
      <c r="G167" s="680">
        <v>1483.1799999999998</v>
      </c>
      <c r="H167" s="680"/>
      <c r="I167" s="680">
        <v>4943.9333333333325</v>
      </c>
      <c r="J167" s="680"/>
      <c r="K167" s="680"/>
      <c r="L167" s="680"/>
      <c r="M167" s="680"/>
      <c r="N167" s="680">
        <v>0.7</v>
      </c>
      <c r="O167" s="680">
        <v>3460.76</v>
      </c>
      <c r="P167" s="702"/>
      <c r="Q167" s="681">
        <v>4943.942857142858</v>
      </c>
    </row>
    <row r="168" spans="1:17" ht="14.4" customHeight="1" x14ac:dyDescent="0.3">
      <c r="A168" s="675" t="s">
        <v>484</v>
      </c>
      <c r="B168" s="676" t="s">
        <v>2243</v>
      </c>
      <c r="C168" s="676" t="s">
        <v>2521</v>
      </c>
      <c r="D168" s="676" t="s">
        <v>2549</v>
      </c>
      <c r="E168" s="676" t="s">
        <v>2550</v>
      </c>
      <c r="F168" s="680">
        <v>108</v>
      </c>
      <c r="G168" s="680">
        <v>4169.88</v>
      </c>
      <c r="H168" s="680">
        <v>54</v>
      </c>
      <c r="I168" s="680">
        <v>38.61</v>
      </c>
      <c r="J168" s="680">
        <v>2</v>
      </c>
      <c r="K168" s="680">
        <v>77.22</v>
      </c>
      <c r="L168" s="680">
        <v>1</v>
      </c>
      <c r="M168" s="680">
        <v>38.61</v>
      </c>
      <c r="N168" s="680"/>
      <c r="O168" s="680"/>
      <c r="P168" s="702"/>
      <c r="Q168" s="681"/>
    </row>
    <row r="169" spans="1:17" ht="14.4" customHeight="1" x14ac:dyDescent="0.3">
      <c r="A169" s="675" t="s">
        <v>484</v>
      </c>
      <c r="B169" s="676" t="s">
        <v>2243</v>
      </c>
      <c r="C169" s="676" t="s">
        <v>2521</v>
      </c>
      <c r="D169" s="676" t="s">
        <v>2551</v>
      </c>
      <c r="E169" s="676" t="s">
        <v>2552</v>
      </c>
      <c r="F169" s="680">
        <v>15</v>
      </c>
      <c r="G169" s="680">
        <v>5799.01</v>
      </c>
      <c r="H169" s="680">
        <v>150.00025866528713</v>
      </c>
      <c r="I169" s="680">
        <v>386.60066666666665</v>
      </c>
      <c r="J169" s="680">
        <v>0.1</v>
      </c>
      <c r="K169" s="680">
        <v>38.659999999999997</v>
      </c>
      <c r="L169" s="680">
        <v>1</v>
      </c>
      <c r="M169" s="680">
        <v>386.59999999999997</v>
      </c>
      <c r="N169" s="680"/>
      <c r="O169" s="680"/>
      <c r="P169" s="702"/>
      <c r="Q169" s="681"/>
    </row>
    <row r="170" spans="1:17" ht="14.4" customHeight="1" x14ac:dyDescent="0.3">
      <c r="A170" s="675" t="s">
        <v>484</v>
      </c>
      <c r="B170" s="676" t="s">
        <v>2243</v>
      </c>
      <c r="C170" s="676" t="s">
        <v>2521</v>
      </c>
      <c r="D170" s="676" t="s">
        <v>2553</v>
      </c>
      <c r="E170" s="676" t="s">
        <v>1141</v>
      </c>
      <c r="F170" s="680">
        <v>16</v>
      </c>
      <c r="G170" s="680">
        <v>131762.4</v>
      </c>
      <c r="H170" s="680">
        <v>0.35778069225067</v>
      </c>
      <c r="I170" s="680">
        <v>8235.15</v>
      </c>
      <c r="J170" s="680">
        <v>43</v>
      </c>
      <c r="K170" s="680">
        <v>368277</v>
      </c>
      <c r="L170" s="680">
        <v>1</v>
      </c>
      <c r="M170" s="680">
        <v>8564.5813953488378</v>
      </c>
      <c r="N170" s="680">
        <v>42</v>
      </c>
      <c r="O170" s="680">
        <v>383610.56</v>
      </c>
      <c r="P170" s="702">
        <v>1.0416359425106645</v>
      </c>
      <c r="Q170" s="681">
        <v>9133.5847619047618</v>
      </c>
    </row>
    <row r="171" spans="1:17" ht="14.4" customHeight="1" x14ac:dyDescent="0.3">
      <c r="A171" s="675" t="s">
        <v>484</v>
      </c>
      <c r="B171" s="676" t="s">
        <v>2243</v>
      </c>
      <c r="C171" s="676" t="s">
        <v>2521</v>
      </c>
      <c r="D171" s="676" t="s">
        <v>2554</v>
      </c>
      <c r="E171" s="676" t="s">
        <v>1141</v>
      </c>
      <c r="F171" s="680">
        <v>1</v>
      </c>
      <c r="G171" s="680">
        <v>16469.2</v>
      </c>
      <c r="H171" s="680"/>
      <c r="I171" s="680">
        <v>16469.2</v>
      </c>
      <c r="J171" s="680"/>
      <c r="K171" s="680"/>
      <c r="L171" s="680"/>
      <c r="M171" s="680"/>
      <c r="N171" s="680"/>
      <c r="O171" s="680"/>
      <c r="P171" s="702"/>
      <c r="Q171" s="681"/>
    </row>
    <row r="172" spans="1:17" ht="14.4" customHeight="1" x14ac:dyDescent="0.3">
      <c r="A172" s="675" t="s">
        <v>484</v>
      </c>
      <c r="B172" s="676" t="s">
        <v>2243</v>
      </c>
      <c r="C172" s="676" t="s">
        <v>2521</v>
      </c>
      <c r="D172" s="676" t="s">
        <v>2555</v>
      </c>
      <c r="E172" s="676" t="s">
        <v>2556</v>
      </c>
      <c r="F172" s="680"/>
      <c r="G172" s="680"/>
      <c r="H172" s="680"/>
      <c r="I172" s="680"/>
      <c r="J172" s="680"/>
      <c r="K172" s="680"/>
      <c r="L172" s="680"/>
      <c r="M172" s="680"/>
      <c r="N172" s="680">
        <v>2.1</v>
      </c>
      <c r="O172" s="680">
        <v>1352.37</v>
      </c>
      <c r="P172" s="702"/>
      <c r="Q172" s="681">
        <v>643.98571428571415</v>
      </c>
    </row>
    <row r="173" spans="1:17" ht="14.4" customHeight="1" x14ac:dyDescent="0.3">
      <c r="A173" s="675" t="s">
        <v>484</v>
      </c>
      <c r="B173" s="676" t="s">
        <v>2243</v>
      </c>
      <c r="C173" s="676" t="s">
        <v>2521</v>
      </c>
      <c r="D173" s="676" t="s">
        <v>2557</v>
      </c>
      <c r="E173" s="676" t="s">
        <v>2558</v>
      </c>
      <c r="F173" s="680">
        <v>231.5</v>
      </c>
      <c r="G173" s="680">
        <v>10517.04</v>
      </c>
      <c r="H173" s="680">
        <v>122.63339552238806</v>
      </c>
      <c r="I173" s="680">
        <v>45.429978401727865</v>
      </c>
      <c r="J173" s="680">
        <v>2</v>
      </c>
      <c r="K173" s="680">
        <v>85.76</v>
      </c>
      <c r="L173" s="680">
        <v>1</v>
      </c>
      <c r="M173" s="680">
        <v>42.88</v>
      </c>
      <c r="N173" s="680"/>
      <c r="O173" s="680"/>
      <c r="P173" s="702"/>
      <c r="Q173" s="681"/>
    </row>
    <row r="174" spans="1:17" ht="14.4" customHeight="1" x14ac:dyDescent="0.3">
      <c r="A174" s="675" t="s">
        <v>484</v>
      </c>
      <c r="B174" s="676" t="s">
        <v>2243</v>
      </c>
      <c r="C174" s="676" t="s">
        <v>2521</v>
      </c>
      <c r="D174" s="676" t="s">
        <v>2559</v>
      </c>
      <c r="E174" s="676" t="s">
        <v>2560</v>
      </c>
      <c r="F174" s="680">
        <v>44</v>
      </c>
      <c r="G174" s="680">
        <v>3397.6800000000003</v>
      </c>
      <c r="H174" s="680">
        <v>3.666666666666667</v>
      </c>
      <c r="I174" s="680">
        <v>77.220000000000013</v>
      </c>
      <c r="J174" s="680">
        <v>12</v>
      </c>
      <c r="K174" s="680">
        <v>926.64</v>
      </c>
      <c r="L174" s="680">
        <v>1</v>
      </c>
      <c r="M174" s="680">
        <v>77.22</v>
      </c>
      <c r="N174" s="680">
        <v>3</v>
      </c>
      <c r="O174" s="680">
        <v>231.66</v>
      </c>
      <c r="P174" s="702">
        <v>0.25</v>
      </c>
      <c r="Q174" s="681">
        <v>77.22</v>
      </c>
    </row>
    <row r="175" spans="1:17" ht="14.4" customHeight="1" x14ac:dyDescent="0.3">
      <c r="A175" s="675" t="s">
        <v>484</v>
      </c>
      <c r="B175" s="676" t="s">
        <v>2243</v>
      </c>
      <c r="C175" s="676" t="s">
        <v>2521</v>
      </c>
      <c r="D175" s="676" t="s">
        <v>2561</v>
      </c>
      <c r="E175" s="676" t="s">
        <v>2562</v>
      </c>
      <c r="F175" s="680">
        <v>195.16</v>
      </c>
      <c r="G175" s="680">
        <v>70891.87000000001</v>
      </c>
      <c r="H175" s="680">
        <v>0.95429788870022114</v>
      </c>
      <c r="I175" s="680">
        <v>363.25000000000006</v>
      </c>
      <c r="J175" s="680">
        <v>273.40000000000003</v>
      </c>
      <c r="K175" s="680">
        <v>74286.94</v>
      </c>
      <c r="L175" s="680">
        <v>1</v>
      </c>
      <c r="M175" s="680">
        <v>271.7152158010241</v>
      </c>
      <c r="N175" s="680">
        <v>270.2</v>
      </c>
      <c r="O175" s="680">
        <v>73417.31</v>
      </c>
      <c r="P175" s="702">
        <v>0.9882936354627071</v>
      </c>
      <c r="Q175" s="681">
        <v>271.71469282013322</v>
      </c>
    </row>
    <row r="176" spans="1:17" ht="14.4" customHeight="1" x14ac:dyDescent="0.3">
      <c r="A176" s="675" t="s">
        <v>484</v>
      </c>
      <c r="B176" s="676" t="s">
        <v>2243</v>
      </c>
      <c r="C176" s="676" t="s">
        <v>2521</v>
      </c>
      <c r="D176" s="676" t="s">
        <v>2563</v>
      </c>
      <c r="E176" s="676" t="s">
        <v>2564</v>
      </c>
      <c r="F176" s="680"/>
      <c r="G176" s="680"/>
      <c r="H176" s="680"/>
      <c r="I176" s="680"/>
      <c r="J176" s="680">
        <v>1.8</v>
      </c>
      <c r="K176" s="680">
        <v>244.53</v>
      </c>
      <c r="L176" s="680">
        <v>1</v>
      </c>
      <c r="M176" s="680">
        <v>135.85</v>
      </c>
      <c r="N176" s="680"/>
      <c r="O176" s="680"/>
      <c r="P176" s="702"/>
      <c r="Q176" s="681"/>
    </row>
    <row r="177" spans="1:17" ht="14.4" customHeight="1" x14ac:dyDescent="0.3">
      <c r="A177" s="675" t="s">
        <v>484</v>
      </c>
      <c r="B177" s="676" t="s">
        <v>2243</v>
      </c>
      <c r="C177" s="676" t="s">
        <v>2521</v>
      </c>
      <c r="D177" s="676" t="s">
        <v>2565</v>
      </c>
      <c r="E177" s="676" t="s">
        <v>2566</v>
      </c>
      <c r="F177" s="680">
        <v>6</v>
      </c>
      <c r="G177" s="680">
        <v>35914.300000000003</v>
      </c>
      <c r="H177" s="680"/>
      <c r="I177" s="680">
        <v>5985.7166666666672</v>
      </c>
      <c r="J177" s="680"/>
      <c r="K177" s="680"/>
      <c r="L177" s="680"/>
      <c r="M177" s="680"/>
      <c r="N177" s="680"/>
      <c r="O177" s="680"/>
      <c r="P177" s="702"/>
      <c r="Q177" s="681"/>
    </row>
    <row r="178" spans="1:17" ht="14.4" customHeight="1" x14ac:dyDescent="0.3">
      <c r="A178" s="675" t="s">
        <v>484</v>
      </c>
      <c r="B178" s="676" t="s">
        <v>2243</v>
      </c>
      <c r="C178" s="676" t="s">
        <v>2521</v>
      </c>
      <c r="D178" s="676" t="s">
        <v>2567</v>
      </c>
      <c r="E178" s="676" t="s">
        <v>2568</v>
      </c>
      <c r="F178" s="680">
        <v>35</v>
      </c>
      <c r="G178" s="680">
        <v>1458.12</v>
      </c>
      <c r="H178" s="680"/>
      <c r="I178" s="680">
        <v>41.660571428571423</v>
      </c>
      <c r="J178" s="680"/>
      <c r="K178" s="680"/>
      <c r="L178" s="680"/>
      <c r="M178" s="680"/>
      <c r="N178" s="680"/>
      <c r="O178" s="680"/>
      <c r="P178" s="702"/>
      <c r="Q178" s="681"/>
    </row>
    <row r="179" spans="1:17" ht="14.4" customHeight="1" x14ac:dyDescent="0.3">
      <c r="A179" s="675" t="s">
        <v>484</v>
      </c>
      <c r="B179" s="676" t="s">
        <v>2243</v>
      </c>
      <c r="C179" s="676" t="s">
        <v>2521</v>
      </c>
      <c r="D179" s="676" t="s">
        <v>2569</v>
      </c>
      <c r="E179" s="676" t="s">
        <v>2570</v>
      </c>
      <c r="F179" s="680">
        <v>0.2</v>
      </c>
      <c r="G179" s="680">
        <v>885.4</v>
      </c>
      <c r="H179" s="680">
        <v>1</v>
      </c>
      <c r="I179" s="680">
        <v>4427</v>
      </c>
      <c r="J179" s="680">
        <v>0.2</v>
      </c>
      <c r="K179" s="680">
        <v>885.4</v>
      </c>
      <c r="L179" s="680">
        <v>1</v>
      </c>
      <c r="M179" s="680">
        <v>4427</v>
      </c>
      <c r="N179" s="680"/>
      <c r="O179" s="680"/>
      <c r="P179" s="702"/>
      <c r="Q179" s="681"/>
    </row>
    <row r="180" spans="1:17" ht="14.4" customHeight="1" x14ac:dyDescent="0.3">
      <c r="A180" s="675" t="s">
        <v>484</v>
      </c>
      <c r="B180" s="676" t="s">
        <v>2243</v>
      </c>
      <c r="C180" s="676" t="s">
        <v>2521</v>
      </c>
      <c r="D180" s="676" t="s">
        <v>2571</v>
      </c>
      <c r="E180" s="676" t="s">
        <v>2568</v>
      </c>
      <c r="F180" s="680">
        <v>1</v>
      </c>
      <c r="G180" s="680">
        <v>34.06</v>
      </c>
      <c r="H180" s="680"/>
      <c r="I180" s="680">
        <v>34.06</v>
      </c>
      <c r="J180" s="680"/>
      <c r="K180" s="680"/>
      <c r="L180" s="680"/>
      <c r="M180" s="680"/>
      <c r="N180" s="680"/>
      <c r="O180" s="680"/>
      <c r="P180" s="702"/>
      <c r="Q180" s="681"/>
    </row>
    <row r="181" spans="1:17" ht="14.4" customHeight="1" x14ac:dyDescent="0.3">
      <c r="A181" s="675" t="s">
        <v>484</v>
      </c>
      <c r="B181" s="676" t="s">
        <v>2243</v>
      </c>
      <c r="C181" s="676" t="s">
        <v>2521</v>
      </c>
      <c r="D181" s="676" t="s">
        <v>2572</v>
      </c>
      <c r="E181" s="676" t="s">
        <v>2573</v>
      </c>
      <c r="F181" s="680">
        <v>22.6</v>
      </c>
      <c r="G181" s="680">
        <v>84867.86</v>
      </c>
      <c r="H181" s="680"/>
      <c r="I181" s="680">
        <v>3755.2150442477873</v>
      </c>
      <c r="J181" s="680"/>
      <c r="K181" s="680"/>
      <c r="L181" s="680"/>
      <c r="M181" s="680"/>
      <c r="N181" s="680"/>
      <c r="O181" s="680"/>
      <c r="P181" s="702"/>
      <c r="Q181" s="681"/>
    </row>
    <row r="182" spans="1:17" ht="14.4" customHeight="1" x14ac:dyDescent="0.3">
      <c r="A182" s="675" t="s">
        <v>484</v>
      </c>
      <c r="B182" s="676" t="s">
        <v>2243</v>
      </c>
      <c r="C182" s="676" t="s">
        <v>2521</v>
      </c>
      <c r="D182" s="676" t="s">
        <v>2574</v>
      </c>
      <c r="E182" s="676" t="s">
        <v>2575</v>
      </c>
      <c r="F182" s="680">
        <v>64</v>
      </c>
      <c r="G182" s="680">
        <v>276154.23999999999</v>
      </c>
      <c r="H182" s="680">
        <v>64</v>
      </c>
      <c r="I182" s="680">
        <v>4314.91</v>
      </c>
      <c r="J182" s="680">
        <v>1</v>
      </c>
      <c r="K182" s="680">
        <v>4314.91</v>
      </c>
      <c r="L182" s="680">
        <v>1</v>
      </c>
      <c r="M182" s="680">
        <v>4314.91</v>
      </c>
      <c r="N182" s="680"/>
      <c r="O182" s="680"/>
      <c r="P182" s="702"/>
      <c r="Q182" s="681"/>
    </row>
    <row r="183" spans="1:17" ht="14.4" customHeight="1" x14ac:dyDescent="0.3">
      <c r="A183" s="675" t="s">
        <v>484</v>
      </c>
      <c r="B183" s="676" t="s">
        <v>2243</v>
      </c>
      <c r="C183" s="676" t="s">
        <v>2521</v>
      </c>
      <c r="D183" s="676" t="s">
        <v>2576</v>
      </c>
      <c r="E183" s="676" t="s">
        <v>2575</v>
      </c>
      <c r="F183" s="680"/>
      <c r="G183" s="680"/>
      <c r="H183" s="680"/>
      <c r="I183" s="680"/>
      <c r="J183" s="680">
        <v>2</v>
      </c>
      <c r="K183" s="680">
        <v>17259.66</v>
      </c>
      <c r="L183" s="680">
        <v>1</v>
      </c>
      <c r="M183" s="680">
        <v>8629.83</v>
      </c>
      <c r="N183" s="680"/>
      <c r="O183" s="680"/>
      <c r="P183" s="702"/>
      <c r="Q183" s="681"/>
    </row>
    <row r="184" spans="1:17" ht="14.4" customHeight="1" x14ac:dyDescent="0.3">
      <c r="A184" s="675" t="s">
        <v>484</v>
      </c>
      <c r="B184" s="676" t="s">
        <v>2243</v>
      </c>
      <c r="C184" s="676" t="s">
        <v>2521</v>
      </c>
      <c r="D184" s="676" t="s">
        <v>2577</v>
      </c>
      <c r="E184" s="676" t="s">
        <v>2578</v>
      </c>
      <c r="F184" s="680">
        <v>8</v>
      </c>
      <c r="G184" s="680">
        <v>34519.279999999999</v>
      </c>
      <c r="H184" s="680"/>
      <c r="I184" s="680">
        <v>4314.91</v>
      </c>
      <c r="J184" s="680"/>
      <c r="K184" s="680"/>
      <c r="L184" s="680"/>
      <c r="M184" s="680"/>
      <c r="N184" s="680"/>
      <c r="O184" s="680"/>
      <c r="P184" s="702"/>
      <c r="Q184" s="681"/>
    </row>
    <row r="185" spans="1:17" ht="14.4" customHeight="1" x14ac:dyDescent="0.3">
      <c r="A185" s="675" t="s">
        <v>484</v>
      </c>
      <c r="B185" s="676" t="s">
        <v>2243</v>
      </c>
      <c r="C185" s="676" t="s">
        <v>2521</v>
      </c>
      <c r="D185" s="676" t="s">
        <v>2579</v>
      </c>
      <c r="E185" s="676" t="s">
        <v>2580</v>
      </c>
      <c r="F185" s="680"/>
      <c r="G185" s="680"/>
      <c r="H185" s="680"/>
      <c r="I185" s="680"/>
      <c r="J185" s="680">
        <v>1</v>
      </c>
      <c r="K185" s="680">
        <v>386.6</v>
      </c>
      <c r="L185" s="680">
        <v>1</v>
      </c>
      <c r="M185" s="680">
        <v>386.6</v>
      </c>
      <c r="N185" s="680"/>
      <c r="O185" s="680"/>
      <c r="P185" s="702"/>
      <c r="Q185" s="681"/>
    </row>
    <row r="186" spans="1:17" ht="14.4" customHeight="1" x14ac:dyDescent="0.3">
      <c r="A186" s="675" t="s">
        <v>484</v>
      </c>
      <c r="B186" s="676" t="s">
        <v>2243</v>
      </c>
      <c r="C186" s="676" t="s">
        <v>2521</v>
      </c>
      <c r="D186" s="676" t="s">
        <v>2581</v>
      </c>
      <c r="E186" s="676" t="s">
        <v>939</v>
      </c>
      <c r="F186" s="680"/>
      <c r="G186" s="680"/>
      <c r="H186" s="680"/>
      <c r="I186" s="680"/>
      <c r="J186" s="680">
        <v>0.3</v>
      </c>
      <c r="K186" s="680">
        <v>375.48</v>
      </c>
      <c r="L186" s="680">
        <v>1</v>
      </c>
      <c r="M186" s="680">
        <v>1251.6000000000001</v>
      </c>
      <c r="N186" s="680">
        <v>0.3</v>
      </c>
      <c r="O186" s="680">
        <v>368.31</v>
      </c>
      <c r="P186" s="702">
        <v>0.98090444231383822</v>
      </c>
      <c r="Q186" s="681">
        <v>1227.7</v>
      </c>
    </row>
    <row r="187" spans="1:17" ht="14.4" customHeight="1" x14ac:dyDescent="0.3">
      <c r="A187" s="675" t="s">
        <v>484</v>
      </c>
      <c r="B187" s="676" t="s">
        <v>2243</v>
      </c>
      <c r="C187" s="676" t="s">
        <v>2521</v>
      </c>
      <c r="D187" s="676" t="s">
        <v>2582</v>
      </c>
      <c r="E187" s="676" t="s">
        <v>2583</v>
      </c>
      <c r="F187" s="680">
        <v>25</v>
      </c>
      <c r="G187" s="680">
        <v>2740</v>
      </c>
      <c r="H187" s="680"/>
      <c r="I187" s="680">
        <v>109.6</v>
      </c>
      <c r="J187" s="680"/>
      <c r="K187" s="680"/>
      <c r="L187" s="680"/>
      <c r="M187" s="680"/>
      <c r="N187" s="680"/>
      <c r="O187" s="680"/>
      <c r="P187" s="702"/>
      <c r="Q187" s="681"/>
    </row>
    <row r="188" spans="1:17" ht="14.4" customHeight="1" x14ac:dyDescent="0.3">
      <c r="A188" s="675" t="s">
        <v>484</v>
      </c>
      <c r="B188" s="676" t="s">
        <v>2243</v>
      </c>
      <c r="C188" s="676" t="s">
        <v>2521</v>
      </c>
      <c r="D188" s="676" t="s">
        <v>2584</v>
      </c>
      <c r="E188" s="676" t="s">
        <v>2583</v>
      </c>
      <c r="F188" s="680">
        <v>54</v>
      </c>
      <c r="G188" s="680">
        <v>11836.8</v>
      </c>
      <c r="H188" s="680"/>
      <c r="I188" s="680">
        <v>219.2</v>
      </c>
      <c r="J188" s="680"/>
      <c r="K188" s="680"/>
      <c r="L188" s="680"/>
      <c r="M188" s="680"/>
      <c r="N188" s="680"/>
      <c r="O188" s="680"/>
      <c r="P188" s="702"/>
      <c r="Q188" s="681"/>
    </row>
    <row r="189" spans="1:17" ht="14.4" customHeight="1" x14ac:dyDescent="0.3">
      <c r="A189" s="675" t="s">
        <v>484</v>
      </c>
      <c r="B189" s="676" t="s">
        <v>2243</v>
      </c>
      <c r="C189" s="676" t="s">
        <v>2521</v>
      </c>
      <c r="D189" s="676" t="s">
        <v>2585</v>
      </c>
      <c r="E189" s="676" t="s">
        <v>2586</v>
      </c>
      <c r="F189" s="680">
        <v>4.5000000000000009</v>
      </c>
      <c r="G189" s="680">
        <v>933.90000000000009</v>
      </c>
      <c r="H189" s="680"/>
      <c r="I189" s="680">
        <v>207.5333333333333</v>
      </c>
      <c r="J189" s="680"/>
      <c r="K189" s="680"/>
      <c r="L189" s="680"/>
      <c r="M189" s="680"/>
      <c r="N189" s="680">
        <v>2.7</v>
      </c>
      <c r="O189" s="680">
        <v>1158.8399999999999</v>
      </c>
      <c r="P189" s="702"/>
      <c r="Q189" s="681">
        <v>429.19999999999993</v>
      </c>
    </row>
    <row r="190" spans="1:17" ht="14.4" customHeight="1" x14ac:dyDescent="0.3">
      <c r="A190" s="675" t="s">
        <v>484</v>
      </c>
      <c r="B190" s="676" t="s">
        <v>2243</v>
      </c>
      <c r="C190" s="676" t="s">
        <v>2521</v>
      </c>
      <c r="D190" s="676" t="s">
        <v>2587</v>
      </c>
      <c r="E190" s="676" t="s">
        <v>1437</v>
      </c>
      <c r="F190" s="680">
        <v>77</v>
      </c>
      <c r="G190" s="680">
        <v>5062.75</v>
      </c>
      <c r="H190" s="680">
        <v>0.88505747126436785</v>
      </c>
      <c r="I190" s="680">
        <v>65.75</v>
      </c>
      <c r="J190" s="680">
        <v>87</v>
      </c>
      <c r="K190" s="680">
        <v>5720.25</v>
      </c>
      <c r="L190" s="680">
        <v>1</v>
      </c>
      <c r="M190" s="680">
        <v>65.75</v>
      </c>
      <c r="N190" s="680">
        <v>33</v>
      </c>
      <c r="O190" s="680">
        <v>2090.79</v>
      </c>
      <c r="P190" s="702">
        <v>0.36550675232725843</v>
      </c>
      <c r="Q190" s="681">
        <v>63.357272727272729</v>
      </c>
    </row>
    <row r="191" spans="1:17" ht="14.4" customHeight="1" x14ac:dyDescent="0.3">
      <c r="A191" s="675" t="s">
        <v>484</v>
      </c>
      <c r="B191" s="676" t="s">
        <v>2243</v>
      </c>
      <c r="C191" s="676" t="s">
        <v>2521</v>
      </c>
      <c r="D191" s="676" t="s">
        <v>2588</v>
      </c>
      <c r="E191" s="676" t="s">
        <v>1206</v>
      </c>
      <c r="F191" s="680">
        <v>5.3</v>
      </c>
      <c r="G191" s="680">
        <v>491.55</v>
      </c>
      <c r="H191" s="680">
        <v>0.4655182210773543</v>
      </c>
      <c r="I191" s="680">
        <v>92.745283018867923</v>
      </c>
      <c r="J191" s="680">
        <v>13.4</v>
      </c>
      <c r="K191" s="680">
        <v>1055.92</v>
      </c>
      <c r="L191" s="680">
        <v>1</v>
      </c>
      <c r="M191" s="680">
        <v>78.8</v>
      </c>
      <c r="N191" s="680">
        <v>2.2000000000000002</v>
      </c>
      <c r="O191" s="680">
        <v>173.36</v>
      </c>
      <c r="P191" s="702">
        <v>0.16417910447761194</v>
      </c>
      <c r="Q191" s="681">
        <v>78.8</v>
      </c>
    </row>
    <row r="192" spans="1:17" ht="14.4" customHeight="1" x14ac:dyDescent="0.3">
      <c r="A192" s="675" t="s">
        <v>484</v>
      </c>
      <c r="B192" s="676" t="s">
        <v>2243</v>
      </c>
      <c r="C192" s="676" t="s">
        <v>2521</v>
      </c>
      <c r="D192" s="676" t="s">
        <v>2589</v>
      </c>
      <c r="E192" s="676" t="s">
        <v>1477</v>
      </c>
      <c r="F192" s="680">
        <v>8.8000000000000007</v>
      </c>
      <c r="G192" s="680">
        <v>617.17000000000007</v>
      </c>
      <c r="H192" s="680">
        <v>1.3833115919615202E-2</v>
      </c>
      <c r="I192" s="680">
        <v>70.132954545454552</v>
      </c>
      <c r="J192" s="680">
        <v>636</v>
      </c>
      <c r="K192" s="680">
        <v>44615.4</v>
      </c>
      <c r="L192" s="680">
        <v>1</v>
      </c>
      <c r="M192" s="680">
        <v>70.150000000000006</v>
      </c>
      <c r="N192" s="680">
        <v>1036</v>
      </c>
      <c r="O192" s="680">
        <v>54253.240000000005</v>
      </c>
      <c r="P192" s="702">
        <v>1.2160204772343182</v>
      </c>
      <c r="Q192" s="681">
        <v>52.367992277992286</v>
      </c>
    </row>
    <row r="193" spans="1:17" ht="14.4" customHeight="1" x14ac:dyDescent="0.3">
      <c r="A193" s="675" t="s">
        <v>484</v>
      </c>
      <c r="B193" s="676" t="s">
        <v>2243</v>
      </c>
      <c r="C193" s="676" t="s">
        <v>2521</v>
      </c>
      <c r="D193" s="676" t="s">
        <v>2590</v>
      </c>
      <c r="E193" s="676" t="s">
        <v>1144</v>
      </c>
      <c r="F193" s="680">
        <v>1</v>
      </c>
      <c r="G193" s="680">
        <v>1287.3599999999999</v>
      </c>
      <c r="H193" s="680">
        <v>0.33333333333333331</v>
      </c>
      <c r="I193" s="680">
        <v>1287.3599999999999</v>
      </c>
      <c r="J193" s="680">
        <v>3</v>
      </c>
      <c r="K193" s="680">
        <v>3862.08</v>
      </c>
      <c r="L193" s="680">
        <v>1</v>
      </c>
      <c r="M193" s="680">
        <v>1287.3599999999999</v>
      </c>
      <c r="N193" s="680">
        <v>3</v>
      </c>
      <c r="O193" s="680">
        <v>3862.08</v>
      </c>
      <c r="P193" s="702">
        <v>1</v>
      </c>
      <c r="Q193" s="681">
        <v>1287.3599999999999</v>
      </c>
    </row>
    <row r="194" spans="1:17" ht="14.4" customHeight="1" x14ac:dyDescent="0.3">
      <c r="A194" s="675" t="s">
        <v>484</v>
      </c>
      <c r="B194" s="676" t="s">
        <v>2243</v>
      </c>
      <c r="C194" s="676" t="s">
        <v>2521</v>
      </c>
      <c r="D194" s="676" t="s">
        <v>2591</v>
      </c>
      <c r="E194" s="676" t="s">
        <v>1143</v>
      </c>
      <c r="F194" s="680"/>
      <c r="G194" s="680"/>
      <c r="H194" s="680"/>
      <c r="I194" s="680"/>
      <c r="J194" s="680"/>
      <c r="K194" s="680"/>
      <c r="L194" s="680"/>
      <c r="M194" s="680"/>
      <c r="N194" s="680">
        <v>7</v>
      </c>
      <c r="O194" s="680">
        <v>9011.52</v>
      </c>
      <c r="P194" s="702"/>
      <c r="Q194" s="681">
        <v>1287.3600000000001</v>
      </c>
    </row>
    <row r="195" spans="1:17" ht="14.4" customHeight="1" x14ac:dyDescent="0.3">
      <c r="A195" s="675" t="s">
        <v>484</v>
      </c>
      <c r="B195" s="676" t="s">
        <v>2243</v>
      </c>
      <c r="C195" s="676" t="s">
        <v>2521</v>
      </c>
      <c r="D195" s="676" t="s">
        <v>2592</v>
      </c>
      <c r="E195" s="676" t="s">
        <v>2593</v>
      </c>
      <c r="F195" s="680">
        <v>6.15</v>
      </c>
      <c r="G195" s="680">
        <v>4705.9800000000005</v>
      </c>
      <c r="H195" s="680">
        <v>0.58543521558314249</v>
      </c>
      <c r="I195" s="680">
        <v>765.2</v>
      </c>
      <c r="J195" s="680">
        <v>10.530000000000001</v>
      </c>
      <c r="K195" s="680">
        <v>8038.43</v>
      </c>
      <c r="L195" s="680">
        <v>1</v>
      </c>
      <c r="M195" s="680">
        <v>763.38366571699896</v>
      </c>
      <c r="N195" s="680">
        <v>8.4</v>
      </c>
      <c r="O195" s="680">
        <v>6427.6800000000012</v>
      </c>
      <c r="P195" s="702">
        <v>0.79961883104038989</v>
      </c>
      <c r="Q195" s="681">
        <v>765.20000000000016</v>
      </c>
    </row>
    <row r="196" spans="1:17" ht="14.4" customHeight="1" x14ac:dyDescent="0.3">
      <c r="A196" s="675" t="s">
        <v>484</v>
      </c>
      <c r="B196" s="676" t="s">
        <v>2243</v>
      </c>
      <c r="C196" s="676" t="s">
        <v>2521</v>
      </c>
      <c r="D196" s="676" t="s">
        <v>2594</v>
      </c>
      <c r="E196" s="676" t="s">
        <v>2593</v>
      </c>
      <c r="F196" s="680"/>
      <c r="G196" s="680"/>
      <c r="H196" s="680"/>
      <c r="I196" s="680"/>
      <c r="J196" s="680"/>
      <c r="K196" s="680"/>
      <c r="L196" s="680"/>
      <c r="M196" s="680"/>
      <c r="N196" s="680">
        <v>2.6500000000000004</v>
      </c>
      <c r="O196" s="680">
        <v>998.27999999999986</v>
      </c>
      <c r="P196" s="702"/>
      <c r="Q196" s="681">
        <v>376.70943396226403</v>
      </c>
    </row>
    <row r="197" spans="1:17" ht="14.4" customHeight="1" x14ac:dyDescent="0.3">
      <c r="A197" s="675" t="s">
        <v>484</v>
      </c>
      <c r="B197" s="676" t="s">
        <v>2243</v>
      </c>
      <c r="C197" s="676" t="s">
        <v>2521</v>
      </c>
      <c r="D197" s="676" t="s">
        <v>2595</v>
      </c>
      <c r="E197" s="676" t="s">
        <v>2596</v>
      </c>
      <c r="F197" s="680"/>
      <c r="G197" s="680"/>
      <c r="H197" s="680"/>
      <c r="I197" s="680"/>
      <c r="J197" s="680"/>
      <c r="K197" s="680"/>
      <c r="L197" s="680"/>
      <c r="M197" s="680"/>
      <c r="N197" s="680">
        <v>1.3</v>
      </c>
      <c r="O197" s="680">
        <v>1184.21</v>
      </c>
      <c r="P197" s="702"/>
      <c r="Q197" s="681">
        <v>910.93076923076922</v>
      </c>
    </row>
    <row r="198" spans="1:17" ht="14.4" customHeight="1" x14ac:dyDescent="0.3">
      <c r="A198" s="675" t="s">
        <v>484</v>
      </c>
      <c r="B198" s="676" t="s">
        <v>2243</v>
      </c>
      <c r="C198" s="676" t="s">
        <v>2521</v>
      </c>
      <c r="D198" s="676" t="s">
        <v>2597</v>
      </c>
      <c r="E198" s="676" t="s">
        <v>2598</v>
      </c>
      <c r="F198" s="680">
        <v>1.5</v>
      </c>
      <c r="G198" s="680">
        <v>899.7</v>
      </c>
      <c r="H198" s="680"/>
      <c r="I198" s="680">
        <v>599.80000000000007</v>
      </c>
      <c r="J198" s="680"/>
      <c r="K198" s="680"/>
      <c r="L198" s="680"/>
      <c r="M198" s="680"/>
      <c r="N198" s="680">
        <v>1</v>
      </c>
      <c r="O198" s="680">
        <v>599.79999999999995</v>
      </c>
      <c r="P198" s="702"/>
      <c r="Q198" s="681">
        <v>599.79999999999995</v>
      </c>
    </row>
    <row r="199" spans="1:17" ht="14.4" customHeight="1" x14ac:dyDescent="0.3">
      <c r="A199" s="675" t="s">
        <v>484</v>
      </c>
      <c r="B199" s="676" t="s">
        <v>2243</v>
      </c>
      <c r="C199" s="676" t="s">
        <v>2521</v>
      </c>
      <c r="D199" s="676" t="s">
        <v>2599</v>
      </c>
      <c r="E199" s="676" t="s">
        <v>2598</v>
      </c>
      <c r="F199" s="680">
        <v>5.7</v>
      </c>
      <c r="G199" s="680">
        <v>4558.59</v>
      </c>
      <c r="H199" s="680">
        <v>1.7812489010280517</v>
      </c>
      <c r="I199" s="680">
        <v>799.75263157894733</v>
      </c>
      <c r="J199" s="680">
        <v>3.2</v>
      </c>
      <c r="K199" s="680">
        <v>2559.21</v>
      </c>
      <c r="L199" s="680">
        <v>1</v>
      </c>
      <c r="M199" s="680">
        <v>799.75312499999995</v>
      </c>
      <c r="N199" s="680">
        <v>3.1000000000000005</v>
      </c>
      <c r="O199" s="680">
        <v>2479.1899999999996</v>
      </c>
      <c r="P199" s="702">
        <v>0.96873253855682007</v>
      </c>
      <c r="Q199" s="681">
        <v>799.73870967741914</v>
      </c>
    </row>
    <row r="200" spans="1:17" ht="14.4" customHeight="1" x14ac:dyDescent="0.3">
      <c r="A200" s="675" t="s">
        <v>484</v>
      </c>
      <c r="B200" s="676" t="s">
        <v>2243</v>
      </c>
      <c r="C200" s="676" t="s">
        <v>2521</v>
      </c>
      <c r="D200" s="676" t="s">
        <v>2600</v>
      </c>
      <c r="E200" s="676" t="s">
        <v>2601</v>
      </c>
      <c r="F200" s="680">
        <v>4</v>
      </c>
      <c r="G200" s="680">
        <v>13528.44</v>
      </c>
      <c r="H200" s="680"/>
      <c r="I200" s="680">
        <v>3382.11</v>
      </c>
      <c r="J200" s="680"/>
      <c r="K200" s="680"/>
      <c r="L200" s="680"/>
      <c r="M200" s="680"/>
      <c r="N200" s="680"/>
      <c r="O200" s="680"/>
      <c r="P200" s="702"/>
      <c r="Q200" s="681"/>
    </row>
    <row r="201" spans="1:17" ht="14.4" customHeight="1" x14ac:dyDescent="0.3">
      <c r="A201" s="675" t="s">
        <v>484</v>
      </c>
      <c r="B201" s="676" t="s">
        <v>2243</v>
      </c>
      <c r="C201" s="676" t="s">
        <v>2521</v>
      </c>
      <c r="D201" s="676" t="s">
        <v>2602</v>
      </c>
      <c r="E201" s="676" t="s">
        <v>1136</v>
      </c>
      <c r="F201" s="680">
        <v>21</v>
      </c>
      <c r="G201" s="680">
        <v>27034.560000000001</v>
      </c>
      <c r="H201" s="680">
        <v>0.58333333333333326</v>
      </c>
      <c r="I201" s="680">
        <v>1287.3600000000001</v>
      </c>
      <c r="J201" s="680">
        <v>36</v>
      </c>
      <c r="K201" s="680">
        <v>46344.960000000006</v>
      </c>
      <c r="L201" s="680">
        <v>1</v>
      </c>
      <c r="M201" s="680">
        <v>1287.3600000000001</v>
      </c>
      <c r="N201" s="680">
        <v>98.2</v>
      </c>
      <c r="O201" s="680">
        <v>126418.75</v>
      </c>
      <c r="P201" s="702">
        <v>2.7277777346231389</v>
      </c>
      <c r="Q201" s="681">
        <v>1287.3599796334013</v>
      </c>
    </row>
    <row r="202" spans="1:17" ht="14.4" customHeight="1" x14ac:dyDescent="0.3">
      <c r="A202" s="675" t="s">
        <v>484</v>
      </c>
      <c r="B202" s="676" t="s">
        <v>2243</v>
      </c>
      <c r="C202" s="676" t="s">
        <v>2521</v>
      </c>
      <c r="D202" s="676" t="s">
        <v>2603</v>
      </c>
      <c r="E202" s="676" t="s">
        <v>1223</v>
      </c>
      <c r="F202" s="680">
        <v>41.2</v>
      </c>
      <c r="G202" s="680">
        <v>85068.42</v>
      </c>
      <c r="H202" s="680">
        <v>21.720631791813055</v>
      </c>
      <c r="I202" s="680">
        <v>2064.7674757281552</v>
      </c>
      <c r="J202" s="680">
        <v>2.4</v>
      </c>
      <c r="K202" s="680">
        <v>3916.48</v>
      </c>
      <c r="L202" s="680">
        <v>1</v>
      </c>
      <c r="M202" s="680">
        <v>1631.8666666666668</v>
      </c>
      <c r="N202" s="680">
        <v>4.4000000000000004</v>
      </c>
      <c r="O202" s="680">
        <v>7180.2</v>
      </c>
      <c r="P202" s="702">
        <v>1.833329928915761</v>
      </c>
      <c r="Q202" s="681">
        <v>1631.8636363636363</v>
      </c>
    </row>
    <row r="203" spans="1:17" ht="14.4" customHeight="1" x14ac:dyDescent="0.3">
      <c r="A203" s="675" t="s">
        <v>484</v>
      </c>
      <c r="B203" s="676" t="s">
        <v>2243</v>
      </c>
      <c r="C203" s="676" t="s">
        <v>2521</v>
      </c>
      <c r="D203" s="676" t="s">
        <v>2604</v>
      </c>
      <c r="E203" s="676" t="s">
        <v>2605</v>
      </c>
      <c r="F203" s="680">
        <v>1.8</v>
      </c>
      <c r="G203" s="680">
        <v>705.24</v>
      </c>
      <c r="H203" s="680">
        <v>0.4285714285714286</v>
      </c>
      <c r="I203" s="680">
        <v>391.8</v>
      </c>
      <c r="J203" s="680">
        <v>4.2</v>
      </c>
      <c r="K203" s="680">
        <v>1645.56</v>
      </c>
      <c r="L203" s="680">
        <v>1</v>
      </c>
      <c r="M203" s="680">
        <v>391.79999999999995</v>
      </c>
      <c r="N203" s="680">
        <v>3.3</v>
      </c>
      <c r="O203" s="680">
        <v>1292.94</v>
      </c>
      <c r="P203" s="702">
        <v>0.78571428571428581</v>
      </c>
      <c r="Q203" s="681">
        <v>391.8</v>
      </c>
    </row>
    <row r="204" spans="1:17" ht="14.4" customHeight="1" x14ac:dyDescent="0.3">
      <c r="A204" s="675" t="s">
        <v>484</v>
      </c>
      <c r="B204" s="676" t="s">
        <v>2243</v>
      </c>
      <c r="C204" s="676" t="s">
        <v>2521</v>
      </c>
      <c r="D204" s="676" t="s">
        <v>2606</v>
      </c>
      <c r="E204" s="676" t="s">
        <v>755</v>
      </c>
      <c r="F204" s="680"/>
      <c r="G204" s="680"/>
      <c r="H204" s="680"/>
      <c r="I204" s="680"/>
      <c r="J204" s="680">
        <v>0.9</v>
      </c>
      <c r="K204" s="680">
        <v>689.04</v>
      </c>
      <c r="L204" s="680">
        <v>1</v>
      </c>
      <c r="M204" s="680">
        <v>765.59999999999991</v>
      </c>
      <c r="N204" s="680">
        <v>0.9</v>
      </c>
      <c r="O204" s="680">
        <v>680.85</v>
      </c>
      <c r="P204" s="702">
        <v>0.98811389759665635</v>
      </c>
      <c r="Q204" s="681">
        <v>756.5</v>
      </c>
    </row>
    <row r="205" spans="1:17" ht="14.4" customHeight="1" x14ac:dyDescent="0.3">
      <c r="A205" s="675" t="s">
        <v>484</v>
      </c>
      <c r="B205" s="676" t="s">
        <v>2243</v>
      </c>
      <c r="C205" s="676" t="s">
        <v>2521</v>
      </c>
      <c r="D205" s="676" t="s">
        <v>2607</v>
      </c>
      <c r="E205" s="676" t="s">
        <v>2608</v>
      </c>
      <c r="F205" s="680">
        <v>1.9</v>
      </c>
      <c r="G205" s="680">
        <v>733.48</v>
      </c>
      <c r="H205" s="680">
        <v>2.7141799881586737</v>
      </c>
      <c r="I205" s="680">
        <v>386.04210526315791</v>
      </c>
      <c r="J205" s="680">
        <v>0.7</v>
      </c>
      <c r="K205" s="680">
        <v>270.24</v>
      </c>
      <c r="L205" s="680">
        <v>1</v>
      </c>
      <c r="M205" s="680">
        <v>386.05714285714288</v>
      </c>
      <c r="N205" s="680">
        <v>1</v>
      </c>
      <c r="O205" s="680">
        <v>386.05</v>
      </c>
      <c r="P205" s="702">
        <v>1.4285449970396684</v>
      </c>
      <c r="Q205" s="681">
        <v>386.05</v>
      </c>
    </row>
    <row r="206" spans="1:17" ht="14.4" customHeight="1" x14ac:dyDescent="0.3">
      <c r="A206" s="675" t="s">
        <v>484</v>
      </c>
      <c r="B206" s="676" t="s">
        <v>2243</v>
      </c>
      <c r="C206" s="676" t="s">
        <v>2521</v>
      </c>
      <c r="D206" s="676" t="s">
        <v>2609</v>
      </c>
      <c r="E206" s="676" t="s">
        <v>1187</v>
      </c>
      <c r="F206" s="680">
        <v>7.6000000000000005</v>
      </c>
      <c r="G206" s="680">
        <v>5868.23</v>
      </c>
      <c r="H206" s="680">
        <v>0.59374968381134308</v>
      </c>
      <c r="I206" s="680">
        <v>772.13552631578932</v>
      </c>
      <c r="J206" s="680">
        <v>12.8</v>
      </c>
      <c r="K206" s="680">
        <v>9883.34</v>
      </c>
      <c r="L206" s="680">
        <v>1</v>
      </c>
      <c r="M206" s="680">
        <v>772.13593749999995</v>
      </c>
      <c r="N206" s="680">
        <v>23.61</v>
      </c>
      <c r="O206" s="680">
        <v>18230.39</v>
      </c>
      <c r="P206" s="702">
        <v>1.8445576090673799</v>
      </c>
      <c r="Q206" s="681">
        <v>772.14697162219397</v>
      </c>
    </row>
    <row r="207" spans="1:17" ht="14.4" customHeight="1" x14ac:dyDescent="0.3">
      <c r="A207" s="675" t="s">
        <v>484</v>
      </c>
      <c r="B207" s="676" t="s">
        <v>2243</v>
      </c>
      <c r="C207" s="676" t="s">
        <v>2521</v>
      </c>
      <c r="D207" s="676" t="s">
        <v>2610</v>
      </c>
      <c r="E207" s="676" t="s">
        <v>2611</v>
      </c>
      <c r="F207" s="680"/>
      <c r="G207" s="680"/>
      <c r="H207" s="680"/>
      <c r="I207" s="680"/>
      <c r="J207" s="680">
        <v>1</v>
      </c>
      <c r="K207" s="680">
        <v>863.17</v>
      </c>
      <c r="L207" s="680">
        <v>1</v>
      </c>
      <c r="M207" s="680">
        <v>863.17</v>
      </c>
      <c r="N207" s="680">
        <v>6</v>
      </c>
      <c r="O207" s="680">
        <v>4912.68</v>
      </c>
      <c r="P207" s="702">
        <v>5.6914396932238152</v>
      </c>
      <c r="Q207" s="681">
        <v>818.78000000000009</v>
      </c>
    </row>
    <row r="208" spans="1:17" ht="14.4" customHeight="1" x14ac:dyDescent="0.3">
      <c r="A208" s="675" t="s">
        <v>484</v>
      </c>
      <c r="B208" s="676" t="s">
        <v>2243</v>
      </c>
      <c r="C208" s="676" t="s">
        <v>2521</v>
      </c>
      <c r="D208" s="676" t="s">
        <v>2612</v>
      </c>
      <c r="E208" s="676" t="s">
        <v>2613</v>
      </c>
      <c r="F208" s="680">
        <v>16.16</v>
      </c>
      <c r="G208" s="680">
        <v>52645.57</v>
      </c>
      <c r="H208" s="680"/>
      <c r="I208" s="680">
        <v>3257.7704207920792</v>
      </c>
      <c r="J208" s="680"/>
      <c r="K208" s="680"/>
      <c r="L208" s="680"/>
      <c r="M208" s="680"/>
      <c r="N208" s="680"/>
      <c r="O208" s="680"/>
      <c r="P208" s="702"/>
      <c r="Q208" s="681"/>
    </row>
    <row r="209" spans="1:17" ht="14.4" customHeight="1" x14ac:dyDescent="0.3">
      <c r="A209" s="675" t="s">
        <v>484</v>
      </c>
      <c r="B209" s="676" t="s">
        <v>2243</v>
      </c>
      <c r="C209" s="676" t="s">
        <v>2521</v>
      </c>
      <c r="D209" s="676" t="s">
        <v>2614</v>
      </c>
      <c r="E209" s="676" t="s">
        <v>1484</v>
      </c>
      <c r="F209" s="680">
        <v>33.9</v>
      </c>
      <c r="G209" s="680">
        <v>14534.820000000002</v>
      </c>
      <c r="H209" s="680">
        <v>0.5398813249264085</v>
      </c>
      <c r="I209" s="680">
        <v>428.75575221238944</v>
      </c>
      <c r="J209" s="680">
        <v>64.599999999999994</v>
      </c>
      <c r="K209" s="680">
        <v>26922.25</v>
      </c>
      <c r="L209" s="680">
        <v>1</v>
      </c>
      <c r="M209" s="680">
        <v>416.75309597523221</v>
      </c>
      <c r="N209" s="680">
        <v>43.2</v>
      </c>
      <c r="O209" s="680">
        <v>17880.46</v>
      </c>
      <c r="P209" s="702">
        <v>0.66415177037580442</v>
      </c>
      <c r="Q209" s="681">
        <v>413.89953703703696</v>
      </c>
    </row>
    <row r="210" spans="1:17" ht="14.4" customHeight="1" x14ac:dyDescent="0.3">
      <c r="A210" s="675" t="s">
        <v>484</v>
      </c>
      <c r="B210" s="676" t="s">
        <v>2243</v>
      </c>
      <c r="C210" s="676" t="s">
        <v>2521</v>
      </c>
      <c r="D210" s="676" t="s">
        <v>2615</v>
      </c>
      <c r="E210" s="676" t="s">
        <v>1468</v>
      </c>
      <c r="F210" s="680">
        <v>102.5</v>
      </c>
      <c r="G210" s="680">
        <v>22468</v>
      </c>
      <c r="H210" s="680">
        <v>0.68287808127914729</v>
      </c>
      <c r="I210" s="680">
        <v>219.2</v>
      </c>
      <c r="J210" s="680">
        <v>150.1</v>
      </c>
      <c r="K210" s="680">
        <v>32901.919999999998</v>
      </c>
      <c r="L210" s="680">
        <v>1</v>
      </c>
      <c r="M210" s="680">
        <v>219.2</v>
      </c>
      <c r="N210" s="680">
        <v>133</v>
      </c>
      <c r="O210" s="680">
        <v>29153.600000000002</v>
      </c>
      <c r="P210" s="702">
        <v>0.88607594936708867</v>
      </c>
      <c r="Q210" s="681">
        <v>219.20000000000002</v>
      </c>
    </row>
    <row r="211" spans="1:17" ht="14.4" customHeight="1" x14ac:dyDescent="0.3">
      <c r="A211" s="675" t="s">
        <v>484</v>
      </c>
      <c r="B211" s="676" t="s">
        <v>2243</v>
      </c>
      <c r="C211" s="676" t="s">
        <v>2521</v>
      </c>
      <c r="D211" s="676" t="s">
        <v>2616</v>
      </c>
      <c r="E211" s="676" t="s">
        <v>2617</v>
      </c>
      <c r="F211" s="680"/>
      <c r="G211" s="680"/>
      <c r="H211" s="680"/>
      <c r="I211" s="680"/>
      <c r="J211" s="680">
        <v>23</v>
      </c>
      <c r="K211" s="680">
        <v>237578.27000000002</v>
      </c>
      <c r="L211" s="680">
        <v>1</v>
      </c>
      <c r="M211" s="680">
        <v>10329.490000000002</v>
      </c>
      <c r="N211" s="680">
        <v>76</v>
      </c>
      <c r="O211" s="680">
        <v>785041.24000000011</v>
      </c>
      <c r="P211" s="702">
        <v>3.3043478260869565</v>
      </c>
      <c r="Q211" s="681">
        <v>10329.490000000002</v>
      </c>
    </row>
    <row r="212" spans="1:17" ht="14.4" customHeight="1" x14ac:dyDescent="0.3">
      <c r="A212" s="675" t="s">
        <v>484</v>
      </c>
      <c r="B212" s="676" t="s">
        <v>2243</v>
      </c>
      <c r="C212" s="676" t="s">
        <v>2521</v>
      </c>
      <c r="D212" s="676" t="s">
        <v>2618</v>
      </c>
      <c r="E212" s="676" t="s">
        <v>1138</v>
      </c>
      <c r="F212" s="680"/>
      <c r="G212" s="680"/>
      <c r="H212" s="680"/>
      <c r="I212" s="680"/>
      <c r="J212" s="680">
        <v>6</v>
      </c>
      <c r="K212" s="680">
        <v>19036.68</v>
      </c>
      <c r="L212" s="680">
        <v>1</v>
      </c>
      <c r="M212" s="680">
        <v>3172.78</v>
      </c>
      <c r="N212" s="680">
        <v>16</v>
      </c>
      <c r="O212" s="680">
        <v>50764.479999999996</v>
      </c>
      <c r="P212" s="702">
        <v>2.6666666666666665</v>
      </c>
      <c r="Q212" s="681">
        <v>3172.7799999999997</v>
      </c>
    </row>
    <row r="213" spans="1:17" ht="14.4" customHeight="1" x14ac:dyDescent="0.3">
      <c r="A213" s="675" t="s">
        <v>484</v>
      </c>
      <c r="B213" s="676" t="s">
        <v>2243</v>
      </c>
      <c r="C213" s="676" t="s">
        <v>2521</v>
      </c>
      <c r="D213" s="676" t="s">
        <v>2619</v>
      </c>
      <c r="E213" s="676" t="s">
        <v>1484</v>
      </c>
      <c r="F213" s="680">
        <v>1.5</v>
      </c>
      <c r="G213" s="680">
        <v>1286.32</v>
      </c>
      <c r="H213" s="680"/>
      <c r="I213" s="680">
        <v>857.54666666666662</v>
      </c>
      <c r="J213" s="680"/>
      <c r="K213" s="680"/>
      <c r="L213" s="680"/>
      <c r="M213" s="680"/>
      <c r="N213" s="680">
        <v>18</v>
      </c>
      <c r="O213" s="680">
        <v>14429.25</v>
      </c>
      <c r="P213" s="702"/>
      <c r="Q213" s="681">
        <v>801.625</v>
      </c>
    </row>
    <row r="214" spans="1:17" ht="14.4" customHeight="1" x14ac:dyDescent="0.3">
      <c r="A214" s="675" t="s">
        <v>484</v>
      </c>
      <c r="B214" s="676" t="s">
        <v>2243</v>
      </c>
      <c r="C214" s="676" t="s">
        <v>2521</v>
      </c>
      <c r="D214" s="676" t="s">
        <v>2620</v>
      </c>
      <c r="E214" s="676" t="s">
        <v>1219</v>
      </c>
      <c r="F214" s="680"/>
      <c r="G214" s="680"/>
      <c r="H214" s="680"/>
      <c r="I214" s="680"/>
      <c r="J214" s="680">
        <v>82</v>
      </c>
      <c r="K214" s="680">
        <v>5391.5</v>
      </c>
      <c r="L214" s="680">
        <v>1</v>
      </c>
      <c r="M214" s="680">
        <v>65.75</v>
      </c>
      <c r="N214" s="680"/>
      <c r="O214" s="680"/>
      <c r="P214" s="702"/>
      <c r="Q214" s="681"/>
    </row>
    <row r="215" spans="1:17" ht="14.4" customHeight="1" x14ac:dyDescent="0.3">
      <c r="A215" s="675" t="s">
        <v>484</v>
      </c>
      <c r="B215" s="676" t="s">
        <v>2243</v>
      </c>
      <c r="C215" s="676" t="s">
        <v>2521</v>
      </c>
      <c r="D215" s="676" t="s">
        <v>2621</v>
      </c>
      <c r="E215" s="676" t="s">
        <v>1138</v>
      </c>
      <c r="F215" s="680"/>
      <c r="G215" s="680"/>
      <c r="H215" s="680"/>
      <c r="I215" s="680"/>
      <c r="J215" s="680"/>
      <c r="K215" s="680"/>
      <c r="L215" s="680"/>
      <c r="M215" s="680"/>
      <c r="N215" s="680">
        <v>12</v>
      </c>
      <c r="O215" s="680">
        <v>76146.84</v>
      </c>
      <c r="P215" s="702"/>
      <c r="Q215" s="681">
        <v>6345.57</v>
      </c>
    </row>
    <row r="216" spans="1:17" ht="14.4" customHeight="1" x14ac:dyDescent="0.3">
      <c r="A216" s="675" t="s">
        <v>484</v>
      </c>
      <c r="B216" s="676" t="s">
        <v>2243</v>
      </c>
      <c r="C216" s="676" t="s">
        <v>2521</v>
      </c>
      <c r="D216" s="676" t="s">
        <v>2622</v>
      </c>
      <c r="E216" s="676" t="s">
        <v>2623</v>
      </c>
      <c r="F216" s="680"/>
      <c r="G216" s="680"/>
      <c r="H216" s="680"/>
      <c r="I216" s="680"/>
      <c r="J216" s="680">
        <v>7.3</v>
      </c>
      <c r="K216" s="680">
        <v>4262.71</v>
      </c>
      <c r="L216" s="680">
        <v>1</v>
      </c>
      <c r="M216" s="680">
        <v>583.93287671232883</v>
      </c>
      <c r="N216" s="680"/>
      <c r="O216" s="680"/>
      <c r="P216" s="702"/>
      <c r="Q216" s="681"/>
    </row>
    <row r="217" spans="1:17" ht="14.4" customHeight="1" x14ac:dyDescent="0.3">
      <c r="A217" s="675" t="s">
        <v>484</v>
      </c>
      <c r="B217" s="676" t="s">
        <v>2243</v>
      </c>
      <c r="C217" s="676" t="s">
        <v>2521</v>
      </c>
      <c r="D217" s="676" t="s">
        <v>2624</v>
      </c>
      <c r="E217" s="676" t="s">
        <v>2601</v>
      </c>
      <c r="F217" s="680">
        <v>7</v>
      </c>
      <c r="G217" s="680">
        <v>48164.34</v>
      </c>
      <c r="H217" s="680"/>
      <c r="I217" s="680">
        <v>6880.62</v>
      </c>
      <c r="J217" s="680"/>
      <c r="K217" s="680"/>
      <c r="L217" s="680"/>
      <c r="M217" s="680"/>
      <c r="N217" s="680"/>
      <c r="O217" s="680"/>
      <c r="P217" s="702"/>
      <c r="Q217" s="681"/>
    </row>
    <row r="218" spans="1:17" ht="14.4" customHeight="1" x14ac:dyDescent="0.3">
      <c r="A218" s="675" t="s">
        <v>484</v>
      </c>
      <c r="B218" s="676" t="s">
        <v>2243</v>
      </c>
      <c r="C218" s="676" t="s">
        <v>2521</v>
      </c>
      <c r="D218" s="676" t="s">
        <v>2625</v>
      </c>
      <c r="E218" s="676" t="s">
        <v>2626</v>
      </c>
      <c r="F218" s="680">
        <v>2</v>
      </c>
      <c r="G218" s="680">
        <v>5414</v>
      </c>
      <c r="H218" s="680"/>
      <c r="I218" s="680">
        <v>2707</v>
      </c>
      <c r="J218" s="680"/>
      <c r="K218" s="680"/>
      <c r="L218" s="680"/>
      <c r="M218" s="680"/>
      <c r="N218" s="680"/>
      <c r="O218" s="680"/>
      <c r="P218" s="702"/>
      <c r="Q218" s="681"/>
    </row>
    <row r="219" spans="1:17" ht="14.4" customHeight="1" x14ac:dyDescent="0.3">
      <c r="A219" s="675" t="s">
        <v>484</v>
      </c>
      <c r="B219" s="676" t="s">
        <v>2243</v>
      </c>
      <c r="C219" s="676" t="s">
        <v>2521</v>
      </c>
      <c r="D219" s="676" t="s">
        <v>2627</v>
      </c>
      <c r="E219" s="676" t="s">
        <v>1434</v>
      </c>
      <c r="F219" s="680"/>
      <c r="G219" s="680"/>
      <c r="H219" s="680"/>
      <c r="I219" s="680"/>
      <c r="J219" s="680"/>
      <c r="K219" s="680"/>
      <c r="L219" s="680"/>
      <c r="M219" s="680"/>
      <c r="N219" s="680">
        <v>144</v>
      </c>
      <c r="O219" s="680">
        <v>9468</v>
      </c>
      <c r="P219" s="702"/>
      <c r="Q219" s="681">
        <v>65.75</v>
      </c>
    </row>
    <row r="220" spans="1:17" ht="14.4" customHeight="1" x14ac:dyDescent="0.3">
      <c r="A220" s="675" t="s">
        <v>484</v>
      </c>
      <c r="B220" s="676" t="s">
        <v>2243</v>
      </c>
      <c r="C220" s="676" t="s">
        <v>2521</v>
      </c>
      <c r="D220" s="676" t="s">
        <v>2628</v>
      </c>
      <c r="E220" s="676" t="s">
        <v>2629</v>
      </c>
      <c r="F220" s="680">
        <v>5.0999999999999996</v>
      </c>
      <c r="G220" s="680">
        <v>2497.96</v>
      </c>
      <c r="H220" s="680"/>
      <c r="I220" s="680">
        <v>489.79607843137256</v>
      </c>
      <c r="J220" s="680"/>
      <c r="K220" s="680"/>
      <c r="L220" s="680"/>
      <c r="M220" s="680"/>
      <c r="N220" s="680"/>
      <c r="O220" s="680"/>
      <c r="P220" s="702"/>
      <c r="Q220" s="681"/>
    </row>
    <row r="221" spans="1:17" ht="14.4" customHeight="1" x14ac:dyDescent="0.3">
      <c r="A221" s="675" t="s">
        <v>484</v>
      </c>
      <c r="B221" s="676" t="s">
        <v>2243</v>
      </c>
      <c r="C221" s="676" t="s">
        <v>2521</v>
      </c>
      <c r="D221" s="676" t="s">
        <v>2630</v>
      </c>
      <c r="E221" s="676" t="s">
        <v>2556</v>
      </c>
      <c r="F221" s="680"/>
      <c r="G221" s="680"/>
      <c r="H221" s="680"/>
      <c r="I221" s="680"/>
      <c r="J221" s="680"/>
      <c r="K221" s="680"/>
      <c r="L221" s="680"/>
      <c r="M221" s="680"/>
      <c r="N221" s="680">
        <v>0.1</v>
      </c>
      <c r="O221" s="680">
        <v>19.59</v>
      </c>
      <c r="P221" s="702"/>
      <c r="Q221" s="681">
        <v>195.89999999999998</v>
      </c>
    </row>
    <row r="222" spans="1:17" ht="14.4" customHeight="1" x14ac:dyDescent="0.3">
      <c r="A222" s="675" t="s">
        <v>484</v>
      </c>
      <c r="B222" s="676" t="s">
        <v>2243</v>
      </c>
      <c r="C222" s="676" t="s">
        <v>2521</v>
      </c>
      <c r="D222" s="676" t="s">
        <v>2631</v>
      </c>
      <c r="E222" s="676" t="s">
        <v>1426</v>
      </c>
      <c r="F222" s="680">
        <v>54.3</v>
      </c>
      <c r="G222" s="680">
        <v>115420.08</v>
      </c>
      <c r="H222" s="680">
        <v>0.47577325673040199</v>
      </c>
      <c r="I222" s="680">
        <v>2125.6000000000004</v>
      </c>
      <c r="J222" s="680">
        <v>114.13</v>
      </c>
      <c r="K222" s="680">
        <v>242594.72000000003</v>
      </c>
      <c r="L222" s="680">
        <v>1</v>
      </c>
      <c r="M222" s="680">
        <v>2125.5999299044952</v>
      </c>
      <c r="N222" s="680">
        <v>122.1</v>
      </c>
      <c r="O222" s="680">
        <v>259535.75999999998</v>
      </c>
      <c r="P222" s="702">
        <v>1.0698326822611801</v>
      </c>
      <c r="Q222" s="681">
        <v>2125.6</v>
      </c>
    </row>
    <row r="223" spans="1:17" ht="14.4" customHeight="1" x14ac:dyDescent="0.3">
      <c r="A223" s="675" t="s">
        <v>484</v>
      </c>
      <c r="B223" s="676" t="s">
        <v>2243</v>
      </c>
      <c r="C223" s="676" t="s">
        <v>2521</v>
      </c>
      <c r="D223" s="676" t="s">
        <v>2632</v>
      </c>
      <c r="E223" s="676" t="s">
        <v>2633</v>
      </c>
      <c r="F223" s="680">
        <v>4</v>
      </c>
      <c r="G223" s="680">
        <v>41569.4</v>
      </c>
      <c r="H223" s="680">
        <v>0.25</v>
      </c>
      <c r="I223" s="680">
        <v>10392.35</v>
      </c>
      <c r="J223" s="680">
        <v>16</v>
      </c>
      <c r="K223" s="680">
        <v>166277.6</v>
      </c>
      <c r="L223" s="680">
        <v>1</v>
      </c>
      <c r="M223" s="680">
        <v>10392.35</v>
      </c>
      <c r="N223" s="680">
        <v>7</v>
      </c>
      <c r="O223" s="680">
        <v>72746.45</v>
      </c>
      <c r="P223" s="702">
        <v>0.43749999999999994</v>
      </c>
      <c r="Q223" s="681">
        <v>10392.35</v>
      </c>
    </row>
    <row r="224" spans="1:17" ht="14.4" customHeight="1" x14ac:dyDescent="0.3">
      <c r="A224" s="675" t="s">
        <v>484</v>
      </c>
      <c r="B224" s="676" t="s">
        <v>2243</v>
      </c>
      <c r="C224" s="676" t="s">
        <v>2521</v>
      </c>
      <c r="D224" s="676" t="s">
        <v>2634</v>
      </c>
      <c r="E224" s="676" t="s">
        <v>2635</v>
      </c>
      <c r="F224" s="680">
        <v>1.9000000000000001</v>
      </c>
      <c r="G224" s="680">
        <v>7134.88</v>
      </c>
      <c r="H224" s="680"/>
      <c r="I224" s="680">
        <v>3755.2</v>
      </c>
      <c r="J224" s="680"/>
      <c r="K224" s="680"/>
      <c r="L224" s="680"/>
      <c r="M224" s="680"/>
      <c r="N224" s="680"/>
      <c r="O224" s="680"/>
      <c r="P224" s="702"/>
      <c r="Q224" s="681"/>
    </row>
    <row r="225" spans="1:17" ht="14.4" customHeight="1" x14ac:dyDescent="0.3">
      <c r="A225" s="675" t="s">
        <v>484</v>
      </c>
      <c r="B225" s="676" t="s">
        <v>2243</v>
      </c>
      <c r="C225" s="676" t="s">
        <v>2521</v>
      </c>
      <c r="D225" s="676" t="s">
        <v>2636</v>
      </c>
      <c r="E225" s="676" t="s">
        <v>2605</v>
      </c>
      <c r="F225" s="680">
        <v>0.1</v>
      </c>
      <c r="G225" s="680">
        <v>19.59</v>
      </c>
      <c r="H225" s="680">
        <v>0.33333333333333331</v>
      </c>
      <c r="I225" s="680">
        <v>195.89999999999998</v>
      </c>
      <c r="J225" s="680">
        <v>0.3</v>
      </c>
      <c r="K225" s="680">
        <v>58.77</v>
      </c>
      <c r="L225" s="680">
        <v>1</v>
      </c>
      <c r="M225" s="680">
        <v>195.9</v>
      </c>
      <c r="N225" s="680">
        <v>0.5</v>
      </c>
      <c r="O225" s="680">
        <v>97.95</v>
      </c>
      <c r="P225" s="702">
        <v>1.6666666666666665</v>
      </c>
      <c r="Q225" s="681">
        <v>195.9</v>
      </c>
    </row>
    <row r="226" spans="1:17" ht="14.4" customHeight="1" x14ac:dyDescent="0.3">
      <c r="A226" s="675" t="s">
        <v>484</v>
      </c>
      <c r="B226" s="676" t="s">
        <v>2243</v>
      </c>
      <c r="C226" s="676" t="s">
        <v>2521</v>
      </c>
      <c r="D226" s="676" t="s">
        <v>2637</v>
      </c>
      <c r="E226" s="676" t="s">
        <v>1452</v>
      </c>
      <c r="F226" s="680"/>
      <c r="G226" s="680"/>
      <c r="H226" s="680"/>
      <c r="I226" s="680"/>
      <c r="J226" s="680">
        <v>1.1000000000000001</v>
      </c>
      <c r="K226" s="680">
        <v>571.46</v>
      </c>
      <c r="L226" s="680">
        <v>1</v>
      </c>
      <c r="M226" s="680">
        <v>519.5090909090909</v>
      </c>
      <c r="N226" s="680">
        <v>2.4</v>
      </c>
      <c r="O226" s="680">
        <v>960.95999999999992</v>
      </c>
      <c r="P226" s="702">
        <v>1.6815875126868021</v>
      </c>
      <c r="Q226" s="681">
        <v>400.4</v>
      </c>
    </row>
    <row r="227" spans="1:17" ht="14.4" customHeight="1" x14ac:dyDescent="0.3">
      <c r="A227" s="675" t="s">
        <v>484</v>
      </c>
      <c r="B227" s="676" t="s">
        <v>2243</v>
      </c>
      <c r="C227" s="676" t="s">
        <v>2521</v>
      </c>
      <c r="D227" s="676" t="s">
        <v>2638</v>
      </c>
      <c r="E227" s="676" t="s">
        <v>1452</v>
      </c>
      <c r="F227" s="680">
        <v>2.4</v>
      </c>
      <c r="G227" s="680">
        <v>2748.08</v>
      </c>
      <c r="H227" s="680">
        <v>0.24962598069360936</v>
      </c>
      <c r="I227" s="680">
        <v>1145.0333333333333</v>
      </c>
      <c r="J227" s="680">
        <v>10.399999999999999</v>
      </c>
      <c r="K227" s="680">
        <v>11008.79</v>
      </c>
      <c r="L227" s="680">
        <v>1</v>
      </c>
      <c r="M227" s="680">
        <v>1058.5375000000001</v>
      </c>
      <c r="N227" s="680">
        <v>8.6999999999999993</v>
      </c>
      <c r="O227" s="680">
        <v>6966.9599999999991</v>
      </c>
      <c r="P227" s="702">
        <v>0.63285429188857256</v>
      </c>
      <c r="Q227" s="681">
        <v>800.8</v>
      </c>
    </row>
    <row r="228" spans="1:17" ht="14.4" customHeight="1" x14ac:dyDescent="0.3">
      <c r="A228" s="675" t="s">
        <v>484</v>
      </c>
      <c r="B228" s="676" t="s">
        <v>2243</v>
      </c>
      <c r="C228" s="676" t="s">
        <v>2521</v>
      </c>
      <c r="D228" s="676" t="s">
        <v>2639</v>
      </c>
      <c r="E228" s="676" t="s">
        <v>2640</v>
      </c>
      <c r="F228" s="680">
        <v>26.6</v>
      </c>
      <c r="G228" s="680">
        <v>99888.7</v>
      </c>
      <c r="H228" s="680"/>
      <c r="I228" s="680">
        <v>3755.2142857142853</v>
      </c>
      <c r="J228" s="680"/>
      <c r="K228" s="680"/>
      <c r="L228" s="680"/>
      <c r="M228" s="680"/>
      <c r="N228" s="680"/>
      <c r="O228" s="680"/>
      <c r="P228" s="702"/>
      <c r="Q228" s="681"/>
    </row>
    <row r="229" spans="1:17" ht="14.4" customHeight="1" x14ac:dyDescent="0.3">
      <c r="A229" s="675" t="s">
        <v>484</v>
      </c>
      <c r="B229" s="676" t="s">
        <v>2243</v>
      </c>
      <c r="C229" s="676" t="s">
        <v>2521</v>
      </c>
      <c r="D229" s="676" t="s">
        <v>2641</v>
      </c>
      <c r="E229" s="676" t="s">
        <v>2642</v>
      </c>
      <c r="F229" s="680">
        <v>23</v>
      </c>
      <c r="G229" s="680">
        <v>29609.280000000002</v>
      </c>
      <c r="H229" s="680"/>
      <c r="I229" s="680">
        <v>1287.3600000000001</v>
      </c>
      <c r="J229" s="680"/>
      <c r="K229" s="680"/>
      <c r="L229" s="680"/>
      <c r="M229" s="680"/>
      <c r="N229" s="680"/>
      <c r="O229" s="680"/>
      <c r="P229" s="702"/>
      <c r="Q229" s="681"/>
    </row>
    <row r="230" spans="1:17" ht="14.4" customHeight="1" x14ac:dyDescent="0.3">
      <c r="A230" s="675" t="s">
        <v>484</v>
      </c>
      <c r="B230" s="676" t="s">
        <v>2243</v>
      </c>
      <c r="C230" s="676" t="s">
        <v>2521</v>
      </c>
      <c r="D230" s="676" t="s">
        <v>2643</v>
      </c>
      <c r="E230" s="676" t="s">
        <v>1468</v>
      </c>
      <c r="F230" s="680">
        <v>12</v>
      </c>
      <c r="G230" s="680">
        <v>1315.2</v>
      </c>
      <c r="H230" s="680">
        <v>1.5000000000000002</v>
      </c>
      <c r="I230" s="680">
        <v>109.60000000000001</v>
      </c>
      <c r="J230" s="680">
        <v>8</v>
      </c>
      <c r="K230" s="680">
        <v>876.8</v>
      </c>
      <c r="L230" s="680">
        <v>1</v>
      </c>
      <c r="M230" s="680">
        <v>109.6</v>
      </c>
      <c r="N230" s="680">
        <v>41</v>
      </c>
      <c r="O230" s="680">
        <v>5727.4999999999991</v>
      </c>
      <c r="P230" s="702">
        <v>6.532276459854014</v>
      </c>
      <c r="Q230" s="681">
        <v>139.69512195121948</v>
      </c>
    </row>
    <row r="231" spans="1:17" ht="14.4" customHeight="1" x14ac:dyDescent="0.3">
      <c r="A231" s="675" t="s">
        <v>484</v>
      </c>
      <c r="B231" s="676" t="s">
        <v>2243</v>
      </c>
      <c r="C231" s="676" t="s">
        <v>2521</v>
      </c>
      <c r="D231" s="676" t="s">
        <v>2644</v>
      </c>
      <c r="E231" s="676" t="s">
        <v>2575</v>
      </c>
      <c r="F231" s="680">
        <v>5</v>
      </c>
      <c r="G231" s="680">
        <v>64723.7</v>
      </c>
      <c r="H231" s="680"/>
      <c r="I231" s="680">
        <v>12944.74</v>
      </c>
      <c r="J231" s="680"/>
      <c r="K231" s="680"/>
      <c r="L231" s="680"/>
      <c r="M231" s="680"/>
      <c r="N231" s="680"/>
      <c r="O231" s="680"/>
      <c r="P231" s="702"/>
      <c r="Q231" s="681"/>
    </row>
    <row r="232" spans="1:17" ht="14.4" customHeight="1" x14ac:dyDescent="0.3">
      <c r="A232" s="675" t="s">
        <v>484</v>
      </c>
      <c r="B232" s="676" t="s">
        <v>2243</v>
      </c>
      <c r="C232" s="676" t="s">
        <v>2521</v>
      </c>
      <c r="D232" s="676" t="s">
        <v>2645</v>
      </c>
      <c r="E232" s="676" t="s">
        <v>2646</v>
      </c>
      <c r="F232" s="680">
        <v>1.1000000000000001</v>
      </c>
      <c r="G232" s="680">
        <v>364.54</v>
      </c>
      <c r="H232" s="680">
        <v>6.7484662576687129E-2</v>
      </c>
      <c r="I232" s="680">
        <v>331.4</v>
      </c>
      <c r="J232" s="680">
        <v>16.3</v>
      </c>
      <c r="K232" s="680">
        <v>5401.82</v>
      </c>
      <c r="L232" s="680">
        <v>1</v>
      </c>
      <c r="M232" s="680">
        <v>331.4</v>
      </c>
      <c r="N232" s="680">
        <v>16.21</v>
      </c>
      <c r="O232" s="680">
        <v>5371.9900000000007</v>
      </c>
      <c r="P232" s="702">
        <v>0.99447778711619439</v>
      </c>
      <c r="Q232" s="681">
        <v>331.39975323874154</v>
      </c>
    </row>
    <row r="233" spans="1:17" ht="14.4" customHeight="1" x14ac:dyDescent="0.3">
      <c r="A233" s="675" t="s">
        <v>484</v>
      </c>
      <c r="B233" s="676" t="s">
        <v>2243</v>
      </c>
      <c r="C233" s="676" t="s">
        <v>2521</v>
      </c>
      <c r="D233" s="676" t="s">
        <v>2647</v>
      </c>
      <c r="E233" s="676" t="s">
        <v>1151</v>
      </c>
      <c r="F233" s="680"/>
      <c r="G233" s="680"/>
      <c r="H233" s="680"/>
      <c r="I233" s="680"/>
      <c r="J233" s="680"/>
      <c r="K233" s="680"/>
      <c r="L233" s="680"/>
      <c r="M233" s="680"/>
      <c r="N233" s="680">
        <v>16</v>
      </c>
      <c r="O233" s="680">
        <v>69038.559999999998</v>
      </c>
      <c r="P233" s="702"/>
      <c r="Q233" s="681">
        <v>4314.91</v>
      </c>
    </row>
    <row r="234" spans="1:17" ht="14.4" customHeight="1" x14ac:dyDescent="0.3">
      <c r="A234" s="675" t="s">
        <v>484</v>
      </c>
      <c r="B234" s="676" t="s">
        <v>2243</v>
      </c>
      <c r="C234" s="676" t="s">
        <v>2521</v>
      </c>
      <c r="D234" s="676" t="s">
        <v>2648</v>
      </c>
      <c r="E234" s="676" t="s">
        <v>2649</v>
      </c>
      <c r="F234" s="680">
        <v>0.5</v>
      </c>
      <c r="G234" s="680">
        <v>5646.91</v>
      </c>
      <c r="H234" s="680">
        <v>0.12820488952680811</v>
      </c>
      <c r="I234" s="680">
        <v>11293.82</v>
      </c>
      <c r="J234" s="680">
        <v>3.9</v>
      </c>
      <c r="K234" s="680">
        <v>44045.98</v>
      </c>
      <c r="L234" s="680">
        <v>1</v>
      </c>
      <c r="M234" s="680">
        <v>11293.841025641026</v>
      </c>
      <c r="N234" s="680"/>
      <c r="O234" s="680"/>
      <c r="P234" s="702"/>
      <c r="Q234" s="681"/>
    </row>
    <row r="235" spans="1:17" ht="14.4" customHeight="1" x14ac:dyDescent="0.3">
      <c r="A235" s="675" t="s">
        <v>484</v>
      </c>
      <c r="B235" s="676" t="s">
        <v>2243</v>
      </c>
      <c r="C235" s="676" t="s">
        <v>2521</v>
      </c>
      <c r="D235" s="676" t="s">
        <v>2650</v>
      </c>
      <c r="E235" s="676" t="s">
        <v>2651</v>
      </c>
      <c r="F235" s="680">
        <v>0.8</v>
      </c>
      <c r="G235" s="680">
        <v>1157.44</v>
      </c>
      <c r="H235" s="680"/>
      <c r="I235" s="680">
        <v>1446.8</v>
      </c>
      <c r="J235" s="680"/>
      <c r="K235" s="680"/>
      <c r="L235" s="680"/>
      <c r="M235" s="680"/>
      <c r="N235" s="680"/>
      <c r="O235" s="680"/>
      <c r="P235" s="702"/>
      <c r="Q235" s="681"/>
    </row>
    <row r="236" spans="1:17" ht="14.4" customHeight="1" x14ac:dyDescent="0.3">
      <c r="A236" s="675" t="s">
        <v>484</v>
      </c>
      <c r="B236" s="676" t="s">
        <v>2243</v>
      </c>
      <c r="C236" s="676" t="s">
        <v>2521</v>
      </c>
      <c r="D236" s="676" t="s">
        <v>2652</v>
      </c>
      <c r="E236" s="676" t="s">
        <v>1158</v>
      </c>
      <c r="F236" s="680"/>
      <c r="G236" s="680"/>
      <c r="H236" s="680"/>
      <c r="I236" s="680"/>
      <c r="J236" s="680">
        <v>10.899999999999999</v>
      </c>
      <c r="K236" s="680">
        <v>8609.34</v>
      </c>
      <c r="L236" s="680">
        <v>1</v>
      </c>
      <c r="M236" s="680">
        <v>789.84770642201852</v>
      </c>
      <c r="N236" s="680">
        <v>11</v>
      </c>
      <c r="O236" s="680">
        <v>8688.3700000000008</v>
      </c>
      <c r="P236" s="702">
        <v>1.0091795654486873</v>
      </c>
      <c r="Q236" s="681">
        <v>789.8518181818182</v>
      </c>
    </row>
    <row r="237" spans="1:17" ht="14.4" customHeight="1" x14ac:dyDescent="0.3">
      <c r="A237" s="675" t="s">
        <v>484</v>
      </c>
      <c r="B237" s="676" t="s">
        <v>2243</v>
      </c>
      <c r="C237" s="676" t="s">
        <v>2521</v>
      </c>
      <c r="D237" s="676" t="s">
        <v>2653</v>
      </c>
      <c r="E237" s="676" t="s">
        <v>1441</v>
      </c>
      <c r="F237" s="680"/>
      <c r="G237" s="680"/>
      <c r="H237" s="680"/>
      <c r="I237" s="680"/>
      <c r="J237" s="680">
        <v>48.3</v>
      </c>
      <c r="K237" s="680">
        <v>157638.51</v>
      </c>
      <c r="L237" s="680">
        <v>1</v>
      </c>
      <c r="M237" s="680">
        <v>3263.7372670807458</v>
      </c>
      <c r="N237" s="680">
        <v>82.800000000000011</v>
      </c>
      <c r="O237" s="680">
        <v>270237.94</v>
      </c>
      <c r="P237" s="702">
        <v>1.7142888498502047</v>
      </c>
      <c r="Q237" s="681">
        <v>3263.7432367149754</v>
      </c>
    </row>
    <row r="238" spans="1:17" ht="14.4" customHeight="1" x14ac:dyDescent="0.3">
      <c r="A238" s="675" t="s">
        <v>484</v>
      </c>
      <c r="B238" s="676" t="s">
        <v>2243</v>
      </c>
      <c r="C238" s="676" t="s">
        <v>2521</v>
      </c>
      <c r="D238" s="676" t="s">
        <v>2654</v>
      </c>
      <c r="E238" s="676" t="s">
        <v>1149</v>
      </c>
      <c r="F238" s="680"/>
      <c r="G238" s="680"/>
      <c r="H238" s="680"/>
      <c r="I238" s="680"/>
      <c r="J238" s="680"/>
      <c r="K238" s="680"/>
      <c r="L238" s="680"/>
      <c r="M238" s="680"/>
      <c r="N238" s="680">
        <v>35</v>
      </c>
      <c r="O238" s="680">
        <v>302044.05</v>
      </c>
      <c r="P238" s="702"/>
      <c r="Q238" s="681">
        <v>8629.83</v>
      </c>
    </row>
    <row r="239" spans="1:17" ht="14.4" customHeight="1" x14ac:dyDescent="0.3">
      <c r="A239" s="675" t="s">
        <v>484</v>
      </c>
      <c r="B239" s="676" t="s">
        <v>2243</v>
      </c>
      <c r="C239" s="676" t="s">
        <v>2521</v>
      </c>
      <c r="D239" s="676" t="s">
        <v>2655</v>
      </c>
      <c r="E239" s="676" t="s">
        <v>1151</v>
      </c>
      <c r="F239" s="680"/>
      <c r="G239" s="680"/>
      <c r="H239" s="680"/>
      <c r="I239" s="680"/>
      <c r="J239" s="680"/>
      <c r="K239" s="680"/>
      <c r="L239" s="680"/>
      <c r="M239" s="680"/>
      <c r="N239" s="680">
        <v>3</v>
      </c>
      <c r="O239" s="680">
        <v>12944.73</v>
      </c>
      <c r="P239" s="702"/>
      <c r="Q239" s="681">
        <v>4314.91</v>
      </c>
    </row>
    <row r="240" spans="1:17" ht="14.4" customHeight="1" x14ac:dyDescent="0.3">
      <c r="A240" s="675" t="s">
        <v>484</v>
      </c>
      <c r="B240" s="676" t="s">
        <v>2243</v>
      </c>
      <c r="C240" s="676" t="s">
        <v>2656</v>
      </c>
      <c r="D240" s="676" t="s">
        <v>2657</v>
      </c>
      <c r="E240" s="676" t="s">
        <v>2658</v>
      </c>
      <c r="F240" s="680">
        <v>1</v>
      </c>
      <c r="G240" s="680">
        <v>1215.8499999999999</v>
      </c>
      <c r="H240" s="680">
        <v>0.13290244019745442</v>
      </c>
      <c r="I240" s="680">
        <v>1215.8499999999999</v>
      </c>
      <c r="J240" s="680">
        <v>7</v>
      </c>
      <c r="K240" s="680">
        <v>9148.44</v>
      </c>
      <c r="L240" s="680">
        <v>1</v>
      </c>
      <c r="M240" s="680">
        <v>1306.92</v>
      </c>
      <c r="N240" s="680">
        <v>4</v>
      </c>
      <c r="O240" s="680">
        <v>5626.44</v>
      </c>
      <c r="P240" s="702">
        <v>0.61501633065309491</v>
      </c>
      <c r="Q240" s="681">
        <v>1406.61</v>
      </c>
    </row>
    <row r="241" spans="1:17" ht="14.4" customHeight="1" x14ac:dyDescent="0.3">
      <c r="A241" s="675" t="s">
        <v>484</v>
      </c>
      <c r="B241" s="676" t="s">
        <v>2243</v>
      </c>
      <c r="C241" s="676" t="s">
        <v>2656</v>
      </c>
      <c r="D241" s="676" t="s">
        <v>2659</v>
      </c>
      <c r="E241" s="676" t="s">
        <v>2660</v>
      </c>
      <c r="F241" s="680">
        <v>565</v>
      </c>
      <c r="G241" s="680">
        <v>1054052.7</v>
      </c>
      <c r="H241" s="680">
        <v>0.8421189081155992</v>
      </c>
      <c r="I241" s="680">
        <v>1865.58</v>
      </c>
      <c r="J241" s="680">
        <v>624</v>
      </c>
      <c r="K241" s="680">
        <v>1251667.2999999998</v>
      </c>
      <c r="L241" s="680">
        <v>1</v>
      </c>
      <c r="M241" s="680">
        <v>2005.8770833333331</v>
      </c>
      <c r="N241" s="680">
        <v>518</v>
      </c>
      <c r="O241" s="680">
        <v>1118351.1399999999</v>
      </c>
      <c r="P241" s="702">
        <v>0.89348914044490901</v>
      </c>
      <c r="Q241" s="681">
        <v>2158.9790347490343</v>
      </c>
    </row>
    <row r="242" spans="1:17" ht="14.4" customHeight="1" x14ac:dyDescent="0.3">
      <c r="A242" s="675" t="s">
        <v>484</v>
      </c>
      <c r="B242" s="676" t="s">
        <v>2243</v>
      </c>
      <c r="C242" s="676" t="s">
        <v>2656</v>
      </c>
      <c r="D242" s="676" t="s">
        <v>2661</v>
      </c>
      <c r="E242" s="676" t="s">
        <v>2662</v>
      </c>
      <c r="F242" s="680">
        <v>12</v>
      </c>
      <c r="G242" s="680">
        <v>32744.52</v>
      </c>
      <c r="H242" s="680">
        <v>0.3497678007662639</v>
      </c>
      <c r="I242" s="680">
        <v>2728.71</v>
      </c>
      <c r="J242" s="680">
        <v>38</v>
      </c>
      <c r="K242" s="680">
        <v>93617.87999999999</v>
      </c>
      <c r="L242" s="680">
        <v>1</v>
      </c>
      <c r="M242" s="680">
        <v>2463.6284210526314</v>
      </c>
      <c r="N242" s="680">
        <v>80</v>
      </c>
      <c r="O242" s="680">
        <v>211292</v>
      </c>
      <c r="P242" s="702">
        <v>2.2569620247756093</v>
      </c>
      <c r="Q242" s="681">
        <v>2641.15</v>
      </c>
    </row>
    <row r="243" spans="1:17" ht="14.4" customHeight="1" x14ac:dyDescent="0.3">
      <c r="A243" s="675" t="s">
        <v>484</v>
      </c>
      <c r="B243" s="676" t="s">
        <v>2243</v>
      </c>
      <c r="C243" s="676" t="s">
        <v>2656</v>
      </c>
      <c r="D243" s="676" t="s">
        <v>2663</v>
      </c>
      <c r="E243" s="676" t="s">
        <v>2664</v>
      </c>
      <c r="F243" s="680">
        <v>6</v>
      </c>
      <c r="G243" s="680">
        <v>11193.48</v>
      </c>
      <c r="H243" s="680"/>
      <c r="I243" s="680">
        <v>1865.58</v>
      </c>
      <c r="J243" s="680"/>
      <c r="K243" s="680"/>
      <c r="L243" s="680"/>
      <c r="M243" s="680"/>
      <c r="N243" s="680"/>
      <c r="O243" s="680"/>
      <c r="P243" s="702"/>
      <c r="Q243" s="681"/>
    </row>
    <row r="244" spans="1:17" ht="14.4" customHeight="1" x14ac:dyDescent="0.3">
      <c r="A244" s="675" t="s">
        <v>484</v>
      </c>
      <c r="B244" s="676" t="s">
        <v>2243</v>
      </c>
      <c r="C244" s="676" t="s">
        <v>2656</v>
      </c>
      <c r="D244" s="676" t="s">
        <v>2665</v>
      </c>
      <c r="E244" s="676" t="s">
        <v>2666</v>
      </c>
      <c r="F244" s="680">
        <v>20</v>
      </c>
      <c r="G244" s="680">
        <v>161487.20000000001</v>
      </c>
      <c r="H244" s="680">
        <v>0.97388620199626919</v>
      </c>
      <c r="I244" s="680">
        <v>8074.3600000000006</v>
      </c>
      <c r="J244" s="680">
        <v>20</v>
      </c>
      <c r="K244" s="680">
        <v>165817.32</v>
      </c>
      <c r="L244" s="680">
        <v>1</v>
      </c>
      <c r="M244" s="680">
        <v>8290.866</v>
      </c>
      <c r="N244" s="680">
        <v>15</v>
      </c>
      <c r="O244" s="680">
        <v>133535.4</v>
      </c>
      <c r="P244" s="702">
        <v>0.80531635657843215</v>
      </c>
      <c r="Q244" s="681">
        <v>8902.3599999999988</v>
      </c>
    </row>
    <row r="245" spans="1:17" ht="14.4" customHeight="1" x14ac:dyDescent="0.3">
      <c r="A245" s="675" t="s">
        <v>484</v>
      </c>
      <c r="B245" s="676" t="s">
        <v>2243</v>
      </c>
      <c r="C245" s="676" t="s">
        <v>2656</v>
      </c>
      <c r="D245" s="676" t="s">
        <v>2667</v>
      </c>
      <c r="E245" s="676" t="s">
        <v>2668</v>
      </c>
      <c r="F245" s="680">
        <v>28</v>
      </c>
      <c r="G245" s="680">
        <v>271210.8</v>
      </c>
      <c r="H245" s="680">
        <v>0.70166919989689591</v>
      </c>
      <c r="I245" s="680">
        <v>9686.1</v>
      </c>
      <c r="J245" s="680">
        <v>39</v>
      </c>
      <c r="K245" s="680">
        <v>386522.31</v>
      </c>
      <c r="L245" s="680">
        <v>1</v>
      </c>
      <c r="M245" s="680">
        <v>9910.8284615384619</v>
      </c>
      <c r="N245" s="680">
        <v>17</v>
      </c>
      <c r="O245" s="680">
        <v>175255.55</v>
      </c>
      <c r="P245" s="702">
        <v>0.45341638882371366</v>
      </c>
      <c r="Q245" s="681">
        <v>10309.15</v>
      </c>
    </row>
    <row r="246" spans="1:17" ht="14.4" customHeight="1" x14ac:dyDescent="0.3">
      <c r="A246" s="675" t="s">
        <v>484</v>
      </c>
      <c r="B246" s="676" t="s">
        <v>2243</v>
      </c>
      <c r="C246" s="676" t="s">
        <v>2656</v>
      </c>
      <c r="D246" s="676" t="s">
        <v>2669</v>
      </c>
      <c r="E246" s="676" t="s">
        <v>2670</v>
      </c>
      <c r="F246" s="680">
        <v>270</v>
      </c>
      <c r="G246" s="680">
        <v>249903.9</v>
      </c>
      <c r="H246" s="680">
        <v>0.7785558472385733</v>
      </c>
      <c r="I246" s="680">
        <v>925.56999999999994</v>
      </c>
      <c r="J246" s="680">
        <v>302</v>
      </c>
      <c r="K246" s="680">
        <v>320983.91000000003</v>
      </c>
      <c r="L246" s="680">
        <v>1</v>
      </c>
      <c r="M246" s="680">
        <v>1062.8606291390729</v>
      </c>
      <c r="N246" s="680">
        <v>193</v>
      </c>
      <c r="O246" s="680">
        <v>233840.73</v>
      </c>
      <c r="P246" s="702">
        <v>0.72851231078841305</v>
      </c>
      <c r="Q246" s="681">
        <v>1211.6100000000001</v>
      </c>
    </row>
    <row r="247" spans="1:17" ht="14.4" customHeight="1" x14ac:dyDescent="0.3">
      <c r="A247" s="675" t="s">
        <v>484</v>
      </c>
      <c r="B247" s="676" t="s">
        <v>2243</v>
      </c>
      <c r="C247" s="676" t="s">
        <v>2656</v>
      </c>
      <c r="D247" s="676" t="s">
        <v>2671</v>
      </c>
      <c r="E247" s="676" t="s">
        <v>2672</v>
      </c>
      <c r="F247" s="680">
        <v>18</v>
      </c>
      <c r="G247" s="680">
        <v>4296.24</v>
      </c>
      <c r="H247" s="680">
        <v>0.88883555805658754</v>
      </c>
      <c r="I247" s="680">
        <v>238.67999999999998</v>
      </c>
      <c r="J247" s="680">
        <v>20</v>
      </c>
      <c r="K247" s="680">
        <v>4833.5600000000004</v>
      </c>
      <c r="L247" s="680">
        <v>1</v>
      </c>
      <c r="M247" s="680">
        <v>241.67800000000003</v>
      </c>
      <c r="N247" s="680">
        <v>49</v>
      </c>
      <c r="O247" s="680">
        <v>12034.890000000001</v>
      </c>
      <c r="P247" s="702">
        <v>2.4898604755087348</v>
      </c>
      <c r="Q247" s="681">
        <v>245.61</v>
      </c>
    </row>
    <row r="248" spans="1:17" ht="14.4" customHeight="1" x14ac:dyDescent="0.3">
      <c r="A248" s="675" t="s">
        <v>484</v>
      </c>
      <c r="B248" s="676" t="s">
        <v>2243</v>
      </c>
      <c r="C248" s="676" t="s">
        <v>2656</v>
      </c>
      <c r="D248" s="676" t="s">
        <v>2673</v>
      </c>
      <c r="E248" s="676" t="s">
        <v>2674</v>
      </c>
      <c r="F248" s="680"/>
      <c r="G248" s="680"/>
      <c r="H248" s="680"/>
      <c r="I248" s="680"/>
      <c r="J248" s="680"/>
      <c r="K248" s="680"/>
      <c r="L248" s="680"/>
      <c r="M248" s="680"/>
      <c r="N248" s="680">
        <v>1</v>
      </c>
      <c r="O248" s="680">
        <v>2641.15</v>
      </c>
      <c r="P248" s="702"/>
      <c r="Q248" s="681">
        <v>2641.15</v>
      </c>
    </row>
    <row r="249" spans="1:17" ht="14.4" customHeight="1" x14ac:dyDescent="0.3">
      <c r="A249" s="675" t="s">
        <v>484</v>
      </c>
      <c r="B249" s="676" t="s">
        <v>2243</v>
      </c>
      <c r="C249" s="676" t="s">
        <v>2675</v>
      </c>
      <c r="D249" s="676" t="s">
        <v>2676</v>
      </c>
      <c r="E249" s="676" t="s">
        <v>2677</v>
      </c>
      <c r="F249" s="680">
        <v>5</v>
      </c>
      <c r="G249" s="680">
        <v>1649.9</v>
      </c>
      <c r="H249" s="680">
        <v>0.45454545454545453</v>
      </c>
      <c r="I249" s="680">
        <v>329.98</v>
      </c>
      <c r="J249" s="680">
        <v>11</v>
      </c>
      <c r="K249" s="680">
        <v>3629.78</v>
      </c>
      <c r="L249" s="680">
        <v>1</v>
      </c>
      <c r="M249" s="680">
        <v>329.98</v>
      </c>
      <c r="N249" s="680">
        <v>22</v>
      </c>
      <c r="O249" s="680">
        <v>7259.5600000000013</v>
      </c>
      <c r="P249" s="702">
        <v>2.0000000000000004</v>
      </c>
      <c r="Q249" s="681">
        <v>329.98000000000008</v>
      </c>
    </row>
    <row r="250" spans="1:17" ht="14.4" customHeight="1" x14ac:dyDescent="0.3">
      <c r="A250" s="675" t="s">
        <v>484</v>
      </c>
      <c r="B250" s="676" t="s">
        <v>2243</v>
      </c>
      <c r="C250" s="676" t="s">
        <v>2675</v>
      </c>
      <c r="D250" s="676" t="s">
        <v>2678</v>
      </c>
      <c r="E250" s="676" t="s">
        <v>2677</v>
      </c>
      <c r="F250" s="680"/>
      <c r="G250" s="680"/>
      <c r="H250" s="680"/>
      <c r="I250" s="680"/>
      <c r="J250" s="680">
        <v>13</v>
      </c>
      <c r="K250" s="680">
        <v>5634.33</v>
      </c>
      <c r="L250" s="680">
        <v>1</v>
      </c>
      <c r="M250" s="680">
        <v>433.40999999999997</v>
      </c>
      <c r="N250" s="680">
        <v>10</v>
      </c>
      <c r="O250" s="680">
        <v>4334.1000000000004</v>
      </c>
      <c r="P250" s="702">
        <v>0.76923076923076927</v>
      </c>
      <c r="Q250" s="681">
        <v>433.41</v>
      </c>
    </row>
    <row r="251" spans="1:17" ht="14.4" customHeight="1" x14ac:dyDescent="0.3">
      <c r="A251" s="675" t="s">
        <v>484</v>
      </c>
      <c r="B251" s="676" t="s">
        <v>2243</v>
      </c>
      <c r="C251" s="676" t="s">
        <v>2675</v>
      </c>
      <c r="D251" s="676" t="s">
        <v>2679</v>
      </c>
      <c r="E251" s="676" t="s">
        <v>2680</v>
      </c>
      <c r="F251" s="680"/>
      <c r="G251" s="680"/>
      <c r="H251" s="680"/>
      <c r="I251" s="680"/>
      <c r="J251" s="680">
        <v>2</v>
      </c>
      <c r="K251" s="680">
        <v>2870.72</v>
      </c>
      <c r="L251" s="680">
        <v>1</v>
      </c>
      <c r="M251" s="680">
        <v>1435.36</v>
      </c>
      <c r="N251" s="680">
        <v>1.4</v>
      </c>
      <c r="O251" s="680">
        <v>2009.5</v>
      </c>
      <c r="P251" s="702">
        <v>0.69999860662133551</v>
      </c>
      <c r="Q251" s="681">
        <v>1435.3571428571429</v>
      </c>
    </row>
    <row r="252" spans="1:17" ht="14.4" customHeight="1" x14ac:dyDescent="0.3">
      <c r="A252" s="675" t="s">
        <v>484</v>
      </c>
      <c r="B252" s="676" t="s">
        <v>2243</v>
      </c>
      <c r="C252" s="676" t="s">
        <v>2675</v>
      </c>
      <c r="D252" s="676" t="s">
        <v>2681</v>
      </c>
      <c r="E252" s="676" t="s">
        <v>2682</v>
      </c>
      <c r="F252" s="680"/>
      <c r="G252" s="680"/>
      <c r="H252" s="680"/>
      <c r="I252" s="680"/>
      <c r="J252" s="680">
        <v>0.1</v>
      </c>
      <c r="K252" s="680">
        <v>18.34</v>
      </c>
      <c r="L252" s="680">
        <v>1</v>
      </c>
      <c r="M252" s="680">
        <v>183.39999999999998</v>
      </c>
      <c r="N252" s="680"/>
      <c r="O252" s="680"/>
      <c r="P252" s="702"/>
      <c r="Q252" s="681"/>
    </row>
    <row r="253" spans="1:17" ht="14.4" customHeight="1" x14ac:dyDescent="0.3">
      <c r="A253" s="675" t="s">
        <v>484</v>
      </c>
      <c r="B253" s="676" t="s">
        <v>2243</v>
      </c>
      <c r="C253" s="676" t="s">
        <v>2675</v>
      </c>
      <c r="D253" s="676" t="s">
        <v>2683</v>
      </c>
      <c r="E253" s="676" t="s">
        <v>2684</v>
      </c>
      <c r="F253" s="680"/>
      <c r="G253" s="680"/>
      <c r="H253" s="680"/>
      <c r="I253" s="680"/>
      <c r="J253" s="680">
        <v>12</v>
      </c>
      <c r="K253" s="680">
        <v>1044.5999999999999</v>
      </c>
      <c r="L253" s="680">
        <v>1</v>
      </c>
      <c r="M253" s="680">
        <v>87.05</v>
      </c>
      <c r="N253" s="680">
        <v>2</v>
      </c>
      <c r="O253" s="680">
        <v>174.1</v>
      </c>
      <c r="P253" s="702">
        <v>0.16666666666666669</v>
      </c>
      <c r="Q253" s="681">
        <v>87.05</v>
      </c>
    </row>
    <row r="254" spans="1:17" ht="14.4" customHeight="1" x14ac:dyDescent="0.3">
      <c r="A254" s="675" t="s">
        <v>484</v>
      </c>
      <c r="B254" s="676" t="s">
        <v>2243</v>
      </c>
      <c r="C254" s="676" t="s">
        <v>2675</v>
      </c>
      <c r="D254" s="676" t="s">
        <v>2685</v>
      </c>
      <c r="E254" s="676" t="s">
        <v>2684</v>
      </c>
      <c r="F254" s="680"/>
      <c r="G254" s="680"/>
      <c r="H254" s="680"/>
      <c r="I254" s="680"/>
      <c r="J254" s="680">
        <v>6</v>
      </c>
      <c r="K254" s="680">
        <v>774.18</v>
      </c>
      <c r="L254" s="680">
        <v>1</v>
      </c>
      <c r="M254" s="680">
        <v>129.03</v>
      </c>
      <c r="N254" s="680"/>
      <c r="O254" s="680"/>
      <c r="P254" s="702"/>
      <c r="Q254" s="681"/>
    </row>
    <row r="255" spans="1:17" ht="14.4" customHeight="1" x14ac:dyDescent="0.3">
      <c r="A255" s="675" t="s">
        <v>484</v>
      </c>
      <c r="B255" s="676" t="s">
        <v>2243</v>
      </c>
      <c r="C255" s="676" t="s">
        <v>2675</v>
      </c>
      <c r="D255" s="676" t="s">
        <v>2686</v>
      </c>
      <c r="E255" s="676" t="s">
        <v>2687</v>
      </c>
      <c r="F255" s="680">
        <v>0.8</v>
      </c>
      <c r="G255" s="680">
        <v>770.22</v>
      </c>
      <c r="H255" s="680"/>
      <c r="I255" s="680">
        <v>962.77499999999998</v>
      </c>
      <c r="J255" s="680"/>
      <c r="K255" s="680"/>
      <c r="L255" s="680"/>
      <c r="M255" s="680"/>
      <c r="N255" s="680"/>
      <c r="O255" s="680"/>
      <c r="P255" s="702"/>
      <c r="Q255" s="681"/>
    </row>
    <row r="256" spans="1:17" ht="14.4" customHeight="1" x14ac:dyDescent="0.3">
      <c r="A256" s="675" t="s">
        <v>484</v>
      </c>
      <c r="B256" s="676" t="s">
        <v>2243</v>
      </c>
      <c r="C256" s="676" t="s">
        <v>2675</v>
      </c>
      <c r="D256" s="676" t="s">
        <v>2688</v>
      </c>
      <c r="E256" s="676" t="s">
        <v>2689</v>
      </c>
      <c r="F256" s="680">
        <v>1.1000000000000001</v>
      </c>
      <c r="G256" s="680">
        <v>692.54</v>
      </c>
      <c r="H256" s="680">
        <v>0.16922960381789257</v>
      </c>
      <c r="I256" s="680">
        <v>629.58181818181811</v>
      </c>
      <c r="J256" s="680">
        <v>6.5000000000000009</v>
      </c>
      <c r="K256" s="680">
        <v>4092.3100000000004</v>
      </c>
      <c r="L256" s="680">
        <v>1</v>
      </c>
      <c r="M256" s="680">
        <v>629.58615384615382</v>
      </c>
      <c r="N256" s="680">
        <v>2.2000000000000002</v>
      </c>
      <c r="O256" s="680">
        <v>1385.0800000000002</v>
      </c>
      <c r="P256" s="702">
        <v>0.33845920763578519</v>
      </c>
      <c r="Q256" s="681">
        <v>629.58181818181822</v>
      </c>
    </row>
    <row r="257" spans="1:17" ht="14.4" customHeight="1" x14ac:dyDescent="0.3">
      <c r="A257" s="675" t="s">
        <v>484</v>
      </c>
      <c r="B257" s="676" t="s">
        <v>2243</v>
      </c>
      <c r="C257" s="676" t="s">
        <v>2675</v>
      </c>
      <c r="D257" s="676" t="s">
        <v>2690</v>
      </c>
      <c r="E257" s="676" t="s">
        <v>2691</v>
      </c>
      <c r="F257" s="680"/>
      <c r="G257" s="680"/>
      <c r="H257" s="680"/>
      <c r="I257" s="680"/>
      <c r="J257" s="680">
        <v>1</v>
      </c>
      <c r="K257" s="680">
        <v>2111.8000000000002</v>
      </c>
      <c r="L257" s="680">
        <v>1</v>
      </c>
      <c r="M257" s="680">
        <v>2111.8000000000002</v>
      </c>
      <c r="N257" s="680"/>
      <c r="O257" s="680"/>
      <c r="P257" s="702"/>
      <c r="Q257" s="681"/>
    </row>
    <row r="258" spans="1:17" ht="14.4" customHeight="1" x14ac:dyDescent="0.3">
      <c r="A258" s="675" t="s">
        <v>484</v>
      </c>
      <c r="B258" s="676" t="s">
        <v>2243</v>
      </c>
      <c r="C258" s="676" t="s">
        <v>2675</v>
      </c>
      <c r="D258" s="676" t="s">
        <v>2692</v>
      </c>
      <c r="E258" s="676" t="s">
        <v>2693</v>
      </c>
      <c r="F258" s="680"/>
      <c r="G258" s="680"/>
      <c r="H258" s="680"/>
      <c r="I258" s="680"/>
      <c r="J258" s="680"/>
      <c r="K258" s="680"/>
      <c r="L258" s="680"/>
      <c r="M258" s="680"/>
      <c r="N258" s="680">
        <v>6</v>
      </c>
      <c r="O258" s="680">
        <v>6205.74</v>
      </c>
      <c r="P258" s="702"/>
      <c r="Q258" s="681">
        <v>1034.29</v>
      </c>
    </row>
    <row r="259" spans="1:17" ht="14.4" customHeight="1" x14ac:dyDescent="0.3">
      <c r="A259" s="675" t="s">
        <v>484</v>
      </c>
      <c r="B259" s="676" t="s">
        <v>2243</v>
      </c>
      <c r="C259" s="676" t="s">
        <v>2675</v>
      </c>
      <c r="D259" s="676" t="s">
        <v>2694</v>
      </c>
      <c r="E259" s="676" t="s">
        <v>2693</v>
      </c>
      <c r="F259" s="680"/>
      <c r="G259" s="680"/>
      <c r="H259" s="680"/>
      <c r="I259" s="680"/>
      <c r="J259" s="680">
        <v>1</v>
      </c>
      <c r="K259" s="680">
        <v>1099.58</v>
      </c>
      <c r="L259" s="680">
        <v>1</v>
      </c>
      <c r="M259" s="680">
        <v>1099.58</v>
      </c>
      <c r="N259" s="680"/>
      <c r="O259" s="680"/>
      <c r="P259" s="702"/>
      <c r="Q259" s="681"/>
    </row>
    <row r="260" spans="1:17" ht="14.4" customHeight="1" x14ac:dyDescent="0.3">
      <c r="A260" s="675" t="s">
        <v>484</v>
      </c>
      <c r="B260" s="676" t="s">
        <v>2243</v>
      </c>
      <c r="C260" s="676" t="s">
        <v>2675</v>
      </c>
      <c r="D260" s="676" t="s">
        <v>2695</v>
      </c>
      <c r="E260" s="676" t="s">
        <v>2693</v>
      </c>
      <c r="F260" s="680"/>
      <c r="G260" s="680"/>
      <c r="H260" s="680"/>
      <c r="I260" s="680"/>
      <c r="J260" s="680">
        <v>8</v>
      </c>
      <c r="K260" s="680">
        <v>9443.36</v>
      </c>
      <c r="L260" s="680">
        <v>1</v>
      </c>
      <c r="M260" s="680">
        <v>1180.42</v>
      </c>
      <c r="N260" s="680"/>
      <c r="O260" s="680"/>
      <c r="P260" s="702"/>
      <c r="Q260" s="681"/>
    </row>
    <row r="261" spans="1:17" ht="14.4" customHeight="1" x14ac:dyDescent="0.3">
      <c r="A261" s="675" t="s">
        <v>484</v>
      </c>
      <c r="B261" s="676" t="s">
        <v>2243</v>
      </c>
      <c r="C261" s="676" t="s">
        <v>2675</v>
      </c>
      <c r="D261" s="676" t="s">
        <v>2696</v>
      </c>
      <c r="E261" s="676" t="s">
        <v>2697</v>
      </c>
      <c r="F261" s="680">
        <v>4</v>
      </c>
      <c r="G261" s="680">
        <v>2748</v>
      </c>
      <c r="H261" s="680"/>
      <c r="I261" s="680">
        <v>687</v>
      </c>
      <c r="J261" s="680"/>
      <c r="K261" s="680"/>
      <c r="L261" s="680"/>
      <c r="M261" s="680"/>
      <c r="N261" s="680"/>
      <c r="O261" s="680"/>
      <c r="P261" s="702"/>
      <c r="Q261" s="681"/>
    </row>
    <row r="262" spans="1:17" ht="14.4" customHeight="1" x14ac:dyDescent="0.3">
      <c r="A262" s="675" t="s">
        <v>484</v>
      </c>
      <c r="B262" s="676" t="s">
        <v>2243</v>
      </c>
      <c r="C262" s="676" t="s">
        <v>2675</v>
      </c>
      <c r="D262" s="676" t="s">
        <v>2698</v>
      </c>
      <c r="E262" s="676" t="s">
        <v>2699</v>
      </c>
      <c r="F262" s="680"/>
      <c r="G262" s="680"/>
      <c r="H262" s="680"/>
      <c r="I262" s="680"/>
      <c r="J262" s="680">
        <v>7</v>
      </c>
      <c r="K262" s="680">
        <v>3496.71</v>
      </c>
      <c r="L262" s="680">
        <v>1</v>
      </c>
      <c r="M262" s="680">
        <v>499.53000000000003</v>
      </c>
      <c r="N262" s="680"/>
      <c r="O262" s="680"/>
      <c r="P262" s="702"/>
      <c r="Q262" s="681"/>
    </row>
    <row r="263" spans="1:17" ht="14.4" customHeight="1" x14ac:dyDescent="0.3">
      <c r="A263" s="675" t="s">
        <v>484</v>
      </c>
      <c r="B263" s="676" t="s">
        <v>2243</v>
      </c>
      <c r="C263" s="676" t="s">
        <v>2675</v>
      </c>
      <c r="D263" s="676" t="s">
        <v>2700</v>
      </c>
      <c r="E263" s="676" t="s">
        <v>2699</v>
      </c>
      <c r="F263" s="680"/>
      <c r="G263" s="680"/>
      <c r="H263" s="680"/>
      <c r="I263" s="680"/>
      <c r="J263" s="680">
        <v>1</v>
      </c>
      <c r="K263" s="680">
        <v>426.98</v>
      </c>
      <c r="L263" s="680">
        <v>1</v>
      </c>
      <c r="M263" s="680">
        <v>426.98</v>
      </c>
      <c r="N263" s="680"/>
      <c r="O263" s="680"/>
      <c r="P263" s="702"/>
      <c r="Q263" s="681"/>
    </row>
    <row r="264" spans="1:17" ht="14.4" customHeight="1" x14ac:dyDescent="0.3">
      <c r="A264" s="675" t="s">
        <v>484</v>
      </c>
      <c r="B264" s="676" t="s">
        <v>2243</v>
      </c>
      <c r="C264" s="676" t="s">
        <v>2675</v>
      </c>
      <c r="D264" s="676" t="s">
        <v>2701</v>
      </c>
      <c r="E264" s="676" t="s">
        <v>2702</v>
      </c>
      <c r="F264" s="680"/>
      <c r="G264" s="680"/>
      <c r="H264" s="680"/>
      <c r="I264" s="680"/>
      <c r="J264" s="680">
        <v>2</v>
      </c>
      <c r="K264" s="680">
        <v>19315.740000000002</v>
      </c>
      <c r="L264" s="680">
        <v>1</v>
      </c>
      <c r="M264" s="680">
        <v>9657.8700000000008</v>
      </c>
      <c r="N264" s="680"/>
      <c r="O264" s="680"/>
      <c r="P264" s="702"/>
      <c r="Q264" s="681"/>
    </row>
    <row r="265" spans="1:17" ht="14.4" customHeight="1" x14ac:dyDescent="0.3">
      <c r="A265" s="675" t="s">
        <v>484</v>
      </c>
      <c r="B265" s="676" t="s">
        <v>2243</v>
      </c>
      <c r="C265" s="676" t="s">
        <v>2675</v>
      </c>
      <c r="D265" s="676" t="s">
        <v>2703</v>
      </c>
      <c r="E265" s="676" t="s">
        <v>2684</v>
      </c>
      <c r="F265" s="680"/>
      <c r="G265" s="680"/>
      <c r="H265" s="680"/>
      <c r="I265" s="680"/>
      <c r="J265" s="680">
        <v>5</v>
      </c>
      <c r="K265" s="680">
        <v>345.1</v>
      </c>
      <c r="L265" s="680">
        <v>1</v>
      </c>
      <c r="M265" s="680">
        <v>69.02000000000001</v>
      </c>
      <c r="N265" s="680">
        <v>7</v>
      </c>
      <c r="O265" s="680">
        <v>483.14</v>
      </c>
      <c r="P265" s="702">
        <v>1.4</v>
      </c>
      <c r="Q265" s="681">
        <v>69.02</v>
      </c>
    </row>
    <row r="266" spans="1:17" ht="14.4" customHeight="1" x14ac:dyDescent="0.3">
      <c r="A266" s="675" t="s">
        <v>484</v>
      </c>
      <c r="B266" s="676" t="s">
        <v>2243</v>
      </c>
      <c r="C266" s="676" t="s">
        <v>2675</v>
      </c>
      <c r="D266" s="676" t="s">
        <v>2704</v>
      </c>
      <c r="E266" s="676" t="s">
        <v>2684</v>
      </c>
      <c r="F266" s="680"/>
      <c r="G266" s="680"/>
      <c r="H266" s="680"/>
      <c r="I266" s="680"/>
      <c r="J266" s="680">
        <v>1</v>
      </c>
      <c r="K266" s="680">
        <v>84.98</v>
      </c>
      <c r="L266" s="680">
        <v>1</v>
      </c>
      <c r="M266" s="680">
        <v>84.98</v>
      </c>
      <c r="N266" s="680"/>
      <c r="O266" s="680"/>
      <c r="P266" s="702"/>
      <c r="Q266" s="681"/>
    </row>
    <row r="267" spans="1:17" ht="14.4" customHeight="1" x14ac:dyDescent="0.3">
      <c r="A267" s="675" t="s">
        <v>484</v>
      </c>
      <c r="B267" s="676" t="s">
        <v>2243</v>
      </c>
      <c r="C267" s="676" t="s">
        <v>2675</v>
      </c>
      <c r="D267" s="676" t="s">
        <v>2705</v>
      </c>
      <c r="E267" s="676" t="s">
        <v>2706</v>
      </c>
      <c r="F267" s="680">
        <v>24</v>
      </c>
      <c r="G267" s="680">
        <v>5760</v>
      </c>
      <c r="H267" s="680"/>
      <c r="I267" s="680">
        <v>240</v>
      </c>
      <c r="J267" s="680"/>
      <c r="K267" s="680"/>
      <c r="L267" s="680"/>
      <c r="M267" s="680"/>
      <c r="N267" s="680"/>
      <c r="O267" s="680"/>
      <c r="P267" s="702"/>
      <c r="Q267" s="681"/>
    </row>
    <row r="268" spans="1:17" ht="14.4" customHeight="1" x14ac:dyDescent="0.3">
      <c r="A268" s="675" t="s">
        <v>484</v>
      </c>
      <c r="B268" s="676" t="s">
        <v>2243</v>
      </c>
      <c r="C268" s="676" t="s">
        <v>2675</v>
      </c>
      <c r="D268" s="676" t="s">
        <v>2707</v>
      </c>
      <c r="E268" s="676" t="s">
        <v>2706</v>
      </c>
      <c r="F268" s="680">
        <v>1.31</v>
      </c>
      <c r="G268" s="680">
        <v>1592.96</v>
      </c>
      <c r="H268" s="680"/>
      <c r="I268" s="680">
        <v>1216</v>
      </c>
      <c r="J268" s="680"/>
      <c r="K268" s="680"/>
      <c r="L268" s="680"/>
      <c r="M268" s="680"/>
      <c r="N268" s="680"/>
      <c r="O268" s="680"/>
      <c r="P268" s="702"/>
      <c r="Q268" s="681"/>
    </row>
    <row r="269" spans="1:17" ht="14.4" customHeight="1" x14ac:dyDescent="0.3">
      <c r="A269" s="675" t="s">
        <v>484</v>
      </c>
      <c r="B269" s="676" t="s">
        <v>2243</v>
      </c>
      <c r="C269" s="676" t="s">
        <v>2675</v>
      </c>
      <c r="D269" s="676" t="s">
        <v>2708</v>
      </c>
      <c r="E269" s="676" t="s">
        <v>2709</v>
      </c>
      <c r="F269" s="680"/>
      <c r="G269" s="680"/>
      <c r="H269" s="680"/>
      <c r="I269" s="680"/>
      <c r="J269" s="680">
        <v>1</v>
      </c>
      <c r="K269" s="680">
        <v>14345.35</v>
      </c>
      <c r="L269" s="680">
        <v>1</v>
      </c>
      <c r="M269" s="680">
        <v>14345.35</v>
      </c>
      <c r="N269" s="680"/>
      <c r="O269" s="680"/>
      <c r="P269" s="702"/>
      <c r="Q269" s="681"/>
    </row>
    <row r="270" spans="1:17" ht="14.4" customHeight="1" x14ac:dyDescent="0.3">
      <c r="A270" s="675" t="s">
        <v>484</v>
      </c>
      <c r="B270" s="676" t="s">
        <v>2243</v>
      </c>
      <c r="C270" s="676" t="s">
        <v>2675</v>
      </c>
      <c r="D270" s="676" t="s">
        <v>2710</v>
      </c>
      <c r="E270" s="676" t="s">
        <v>2711</v>
      </c>
      <c r="F270" s="680"/>
      <c r="G270" s="680"/>
      <c r="H270" s="680"/>
      <c r="I270" s="680"/>
      <c r="J270" s="680">
        <v>2</v>
      </c>
      <c r="K270" s="680">
        <v>10881.82</v>
      </c>
      <c r="L270" s="680">
        <v>1</v>
      </c>
      <c r="M270" s="680">
        <v>5440.91</v>
      </c>
      <c r="N270" s="680"/>
      <c r="O270" s="680"/>
      <c r="P270" s="702"/>
      <c r="Q270" s="681"/>
    </row>
    <row r="271" spans="1:17" ht="14.4" customHeight="1" x14ac:dyDescent="0.3">
      <c r="A271" s="675" t="s">
        <v>484</v>
      </c>
      <c r="B271" s="676" t="s">
        <v>2243</v>
      </c>
      <c r="C271" s="676" t="s">
        <v>2675</v>
      </c>
      <c r="D271" s="676" t="s">
        <v>2712</v>
      </c>
      <c r="E271" s="676" t="s">
        <v>2713</v>
      </c>
      <c r="F271" s="680"/>
      <c r="G271" s="680"/>
      <c r="H271" s="680"/>
      <c r="I271" s="680"/>
      <c r="J271" s="680">
        <v>1</v>
      </c>
      <c r="K271" s="680">
        <v>6847</v>
      </c>
      <c r="L271" s="680">
        <v>1</v>
      </c>
      <c r="M271" s="680">
        <v>6847</v>
      </c>
      <c r="N271" s="680"/>
      <c r="O271" s="680"/>
      <c r="P271" s="702"/>
      <c r="Q271" s="681"/>
    </row>
    <row r="272" spans="1:17" ht="14.4" customHeight="1" x14ac:dyDescent="0.3">
      <c r="A272" s="675" t="s">
        <v>484</v>
      </c>
      <c r="B272" s="676" t="s">
        <v>2243</v>
      </c>
      <c r="C272" s="676" t="s">
        <v>2675</v>
      </c>
      <c r="D272" s="676" t="s">
        <v>2714</v>
      </c>
      <c r="E272" s="676" t="s">
        <v>2715</v>
      </c>
      <c r="F272" s="680">
        <v>1</v>
      </c>
      <c r="G272" s="680">
        <v>6832.75</v>
      </c>
      <c r="H272" s="680">
        <v>0.5</v>
      </c>
      <c r="I272" s="680">
        <v>6832.75</v>
      </c>
      <c r="J272" s="680">
        <v>2</v>
      </c>
      <c r="K272" s="680">
        <v>13665.5</v>
      </c>
      <c r="L272" s="680">
        <v>1</v>
      </c>
      <c r="M272" s="680">
        <v>6832.75</v>
      </c>
      <c r="N272" s="680">
        <v>1</v>
      </c>
      <c r="O272" s="680">
        <v>6559.4</v>
      </c>
      <c r="P272" s="702">
        <v>0.47999707292085908</v>
      </c>
      <c r="Q272" s="681">
        <v>6559.4</v>
      </c>
    </row>
    <row r="273" spans="1:17" ht="14.4" customHeight="1" x14ac:dyDescent="0.3">
      <c r="A273" s="675" t="s">
        <v>484</v>
      </c>
      <c r="B273" s="676" t="s">
        <v>2243</v>
      </c>
      <c r="C273" s="676" t="s">
        <v>2675</v>
      </c>
      <c r="D273" s="676" t="s">
        <v>2716</v>
      </c>
      <c r="E273" s="676" t="s">
        <v>2717</v>
      </c>
      <c r="F273" s="680">
        <v>1</v>
      </c>
      <c r="G273" s="680">
        <v>5083.3599999999997</v>
      </c>
      <c r="H273" s="680"/>
      <c r="I273" s="680">
        <v>5083.3599999999997</v>
      </c>
      <c r="J273" s="680"/>
      <c r="K273" s="680"/>
      <c r="L273" s="680"/>
      <c r="M273" s="680"/>
      <c r="N273" s="680"/>
      <c r="O273" s="680"/>
      <c r="P273" s="702"/>
      <c r="Q273" s="681"/>
    </row>
    <row r="274" spans="1:17" ht="14.4" customHeight="1" x14ac:dyDescent="0.3">
      <c r="A274" s="675" t="s">
        <v>484</v>
      </c>
      <c r="B274" s="676" t="s">
        <v>2243</v>
      </c>
      <c r="C274" s="676" t="s">
        <v>2675</v>
      </c>
      <c r="D274" s="676" t="s">
        <v>2718</v>
      </c>
      <c r="E274" s="676" t="s">
        <v>2719</v>
      </c>
      <c r="F274" s="680">
        <v>3</v>
      </c>
      <c r="G274" s="680">
        <v>19711.650000000001</v>
      </c>
      <c r="H274" s="680">
        <v>3</v>
      </c>
      <c r="I274" s="680">
        <v>6570.55</v>
      </c>
      <c r="J274" s="680">
        <v>1</v>
      </c>
      <c r="K274" s="680">
        <v>6570.55</v>
      </c>
      <c r="L274" s="680">
        <v>1</v>
      </c>
      <c r="M274" s="680">
        <v>6570.55</v>
      </c>
      <c r="N274" s="680"/>
      <c r="O274" s="680"/>
      <c r="P274" s="702"/>
      <c r="Q274" s="681"/>
    </row>
    <row r="275" spans="1:17" ht="14.4" customHeight="1" x14ac:dyDescent="0.3">
      <c r="A275" s="675" t="s">
        <v>484</v>
      </c>
      <c r="B275" s="676" t="s">
        <v>2243</v>
      </c>
      <c r="C275" s="676" t="s">
        <v>2675</v>
      </c>
      <c r="D275" s="676" t="s">
        <v>2720</v>
      </c>
      <c r="E275" s="676" t="s">
        <v>2721</v>
      </c>
      <c r="F275" s="680">
        <v>1</v>
      </c>
      <c r="G275" s="680">
        <v>713.02</v>
      </c>
      <c r="H275" s="680"/>
      <c r="I275" s="680">
        <v>713.02</v>
      </c>
      <c r="J275" s="680"/>
      <c r="K275" s="680"/>
      <c r="L275" s="680"/>
      <c r="M275" s="680"/>
      <c r="N275" s="680"/>
      <c r="O275" s="680"/>
      <c r="P275" s="702"/>
      <c r="Q275" s="681"/>
    </row>
    <row r="276" spans="1:17" ht="14.4" customHeight="1" x14ac:dyDescent="0.3">
      <c r="A276" s="675" t="s">
        <v>484</v>
      </c>
      <c r="B276" s="676" t="s">
        <v>2243</v>
      </c>
      <c r="C276" s="676" t="s">
        <v>2675</v>
      </c>
      <c r="D276" s="676" t="s">
        <v>2722</v>
      </c>
      <c r="E276" s="676" t="s">
        <v>2723</v>
      </c>
      <c r="F276" s="680">
        <v>1</v>
      </c>
      <c r="G276" s="680">
        <v>230.07</v>
      </c>
      <c r="H276" s="680"/>
      <c r="I276" s="680">
        <v>230.07</v>
      </c>
      <c r="J276" s="680"/>
      <c r="K276" s="680"/>
      <c r="L276" s="680"/>
      <c r="M276" s="680"/>
      <c r="N276" s="680"/>
      <c r="O276" s="680"/>
      <c r="P276" s="702"/>
      <c r="Q276" s="681"/>
    </row>
    <row r="277" spans="1:17" ht="14.4" customHeight="1" x14ac:dyDescent="0.3">
      <c r="A277" s="675" t="s">
        <v>484</v>
      </c>
      <c r="B277" s="676" t="s">
        <v>2243</v>
      </c>
      <c r="C277" s="676" t="s">
        <v>2675</v>
      </c>
      <c r="D277" s="676" t="s">
        <v>2724</v>
      </c>
      <c r="E277" s="676" t="s">
        <v>2725</v>
      </c>
      <c r="F277" s="680"/>
      <c r="G277" s="680"/>
      <c r="H277" s="680"/>
      <c r="I277" s="680"/>
      <c r="J277" s="680">
        <v>7</v>
      </c>
      <c r="K277" s="680">
        <v>1523.48</v>
      </c>
      <c r="L277" s="680">
        <v>1</v>
      </c>
      <c r="M277" s="680">
        <v>217.64000000000001</v>
      </c>
      <c r="N277" s="680"/>
      <c r="O277" s="680"/>
      <c r="P277" s="702"/>
      <c r="Q277" s="681"/>
    </row>
    <row r="278" spans="1:17" ht="14.4" customHeight="1" x14ac:dyDescent="0.3">
      <c r="A278" s="675" t="s">
        <v>484</v>
      </c>
      <c r="B278" s="676" t="s">
        <v>2243</v>
      </c>
      <c r="C278" s="676" t="s">
        <v>2675</v>
      </c>
      <c r="D278" s="676" t="s">
        <v>2726</v>
      </c>
      <c r="E278" s="676" t="s">
        <v>2684</v>
      </c>
      <c r="F278" s="680"/>
      <c r="G278" s="680"/>
      <c r="H278" s="680"/>
      <c r="I278" s="680"/>
      <c r="J278" s="680">
        <v>5</v>
      </c>
      <c r="K278" s="680">
        <v>606.25</v>
      </c>
      <c r="L278" s="680">
        <v>1</v>
      </c>
      <c r="M278" s="680">
        <v>121.25</v>
      </c>
      <c r="N278" s="680"/>
      <c r="O278" s="680"/>
      <c r="P278" s="702"/>
      <c r="Q278" s="681"/>
    </row>
    <row r="279" spans="1:17" ht="14.4" customHeight="1" x14ac:dyDescent="0.3">
      <c r="A279" s="675" t="s">
        <v>484</v>
      </c>
      <c r="B279" s="676" t="s">
        <v>2243</v>
      </c>
      <c r="C279" s="676" t="s">
        <v>2675</v>
      </c>
      <c r="D279" s="676" t="s">
        <v>2727</v>
      </c>
      <c r="E279" s="676" t="s">
        <v>2684</v>
      </c>
      <c r="F279" s="680"/>
      <c r="G279" s="680"/>
      <c r="H279" s="680"/>
      <c r="I279" s="680"/>
      <c r="J279" s="680"/>
      <c r="K279" s="680"/>
      <c r="L279" s="680"/>
      <c r="M279" s="680"/>
      <c r="N279" s="680">
        <v>1</v>
      </c>
      <c r="O279" s="680">
        <v>172.04</v>
      </c>
      <c r="P279" s="702"/>
      <c r="Q279" s="681">
        <v>172.04</v>
      </c>
    </row>
    <row r="280" spans="1:17" ht="14.4" customHeight="1" x14ac:dyDescent="0.3">
      <c r="A280" s="675" t="s">
        <v>484</v>
      </c>
      <c r="B280" s="676" t="s">
        <v>2243</v>
      </c>
      <c r="C280" s="676" t="s">
        <v>2675</v>
      </c>
      <c r="D280" s="676" t="s">
        <v>2728</v>
      </c>
      <c r="E280" s="676" t="s">
        <v>2684</v>
      </c>
      <c r="F280" s="680">
        <v>10</v>
      </c>
      <c r="G280" s="680">
        <v>901.6</v>
      </c>
      <c r="H280" s="680"/>
      <c r="I280" s="680">
        <v>90.16</v>
      </c>
      <c r="J280" s="680"/>
      <c r="K280" s="680"/>
      <c r="L280" s="680"/>
      <c r="M280" s="680"/>
      <c r="N280" s="680">
        <v>2</v>
      </c>
      <c r="O280" s="680">
        <v>180.32</v>
      </c>
      <c r="P280" s="702"/>
      <c r="Q280" s="681">
        <v>90.16</v>
      </c>
    </row>
    <row r="281" spans="1:17" ht="14.4" customHeight="1" x14ac:dyDescent="0.3">
      <c r="A281" s="675" t="s">
        <v>484</v>
      </c>
      <c r="B281" s="676" t="s">
        <v>2243</v>
      </c>
      <c r="C281" s="676" t="s">
        <v>2675</v>
      </c>
      <c r="D281" s="676" t="s">
        <v>2729</v>
      </c>
      <c r="E281" s="676" t="s">
        <v>2730</v>
      </c>
      <c r="F281" s="680"/>
      <c r="G281" s="680"/>
      <c r="H281" s="680"/>
      <c r="I281" s="680"/>
      <c r="J281" s="680">
        <v>1</v>
      </c>
      <c r="K281" s="680">
        <v>1831.25</v>
      </c>
      <c r="L281" s="680">
        <v>1</v>
      </c>
      <c r="M281" s="680">
        <v>1831.25</v>
      </c>
      <c r="N281" s="680"/>
      <c r="O281" s="680"/>
      <c r="P281" s="702"/>
      <c r="Q281" s="681"/>
    </row>
    <row r="282" spans="1:17" ht="14.4" customHeight="1" x14ac:dyDescent="0.3">
      <c r="A282" s="675" t="s">
        <v>484</v>
      </c>
      <c r="B282" s="676" t="s">
        <v>2243</v>
      </c>
      <c r="C282" s="676" t="s">
        <v>2675</v>
      </c>
      <c r="D282" s="676" t="s">
        <v>2731</v>
      </c>
      <c r="E282" s="676" t="s">
        <v>2732</v>
      </c>
      <c r="F282" s="680"/>
      <c r="G282" s="680"/>
      <c r="H282" s="680"/>
      <c r="I282" s="680"/>
      <c r="J282" s="680">
        <v>1</v>
      </c>
      <c r="K282" s="680">
        <v>12681.98</v>
      </c>
      <c r="L282" s="680">
        <v>1</v>
      </c>
      <c r="M282" s="680">
        <v>12681.98</v>
      </c>
      <c r="N282" s="680"/>
      <c r="O282" s="680"/>
      <c r="P282" s="702"/>
      <c r="Q282" s="681"/>
    </row>
    <row r="283" spans="1:17" ht="14.4" customHeight="1" x14ac:dyDescent="0.3">
      <c r="A283" s="675" t="s">
        <v>484</v>
      </c>
      <c r="B283" s="676" t="s">
        <v>2243</v>
      </c>
      <c r="C283" s="676" t="s">
        <v>2675</v>
      </c>
      <c r="D283" s="676" t="s">
        <v>2733</v>
      </c>
      <c r="E283" s="676" t="s">
        <v>2734</v>
      </c>
      <c r="F283" s="680"/>
      <c r="G283" s="680"/>
      <c r="H283" s="680"/>
      <c r="I283" s="680"/>
      <c r="J283" s="680"/>
      <c r="K283" s="680"/>
      <c r="L283" s="680"/>
      <c r="M283" s="680"/>
      <c r="N283" s="680">
        <v>2</v>
      </c>
      <c r="O283" s="680">
        <v>2972.3</v>
      </c>
      <c r="P283" s="702"/>
      <c r="Q283" s="681">
        <v>1486.15</v>
      </c>
    </row>
    <row r="284" spans="1:17" ht="14.4" customHeight="1" x14ac:dyDescent="0.3">
      <c r="A284" s="675" t="s">
        <v>484</v>
      </c>
      <c r="B284" s="676" t="s">
        <v>2243</v>
      </c>
      <c r="C284" s="676" t="s">
        <v>2675</v>
      </c>
      <c r="D284" s="676" t="s">
        <v>2735</v>
      </c>
      <c r="E284" s="676" t="s">
        <v>2736</v>
      </c>
      <c r="F284" s="680"/>
      <c r="G284" s="680"/>
      <c r="H284" s="680"/>
      <c r="I284" s="680"/>
      <c r="J284" s="680">
        <v>3</v>
      </c>
      <c r="K284" s="680">
        <v>7875.33</v>
      </c>
      <c r="L284" s="680">
        <v>1</v>
      </c>
      <c r="M284" s="680">
        <v>2625.11</v>
      </c>
      <c r="N284" s="680"/>
      <c r="O284" s="680"/>
      <c r="P284" s="702"/>
      <c r="Q284" s="681"/>
    </row>
    <row r="285" spans="1:17" ht="14.4" customHeight="1" x14ac:dyDescent="0.3">
      <c r="A285" s="675" t="s">
        <v>484</v>
      </c>
      <c r="B285" s="676" t="s">
        <v>2243</v>
      </c>
      <c r="C285" s="676" t="s">
        <v>2675</v>
      </c>
      <c r="D285" s="676" t="s">
        <v>2737</v>
      </c>
      <c r="E285" s="676" t="s">
        <v>2738</v>
      </c>
      <c r="F285" s="680"/>
      <c r="G285" s="680"/>
      <c r="H285" s="680"/>
      <c r="I285" s="680"/>
      <c r="J285" s="680">
        <v>2</v>
      </c>
      <c r="K285" s="680">
        <v>1448.84</v>
      </c>
      <c r="L285" s="680">
        <v>1</v>
      </c>
      <c r="M285" s="680">
        <v>724.42</v>
      </c>
      <c r="N285" s="680"/>
      <c r="O285" s="680"/>
      <c r="P285" s="702"/>
      <c r="Q285" s="681"/>
    </row>
    <row r="286" spans="1:17" ht="14.4" customHeight="1" x14ac:dyDescent="0.3">
      <c r="A286" s="675" t="s">
        <v>484</v>
      </c>
      <c r="B286" s="676" t="s">
        <v>2243</v>
      </c>
      <c r="C286" s="676" t="s">
        <v>2675</v>
      </c>
      <c r="D286" s="676" t="s">
        <v>2739</v>
      </c>
      <c r="E286" s="676" t="s">
        <v>2740</v>
      </c>
      <c r="F286" s="680"/>
      <c r="G286" s="680"/>
      <c r="H286" s="680"/>
      <c r="I286" s="680"/>
      <c r="J286" s="680">
        <v>1</v>
      </c>
      <c r="K286" s="680">
        <v>239.4</v>
      </c>
      <c r="L286" s="680">
        <v>1</v>
      </c>
      <c r="M286" s="680">
        <v>239.4</v>
      </c>
      <c r="N286" s="680"/>
      <c r="O286" s="680"/>
      <c r="P286" s="702"/>
      <c r="Q286" s="681"/>
    </row>
    <row r="287" spans="1:17" ht="14.4" customHeight="1" x14ac:dyDescent="0.3">
      <c r="A287" s="675" t="s">
        <v>484</v>
      </c>
      <c r="B287" s="676" t="s">
        <v>2243</v>
      </c>
      <c r="C287" s="676" t="s">
        <v>2675</v>
      </c>
      <c r="D287" s="676" t="s">
        <v>2741</v>
      </c>
      <c r="E287" s="676" t="s">
        <v>2742</v>
      </c>
      <c r="F287" s="680"/>
      <c r="G287" s="680"/>
      <c r="H287" s="680"/>
      <c r="I287" s="680"/>
      <c r="J287" s="680">
        <v>3</v>
      </c>
      <c r="K287" s="680">
        <v>3743.34</v>
      </c>
      <c r="L287" s="680">
        <v>1</v>
      </c>
      <c r="M287" s="680">
        <v>1247.78</v>
      </c>
      <c r="N287" s="680"/>
      <c r="O287" s="680"/>
      <c r="P287" s="702"/>
      <c r="Q287" s="681"/>
    </row>
    <row r="288" spans="1:17" ht="14.4" customHeight="1" x14ac:dyDescent="0.3">
      <c r="A288" s="675" t="s">
        <v>484</v>
      </c>
      <c r="B288" s="676" t="s">
        <v>2243</v>
      </c>
      <c r="C288" s="676" t="s">
        <v>2675</v>
      </c>
      <c r="D288" s="676" t="s">
        <v>2743</v>
      </c>
      <c r="E288" s="676" t="s">
        <v>2742</v>
      </c>
      <c r="F288" s="680"/>
      <c r="G288" s="680"/>
      <c r="H288" s="680"/>
      <c r="I288" s="680"/>
      <c r="J288" s="680">
        <v>5</v>
      </c>
      <c r="K288" s="680">
        <v>7109.45</v>
      </c>
      <c r="L288" s="680">
        <v>1</v>
      </c>
      <c r="M288" s="680">
        <v>1421.8899999999999</v>
      </c>
      <c r="N288" s="680"/>
      <c r="O288" s="680"/>
      <c r="P288" s="702"/>
      <c r="Q288" s="681"/>
    </row>
    <row r="289" spans="1:17" ht="14.4" customHeight="1" x14ac:dyDescent="0.3">
      <c r="A289" s="675" t="s">
        <v>484</v>
      </c>
      <c r="B289" s="676" t="s">
        <v>2243</v>
      </c>
      <c r="C289" s="676" t="s">
        <v>2675</v>
      </c>
      <c r="D289" s="676" t="s">
        <v>2744</v>
      </c>
      <c r="E289" s="676" t="s">
        <v>2742</v>
      </c>
      <c r="F289" s="680"/>
      <c r="G289" s="680"/>
      <c r="H289" s="680"/>
      <c r="I289" s="680"/>
      <c r="J289" s="680">
        <v>9</v>
      </c>
      <c r="K289" s="680">
        <v>14904.99</v>
      </c>
      <c r="L289" s="680">
        <v>1</v>
      </c>
      <c r="M289" s="680">
        <v>1656.11</v>
      </c>
      <c r="N289" s="680"/>
      <c r="O289" s="680"/>
      <c r="P289" s="702"/>
      <c r="Q289" s="681"/>
    </row>
    <row r="290" spans="1:17" ht="14.4" customHeight="1" x14ac:dyDescent="0.3">
      <c r="A290" s="675" t="s">
        <v>484</v>
      </c>
      <c r="B290" s="676" t="s">
        <v>2243</v>
      </c>
      <c r="C290" s="676" t="s">
        <v>2675</v>
      </c>
      <c r="D290" s="676" t="s">
        <v>2745</v>
      </c>
      <c r="E290" s="676" t="s">
        <v>2746</v>
      </c>
      <c r="F290" s="680"/>
      <c r="G290" s="680"/>
      <c r="H290" s="680"/>
      <c r="I290" s="680"/>
      <c r="J290" s="680">
        <v>3</v>
      </c>
      <c r="K290" s="680">
        <v>4259.46</v>
      </c>
      <c r="L290" s="680">
        <v>1</v>
      </c>
      <c r="M290" s="680">
        <v>1419.82</v>
      </c>
      <c r="N290" s="680">
        <v>3</v>
      </c>
      <c r="O290" s="680">
        <v>4259.46</v>
      </c>
      <c r="P290" s="702">
        <v>1</v>
      </c>
      <c r="Q290" s="681">
        <v>1419.82</v>
      </c>
    </row>
    <row r="291" spans="1:17" ht="14.4" customHeight="1" x14ac:dyDescent="0.3">
      <c r="A291" s="675" t="s">
        <v>484</v>
      </c>
      <c r="B291" s="676" t="s">
        <v>2243</v>
      </c>
      <c r="C291" s="676" t="s">
        <v>2675</v>
      </c>
      <c r="D291" s="676" t="s">
        <v>2747</v>
      </c>
      <c r="E291" s="676" t="s">
        <v>2746</v>
      </c>
      <c r="F291" s="680"/>
      <c r="G291" s="680"/>
      <c r="H291" s="680"/>
      <c r="I291" s="680"/>
      <c r="J291" s="680">
        <v>1</v>
      </c>
      <c r="K291" s="680">
        <v>1547.29</v>
      </c>
      <c r="L291" s="680">
        <v>1</v>
      </c>
      <c r="M291" s="680">
        <v>1547.29</v>
      </c>
      <c r="N291" s="680">
        <v>2</v>
      </c>
      <c r="O291" s="680">
        <v>3094.58</v>
      </c>
      <c r="P291" s="702">
        <v>2</v>
      </c>
      <c r="Q291" s="681">
        <v>1547.29</v>
      </c>
    </row>
    <row r="292" spans="1:17" ht="14.4" customHeight="1" x14ac:dyDescent="0.3">
      <c r="A292" s="675" t="s">
        <v>484</v>
      </c>
      <c r="B292" s="676" t="s">
        <v>2243</v>
      </c>
      <c r="C292" s="676" t="s">
        <v>2675</v>
      </c>
      <c r="D292" s="676" t="s">
        <v>2748</v>
      </c>
      <c r="E292" s="676" t="s">
        <v>2749</v>
      </c>
      <c r="F292" s="680">
        <v>7</v>
      </c>
      <c r="G292" s="680">
        <v>13203.26</v>
      </c>
      <c r="H292" s="680"/>
      <c r="I292" s="680">
        <v>1886.18</v>
      </c>
      <c r="J292" s="680"/>
      <c r="K292" s="680"/>
      <c r="L292" s="680"/>
      <c r="M292" s="680"/>
      <c r="N292" s="680"/>
      <c r="O292" s="680"/>
      <c r="P292" s="702"/>
      <c r="Q292" s="681"/>
    </row>
    <row r="293" spans="1:17" ht="14.4" customHeight="1" x14ac:dyDescent="0.3">
      <c r="A293" s="675" t="s">
        <v>484</v>
      </c>
      <c r="B293" s="676" t="s">
        <v>2243</v>
      </c>
      <c r="C293" s="676" t="s">
        <v>2675</v>
      </c>
      <c r="D293" s="676" t="s">
        <v>2750</v>
      </c>
      <c r="E293" s="676" t="s">
        <v>2749</v>
      </c>
      <c r="F293" s="680">
        <v>2</v>
      </c>
      <c r="G293" s="680">
        <v>4068.76</v>
      </c>
      <c r="H293" s="680"/>
      <c r="I293" s="680">
        <v>2034.38</v>
      </c>
      <c r="J293" s="680"/>
      <c r="K293" s="680"/>
      <c r="L293" s="680"/>
      <c r="M293" s="680"/>
      <c r="N293" s="680"/>
      <c r="O293" s="680"/>
      <c r="P293" s="702"/>
      <c r="Q293" s="681"/>
    </row>
    <row r="294" spans="1:17" ht="14.4" customHeight="1" x14ac:dyDescent="0.3">
      <c r="A294" s="675" t="s">
        <v>484</v>
      </c>
      <c r="B294" s="676" t="s">
        <v>2243</v>
      </c>
      <c r="C294" s="676" t="s">
        <v>2675</v>
      </c>
      <c r="D294" s="676" t="s">
        <v>2751</v>
      </c>
      <c r="E294" s="676" t="s">
        <v>2749</v>
      </c>
      <c r="F294" s="680">
        <v>2</v>
      </c>
      <c r="G294" s="680">
        <v>4456.3599999999997</v>
      </c>
      <c r="H294" s="680"/>
      <c r="I294" s="680">
        <v>2228.1799999999998</v>
      </c>
      <c r="J294" s="680"/>
      <c r="K294" s="680"/>
      <c r="L294" s="680"/>
      <c r="M294" s="680"/>
      <c r="N294" s="680"/>
      <c r="O294" s="680"/>
      <c r="P294" s="702"/>
      <c r="Q294" s="681"/>
    </row>
    <row r="295" spans="1:17" ht="14.4" customHeight="1" x14ac:dyDescent="0.3">
      <c r="A295" s="675" t="s">
        <v>484</v>
      </c>
      <c r="B295" s="676" t="s">
        <v>2243</v>
      </c>
      <c r="C295" s="676" t="s">
        <v>2675</v>
      </c>
      <c r="D295" s="676" t="s">
        <v>2752</v>
      </c>
      <c r="E295" s="676" t="s">
        <v>2753</v>
      </c>
      <c r="F295" s="680"/>
      <c r="G295" s="680"/>
      <c r="H295" s="680"/>
      <c r="I295" s="680"/>
      <c r="J295" s="680">
        <v>1</v>
      </c>
      <c r="K295" s="680">
        <v>4834.6400000000003</v>
      </c>
      <c r="L295" s="680">
        <v>1</v>
      </c>
      <c r="M295" s="680">
        <v>4834.6400000000003</v>
      </c>
      <c r="N295" s="680"/>
      <c r="O295" s="680"/>
      <c r="P295" s="702"/>
      <c r="Q295" s="681"/>
    </row>
    <row r="296" spans="1:17" ht="14.4" customHeight="1" x14ac:dyDescent="0.3">
      <c r="A296" s="675" t="s">
        <v>484</v>
      </c>
      <c r="B296" s="676" t="s">
        <v>2243</v>
      </c>
      <c r="C296" s="676" t="s">
        <v>2675</v>
      </c>
      <c r="D296" s="676" t="s">
        <v>2754</v>
      </c>
      <c r="E296" s="676" t="s">
        <v>2755</v>
      </c>
      <c r="F296" s="680">
        <v>4</v>
      </c>
      <c r="G296" s="680">
        <v>3157.16</v>
      </c>
      <c r="H296" s="680">
        <v>0.2</v>
      </c>
      <c r="I296" s="680">
        <v>789.29</v>
      </c>
      <c r="J296" s="680">
        <v>20</v>
      </c>
      <c r="K296" s="680">
        <v>15785.8</v>
      </c>
      <c r="L296" s="680">
        <v>1</v>
      </c>
      <c r="M296" s="680">
        <v>789.29</v>
      </c>
      <c r="N296" s="680">
        <v>8</v>
      </c>
      <c r="O296" s="680">
        <v>6314.32</v>
      </c>
      <c r="P296" s="702">
        <v>0.4</v>
      </c>
      <c r="Q296" s="681">
        <v>789.29</v>
      </c>
    </row>
    <row r="297" spans="1:17" ht="14.4" customHeight="1" x14ac:dyDescent="0.3">
      <c r="A297" s="675" t="s">
        <v>484</v>
      </c>
      <c r="B297" s="676" t="s">
        <v>2243</v>
      </c>
      <c r="C297" s="676" t="s">
        <v>2675</v>
      </c>
      <c r="D297" s="676" t="s">
        <v>2756</v>
      </c>
      <c r="E297" s="676" t="s">
        <v>2749</v>
      </c>
      <c r="F297" s="680">
        <v>8</v>
      </c>
      <c r="G297" s="680">
        <v>19831.84</v>
      </c>
      <c r="H297" s="680"/>
      <c r="I297" s="680">
        <v>2478.98</v>
      </c>
      <c r="J297" s="680"/>
      <c r="K297" s="680"/>
      <c r="L297" s="680"/>
      <c r="M297" s="680"/>
      <c r="N297" s="680"/>
      <c r="O297" s="680"/>
      <c r="P297" s="702"/>
      <c r="Q297" s="681"/>
    </row>
    <row r="298" spans="1:17" ht="14.4" customHeight="1" x14ac:dyDescent="0.3">
      <c r="A298" s="675" t="s">
        <v>484</v>
      </c>
      <c r="B298" s="676" t="s">
        <v>2243</v>
      </c>
      <c r="C298" s="676" t="s">
        <v>2675</v>
      </c>
      <c r="D298" s="676" t="s">
        <v>2757</v>
      </c>
      <c r="E298" s="676" t="s">
        <v>2758</v>
      </c>
      <c r="F298" s="680"/>
      <c r="G298" s="680"/>
      <c r="H298" s="680"/>
      <c r="I298" s="680"/>
      <c r="J298" s="680">
        <v>1</v>
      </c>
      <c r="K298" s="680">
        <v>8222.51</v>
      </c>
      <c r="L298" s="680">
        <v>1</v>
      </c>
      <c r="M298" s="680">
        <v>8222.51</v>
      </c>
      <c r="N298" s="680"/>
      <c r="O298" s="680"/>
      <c r="P298" s="702"/>
      <c r="Q298" s="681"/>
    </row>
    <row r="299" spans="1:17" ht="14.4" customHeight="1" x14ac:dyDescent="0.3">
      <c r="A299" s="675" t="s">
        <v>484</v>
      </c>
      <c r="B299" s="676" t="s">
        <v>2243</v>
      </c>
      <c r="C299" s="676" t="s">
        <v>2675</v>
      </c>
      <c r="D299" s="676" t="s">
        <v>2759</v>
      </c>
      <c r="E299" s="676" t="s">
        <v>2746</v>
      </c>
      <c r="F299" s="680"/>
      <c r="G299" s="680"/>
      <c r="H299" s="680"/>
      <c r="I299" s="680"/>
      <c r="J299" s="680"/>
      <c r="K299" s="680"/>
      <c r="L299" s="680"/>
      <c r="M299" s="680"/>
      <c r="N299" s="680">
        <v>2</v>
      </c>
      <c r="O299" s="680">
        <v>2549.46</v>
      </c>
      <c r="P299" s="702"/>
      <c r="Q299" s="681">
        <v>1274.73</v>
      </c>
    </row>
    <row r="300" spans="1:17" ht="14.4" customHeight="1" x14ac:dyDescent="0.3">
      <c r="A300" s="675" t="s">
        <v>484</v>
      </c>
      <c r="B300" s="676" t="s">
        <v>2243</v>
      </c>
      <c r="C300" s="676" t="s">
        <v>2675</v>
      </c>
      <c r="D300" s="676" t="s">
        <v>2760</v>
      </c>
      <c r="E300" s="676" t="s">
        <v>2761</v>
      </c>
      <c r="F300" s="680"/>
      <c r="G300" s="680"/>
      <c r="H300" s="680"/>
      <c r="I300" s="680"/>
      <c r="J300" s="680"/>
      <c r="K300" s="680"/>
      <c r="L300" s="680"/>
      <c r="M300" s="680"/>
      <c r="N300" s="680">
        <v>1</v>
      </c>
      <c r="O300" s="680">
        <v>12640.53</v>
      </c>
      <c r="P300" s="702"/>
      <c r="Q300" s="681">
        <v>12640.53</v>
      </c>
    </row>
    <row r="301" spans="1:17" ht="14.4" customHeight="1" x14ac:dyDescent="0.3">
      <c r="A301" s="675" t="s">
        <v>484</v>
      </c>
      <c r="B301" s="676" t="s">
        <v>2243</v>
      </c>
      <c r="C301" s="676" t="s">
        <v>2675</v>
      </c>
      <c r="D301" s="676" t="s">
        <v>2762</v>
      </c>
      <c r="E301" s="676" t="s">
        <v>2763</v>
      </c>
      <c r="F301" s="680">
        <v>1</v>
      </c>
      <c r="G301" s="680">
        <v>10628.95</v>
      </c>
      <c r="H301" s="680">
        <v>0.5</v>
      </c>
      <c r="I301" s="680">
        <v>10628.95</v>
      </c>
      <c r="J301" s="680">
        <v>2</v>
      </c>
      <c r="K301" s="680">
        <v>21257.9</v>
      </c>
      <c r="L301" s="680">
        <v>1</v>
      </c>
      <c r="M301" s="680">
        <v>10628.95</v>
      </c>
      <c r="N301" s="680"/>
      <c r="O301" s="680"/>
      <c r="P301" s="702"/>
      <c r="Q301" s="681"/>
    </row>
    <row r="302" spans="1:17" ht="14.4" customHeight="1" x14ac:dyDescent="0.3">
      <c r="A302" s="675" t="s">
        <v>484</v>
      </c>
      <c r="B302" s="676" t="s">
        <v>2243</v>
      </c>
      <c r="C302" s="676" t="s">
        <v>2675</v>
      </c>
      <c r="D302" s="676" t="s">
        <v>2764</v>
      </c>
      <c r="E302" s="676" t="s">
        <v>2765</v>
      </c>
      <c r="F302" s="680">
        <v>3</v>
      </c>
      <c r="G302" s="680">
        <v>3088.26</v>
      </c>
      <c r="H302" s="680">
        <v>0.75</v>
      </c>
      <c r="I302" s="680">
        <v>1029.42</v>
      </c>
      <c r="J302" s="680">
        <v>4</v>
      </c>
      <c r="K302" s="680">
        <v>4117.68</v>
      </c>
      <c r="L302" s="680">
        <v>1</v>
      </c>
      <c r="M302" s="680">
        <v>1029.42</v>
      </c>
      <c r="N302" s="680"/>
      <c r="O302" s="680"/>
      <c r="P302" s="702"/>
      <c r="Q302" s="681"/>
    </row>
    <row r="303" spans="1:17" ht="14.4" customHeight="1" x14ac:dyDescent="0.3">
      <c r="A303" s="675" t="s">
        <v>484</v>
      </c>
      <c r="B303" s="676" t="s">
        <v>2243</v>
      </c>
      <c r="C303" s="676" t="s">
        <v>2675</v>
      </c>
      <c r="D303" s="676" t="s">
        <v>2766</v>
      </c>
      <c r="E303" s="676" t="s">
        <v>2767</v>
      </c>
      <c r="F303" s="680">
        <v>1</v>
      </c>
      <c r="G303" s="680">
        <v>28950</v>
      </c>
      <c r="H303" s="680"/>
      <c r="I303" s="680">
        <v>28950</v>
      </c>
      <c r="J303" s="680"/>
      <c r="K303" s="680"/>
      <c r="L303" s="680"/>
      <c r="M303" s="680"/>
      <c r="N303" s="680">
        <v>2</v>
      </c>
      <c r="O303" s="680">
        <v>57900</v>
      </c>
      <c r="P303" s="702"/>
      <c r="Q303" s="681">
        <v>28950</v>
      </c>
    </row>
    <row r="304" spans="1:17" ht="14.4" customHeight="1" x14ac:dyDescent="0.3">
      <c r="A304" s="675" t="s">
        <v>484</v>
      </c>
      <c r="B304" s="676" t="s">
        <v>2243</v>
      </c>
      <c r="C304" s="676" t="s">
        <v>2675</v>
      </c>
      <c r="D304" s="676" t="s">
        <v>2768</v>
      </c>
      <c r="E304" s="676" t="s">
        <v>2769</v>
      </c>
      <c r="F304" s="680"/>
      <c r="G304" s="680"/>
      <c r="H304" s="680"/>
      <c r="I304" s="680"/>
      <c r="J304" s="680">
        <v>1</v>
      </c>
      <c r="K304" s="680">
        <v>60099</v>
      </c>
      <c r="L304" s="680">
        <v>1</v>
      </c>
      <c r="M304" s="680">
        <v>60099</v>
      </c>
      <c r="N304" s="680"/>
      <c r="O304" s="680"/>
      <c r="P304" s="702"/>
      <c r="Q304" s="681"/>
    </row>
    <row r="305" spans="1:17" ht="14.4" customHeight="1" x14ac:dyDescent="0.3">
      <c r="A305" s="675" t="s">
        <v>484</v>
      </c>
      <c r="B305" s="676" t="s">
        <v>2243</v>
      </c>
      <c r="C305" s="676" t="s">
        <v>2675</v>
      </c>
      <c r="D305" s="676" t="s">
        <v>2770</v>
      </c>
      <c r="E305" s="676" t="s">
        <v>2771</v>
      </c>
      <c r="F305" s="680"/>
      <c r="G305" s="680"/>
      <c r="H305" s="680"/>
      <c r="I305" s="680"/>
      <c r="J305" s="680"/>
      <c r="K305" s="680"/>
      <c r="L305" s="680"/>
      <c r="M305" s="680"/>
      <c r="N305" s="680">
        <v>6</v>
      </c>
      <c r="O305" s="680">
        <v>3824.16</v>
      </c>
      <c r="P305" s="702"/>
      <c r="Q305" s="681">
        <v>637.36</v>
      </c>
    </row>
    <row r="306" spans="1:17" ht="14.4" customHeight="1" x14ac:dyDescent="0.3">
      <c r="A306" s="675" t="s">
        <v>484</v>
      </c>
      <c r="B306" s="676" t="s">
        <v>2243</v>
      </c>
      <c r="C306" s="676" t="s">
        <v>2675</v>
      </c>
      <c r="D306" s="676" t="s">
        <v>2772</v>
      </c>
      <c r="E306" s="676" t="s">
        <v>2773</v>
      </c>
      <c r="F306" s="680"/>
      <c r="G306" s="680"/>
      <c r="H306" s="680"/>
      <c r="I306" s="680"/>
      <c r="J306" s="680"/>
      <c r="K306" s="680"/>
      <c r="L306" s="680"/>
      <c r="M306" s="680"/>
      <c r="N306" s="680">
        <v>1</v>
      </c>
      <c r="O306" s="680">
        <v>595</v>
      </c>
      <c r="P306" s="702"/>
      <c r="Q306" s="681">
        <v>595</v>
      </c>
    </row>
    <row r="307" spans="1:17" ht="14.4" customHeight="1" x14ac:dyDescent="0.3">
      <c r="A307" s="675" t="s">
        <v>484</v>
      </c>
      <c r="B307" s="676" t="s">
        <v>2243</v>
      </c>
      <c r="C307" s="676" t="s">
        <v>2675</v>
      </c>
      <c r="D307" s="676" t="s">
        <v>2774</v>
      </c>
      <c r="E307" s="676" t="s">
        <v>2775</v>
      </c>
      <c r="F307" s="680"/>
      <c r="G307" s="680"/>
      <c r="H307" s="680"/>
      <c r="I307" s="680"/>
      <c r="J307" s="680">
        <v>2</v>
      </c>
      <c r="K307" s="680">
        <v>1803.28</v>
      </c>
      <c r="L307" s="680">
        <v>1</v>
      </c>
      <c r="M307" s="680">
        <v>901.64</v>
      </c>
      <c r="N307" s="680"/>
      <c r="O307" s="680"/>
      <c r="P307" s="702"/>
      <c r="Q307" s="681"/>
    </row>
    <row r="308" spans="1:17" ht="14.4" customHeight="1" x14ac:dyDescent="0.3">
      <c r="A308" s="675" t="s">
        <v>484</v>
      </c>
      <c r="B308" s="676" t="s">
        <v>2243</v>
      </c>
      <c r="C308" s="676" t="s">
        <v>2675</v>
      </c>
      <c r="D308" s="676" t="s">
        <v>2776</v>
      </c>
      <c r="E308" s="676" t="s">
        <v>2777</v>
      </c>
      <c r="F308" s="680"/>
      <c r="G308" s="680"/>
      <c r="H308" s="680"/>
      <c r="I308" s="680"/>
      <c r="J308" s="680"/>
      <c r="K308" s="680"/>
      <c r="L308" s="680"/>
      <c r="M308" s="680"/>
      <c r="N308" s="680">
        <v>1</v>
      </c>
      <c r="O308" s="680">
        <v>11201.4</v>
      </c>
      <c r="P308" s="702"/>
      <c r="Q308" s="681">
        <v>11201.4</v>
      </c>
    </row>
    <row r="309" spans="1:17" ht="14.4" customHeight="1" x14ac:dyDescent="0.3">
      <c r="A309" s="675" t="s">
        <v>484</v>
      </c>
      <c r="B309" s="676" t="s">
        <v>2243</v>
      </c>
      <c r="C309" s="676" t="s">
        <v>2675</v>
      </c>
      <c r="D309" s="676" t="s">
        <v>2778</v>
      </c>
      <c r="E309" s="676" t="s">
        <v>2779</v>
      </c>
      <c r="F309" s="680"/>
      <c r="G309" s="680"/>
      <c r="H309" s="680"/>
      <c r="I309" s="680"/>
      <c r="J309" s="680"/>
      <c r="K309" s="680"/>
      <c r="L309" s="680"/>
      <c r="M309" s="680"/>
      <c r="N309" s="680">
        <v>1</v>
      </c>
      <c r="O309" s="680">
        <v>9701</v>
      </c>
      <c r="P309" s="702"/>
      <c r="Q309" s="681">
        <v>9701</v>
      </c>
    </row>
    <row r="310" spans="1:17" ht="14.4" customHeight="1" x14ac:dyDescent="0.3">
      <c r="A310" s="675" t="s">
        <v>484</v>
      </c>
      <c r="B310" s="676" t="s">
        <v>2243</v>
      </c>
      <c r="C310" s="676" t="s">
        <v>2675</v>
      </c>
      <c r="D310" s="676" t="s">
        <v>2780</v>
      </c>
      <c r="E310" s="676" t="s">
        <v>2781</v>
      </c>
      <c r="F310" s="680"/>
      <c r="G310" s="680"/>
      <c r="H310" s="680"/>
      <c r="I310" s="680"/>
      <c r="J310" s="680">
        <v>1</v>
      </c>
      <c r="K310" s="680">
        <v>23608.2</v>
      </c>
      <c r="L310" s="680">
        <v>1</v>
      </c>
      <c r="M310" s="680">
        <v>23608.2</v>
      </c>
      <c r="N310" s="680">
        <v>1</v>
      </c>
      <c r="O310" s="680">
        <v>23608.2</v>
      </c>
      <c r="P310" s="702">
        <v>1</v>
      </c>
      <c r="Q310" s="681">
        <v>23608.2</v>
      </c>
    </row>
    <row r="311" spans="1:17" ht="14.4" customHeight="1" x14ac:dyDescent="0.3">
      <c r="A311" s="675" t="s">
        <v>484</v>
      </c>
      <c r="B311" s="676" t="s">
        <v>2243</v>
      </c>
      <c r="C311" s="676" t="s">
        <v>2675</v>
      </c>
      <c r="D311" s="676" t="s">
        <v>2782</v>
      </c>
      <c r="E311" s="676" t="s">
        <v>2783</v>
      </c>
      <c r="F311" s="680">
        <v>3</v>
      </c>
      <c r="G311" s="680">
        <v>671.55</v>
      </c>
      <c r="H311" s="680"/>
      <c r="I311" s="680">
        <v>223.85</v>
      </c>
      <c r="J311" s="680"/>
      <c r="K311" s="680"/>
      <c r="L311" s="680"/>
      <c r="M311" s="680"/>
      <c r="N311" s="680"/>
      <c r="O311" s="680"/>
      <c r="P311" s="702"/>
      <c r="Q311" s="681"/>
    </row>
    <row r="312" spans="1:17" ht="14.4" customHeight="1" x14ac:dyDescent="0.3">
      <c r="A312" s="675" t="s">
        <v>484</v>
      </c>
      <c r="B312" s="676" t="s">
        <v>2243</v>
      </c>
      <c r="C312" s="676" t="s">
        <v>2675</v>
      </c>
      <c r="D312" s="676" t="s">
        <v>2784</v>
      </c>
      <c r="E312" s="676" t="s">
        <v>2785</v>
      </c>
      <c r="F312" s="680"/>
      <c r="G312" s="680"/>
      <c r="H312" s="680"/>
      <c r="I312" s="680"/>
      <c r="J312" s="680">
        <v>2</v>
      </c>
      <c r="K312" s="680">
        <v>13194.16</v>
      </c>
      <c r="L312" s="680">
        <v>1</v>
      </c>
      <c r="M312" s="680">
        <v>6597.08</v>
      </c>
      <c r="N312" s="680"/>
      <c r="O312" s="680"/>
      <c r="P312" s="702"/>
      <c r="Q312" s="681"/>
    </row>
    <row r="313" spans="1:17" ht="14.4" customHeight="1" x14ac:dyDescent="0.3">
      <c r="A313" s="675" t="s">
        <v>484</v>
      </c>
      <c r="B313" s="676" t="s">
        <v>2243</v>
      </c>
      <c r="C313" s="676" t="s">
        <v>2675</v>
      </c>
      <c r="D313" s="676" t="s">
        <v>2786</v>
      </c>
      <c r="E313" s="676" t="s">
        <v>2787</v>
      </c>
      <c r="F313" s="680"/>
      <c r="G313" s="680"/>
      <c r="H313" s="680"/>
      <c r="I313" s="680"/>
      <c r="J313" s="680">
        <v>1</v>
      </c>
      <c r="K313" s="680">
        <v>408.74</v>
      </c>
      <c r="L313" s="680">
        <v>1</v>
      </c>
      <c r="M313" s="680">
        <v>408.74</v>
      </c>
      <c r="N313" s="680"/>
      <c r="O313" s="680"/>
      <c r="P313" s="702"/>
      <c r="Q313" s="681"/>
    </row>
    <row r="314" spans="1:17" ht="14.4" customHeight="1" x14ac:dyDescent="0.3">
      <c r="A314" s="675" t="s">
        <v>484</v>
      </c>
      <c r="B314" s="676" t="s">
        <v>2243</v>
      </c>
      <c r="C314" s="676" t="s">
        <v>2675</v>
      </c>
      <c r="D314" s="676" t="s">
        <v>2788</v>
      </c>
      <c r="E314" s="676" t="s">
        <v>2789</v>
      </c>
      <c r="F314" s="680"/>
      <c r="G314" s="680"/>
      <c r="H314" s="680"/>
      <c r="I314" s="680"/>
      <c r="J314" s="680">
        <v>6</v>
      </c>
      <c r="K314" s="680">
        <v>22285.32</v>
      </c>
      <c r="L314" s="680">
        <v>1</v>
      </c>
      <c r="M314" s="680">
        <v>3714.22</v>
      </c>
      <c r="N314" s="680"/>
      <c r="O314" s="680"/>
      <c r="P314" s="702"/>
      <c r="Q314" s="681"/>
    </row>
    <row r="315" spans="1:17" ht="14.4" customHeight="1" x14ac:dyDescent="0.3">
      <c r="A315" s="675" t="s">
        <v>484</v>
      </c>
      <c r="B315" s="676" t="s">
        <v>2243</v>
      </c>
      <c r="C315" s="676" t="s">
        <v>2675</v>
      </c>
      <c r="D315" s="676" t="s">
        <v>2790</v>
      </c>
      <c r="E315" s="676" t="s">
        <v>2791</v>
      </c>
      <c r="F315" s="680"/>
      <c r="G315" s="680"/>
      <c r="H315" s="680"/>
      <c r="I315" s="680"/>
      <c r="J315" s="680">
        <v>5</v>
      </c>
      <c r="K315" s="680">
        <v>50621.2</v>
      </c>
      <c r="L315" s="680">
        <v>1</v>
      </c>
      <c r="M315" s="680">
        <v>10124.24</v>
      </c>
      <c r="N315" s="680"/>
      <c r="O315" s="680"/>
      <c r="P315" s="702"/>
      <c r="Q315" s="681"/>
    </row>
    <row r="316" spans="1:17" ht="14.4" customHeight="1" x14ac:dyDescent="0.3">
      <c r="A316" s="675" t="s">
        <v>484</v>
      </c>
      <c r="B316" s="676" t="s">
        <v>2243</v>
      </c>
      <c r="C316" s="676" t="s">
        <v>2675</v>
      </c>
      <c r="D316" s="676" t="s">
        <v>2792</v>
      </c>
      <c r="E316" s="676" t="s">
        <v>2793</v>
      </c>
      <c r="F316" s="680"/>
      <c r="G316" s="680"/>
      <c r="H316" s="680"/>
      <c r="I316" s="680"/>
      <c r="J316" s="680">
        <v>3</v>
      </c>
      <c r="K316" s="680">
        <v>19991.13</v>
      </c>
      <c r="L316" s="680">
        <v>1</v>
      </c>
      <c r="M316" s="680">
        <v>6663.71</v>
      </c>
      <c r="N316" s="680"/>
      <c r="O316" s="680"/>
      <c r="P316" s="702"/>
      <c r="Q316" s="681"/>
    </row>
    <row r="317" spans="1:17" ht="14.4" customHeight="1" x14ac:dyDescent="0.3">
      <c r="A317" s="675" t="s">
        <v>484</v>
      </c>
      <c r="B317" s="676" t="s">
        <v>2243</v>
      </c>
      <c r="C317" s="676" t="s">
        <v>2675</v>
      </c>
      <c r="D317" s="676" t="s">
        <v>2794</v>
      </c>
      <c r="E317" s="676" t="s">
        <v>2795</v>
      </c>
      <c r="F317" s="680"/>
      <c r="G317" s="680"/>
      <c r="H317" s="680"/>
      <c r="I317" s="680"/>
      <c r="J317" s="680"/>
      <c r="K317" s="680"/>
      <c r="L317" s="680"/>
      <c r="M317" s="680"/>
      <c r="N317" s="680">
        <v>1</v>
      </c>
      <c r="O317" s="680">
        <v>69228.990000000005</v>
      </c>
      <c r="P317" s="702"/>
      <c r="Q317" s="681">
        <v>69228.990000000005</v>
      </c>
    </row>
    <row r="318" spans="1:17" ht="14.4" customHeight="1" x14ac:dyDescent="0.3">
      <c r="A318" s="675" t="s">
        <v>484</v>
      </c>
      <c r="B318" s="676" t="s">
        <v>2243</v>
      </c>
      <c r="C318" s="676" t="s">
        <v>2675</v>
      </c>
      <c r="D318" s="676" t="s">
        <v>2796</v>
      </c>
      <c r="E318" s="676" t="s">
        <v>2797</v>
      </c>
      <c r="F318" s="680">
        <v>1</v>
      </c>
      <c r="G318" s="680">
        <v>2156.67</v>
      </c>
      <c r="H318" s="680"/>
      <c r="I318" s="680">
        <v>2156.67</v>
      </c>
      <c r="J318" s="680"/>
      <c r="K318" s="680"/>
      <c r="L318" s="680"/>
      <c r="M318" s="680"/>
      <c r="N318" s="680"/>
      <c r="O318" s="680"/>
      <c r="P318" s="702"/>
      <c r="Q318" s="681"/>
    </row>
    <row r="319" spans="1:17" ht="14.4" customHeight="1" x14ac:dyDescent="0.3">
      <c r="A319" s="675" t="s">
        <v>484</v>
      </c>
      <c r="B319" s="676" t="s">
        <v>2243</v>
      </c>
      <c r="C319" s="676" t="s">
        <v>2675</v>
      </c>
      <c r="D319" s="676" t="s">
        <v>2798</v>
      </c>
      <c r="E319" s="676" t="s">
        <v>2799</v>
      </c>
      <c r="F319" s="680">
        <v>1</v>
      </c>
      <c r="G319" s="680">
        <v>3938.18</v>
      </c>
      <c r="H319" s="680"/>
      <c r="I319" s="680">
        <v>3938.18</v>
      </c>
      <c r="J319" s="680"/>
      <c r="K319" s="680"/>
      <c r="L319" s="680"/>
      <c r="M319" s="680"/>
      <c r="N319" s="680"/>
      <c r="O319" s="680"/>
      <c r="P319" s="702"/>
      <c r="Q319" s="681"/>
    </row>
    <row r="320" spans="1:17" ht="14.4" customHeight="1" x14ac:dyDescent="0.3">
      <c r="A320" s="675" t="s">
        <v>484</v>
      </c>
      <c r="B320" s="676" t="s">
        <v>2243</v>
      </c>
      <c r="C320" s="676" t="s">
        <v>2675</v>
      </c>
      <c r="D320" s="676" t="s">
        <v>2800</v>
      </c>
      <c r="E320" s="676" t="s">
        <v>2801</v>
      </c>
      <c r="F320" s="680">
        <v>2</v>
      </c>
      <c r="G320" s="680">
        <v>1480</v>
      </c>
      <c r="H320" s="680"/>
      <c r="I320" s="680">
        <v>740</v>
      </c>
      <c r="J320" s="680"/>
      <c r="K320" s="680"/>
      <c r="L320" s="680"/>
      <c r="M320" s="680"/>
      <c r="N320" s="680"/>
      <c r="O320" s="680"/>
      <c r="P320" s="702"/>
      <c r="Q320" s="681"/>
    </row>
    <row r="321" spans="1:17" ht="14.4" customHeight="1" x14ac:dyDescent="0.3">
      <c r="A321" s="675" t="s">
        <v>484</v>
      </c>
      <c r="B321" s="676" t="s">
        <v>2243</v>
      </c>
      <c r="C321" s="676" t="s">
        <v>2675</v>
      </c>
      <c r="D321" s="676" t="s">
        <v>2802</v>
      </c>
      <c r="E321" s="676" t="s">
        <v>2803</v>
      </c>
      <c r="F321" s="680"/>
      <c r="G321" s="680"/>
      <c r="H321" s="680"/>
      <c r="I321" s="680"/>
      <c r="J321" s="680">
        <v>1</v>
      </c>
      <c r="K321" s="680">
        <v>1796</v>
      </c>
      <c r="L321" s="680">
        <v>1</v>
      </c>
      <c r="M321" s="680">
        <v>1796</v>
      </c>
      <c r="N321" s="680"/>
      <c r="O321" s="680"/>
      <c r="P321" s="702"/>
      <c r="Q321" s="681"/>
    </row>
    <row r="322" spans="1:17" ht="14.4" customHeight="1" x14ac:dyDescent="0.3">
      <c r="A322" s="675" t="s">
        <v>484</v>
      </c>
      <c r="B322" s="676" t="s">
        <v>2243</v>
      </c>
      <c r="C322" s="676" t="s">
        <v>2675</v>
      </c>
      <c r="D322" s="676" t="s">
        <v>2804</v>
      </c>
      <c r="E322" s="676" t="s">
        <v>2805</v>
      </c>
      <c r="F322" s="680"/>
      <c r="G322" s="680"/>
      <c r="H322" s="680"/>
      <c r="I322" s="680"/>
      <c r="J322" s="680">
        <v>2</v>
      </c>
      <c r="K322" s="680">
        <v>3592</v>
      </c>
      <c r="L322" s="680">
        <v>1</v>
      </c>
      <c r="M322" s="680">
        <v>1796</v>
      </c>
      <c r="N322" s="680">
        <v>2</v>
      </c>
      <c r="O322" s="680">
        <v>3592</v>
      </c>
      <c r="P322" s="702">
        <v>1</v>
      </c>
      <c r="Q322" s="681">
        <v>1796</v>
      </c>
    </row>
    <row r="323" spans="1:17" ht="14.4" customHeight="1" x14ac:dyDescent="0.3">
      <c r="A323" s="675" t="s">
        <v>484</v>
      </c>
      <c r="B323" s="676" t="s">
        <v>2243</v>
      </c>
      <c r="C323" s="676" t="s">
        <v>2675</v>
      </c>
      <c r="D323" s="676" t="s">
        <v>2806</v>
      </c>
      <c r="E323" s="676" t="s">
        <v>2807</v>
      </c>
      <c r="F323" s="680">
        <v>1</v>
      </c>
      <c r="G323" s="680">
        <v>1796</v>
      </c>
      <c r="H323" s="680">
        <v>1</v>
      </c>
      <c r="I323" s="680">
        <v>1796</v>
      </c>
      <c r="J323" s="680">
        <v>1</v>
      </c>
      <c r="K323" s="680">
        <v>1796</v>
      </c>
      <c r="L323" s="680">
        <v>1</v>
      </c>
      <c r="M323" s="680">
        <v>1796</v>
      </c>
      <c r="N323" s="680">
        <v>5</v>
      </c>
      <c r="O323" s="680">
        <v>8980</v>
      </c>
      <c r="P323" s="702">
        <v>5</v>
      </c>
      <c r="Q323" s="681">
        <v>1796</v>
      </c>
    </row>
    <row r="324" spans="1:17" ht="14.4" customHeight="1" x14ac:dyDescent="0.3">
      <c r="A324" s="675" t="s">
        <v>484</v>
      </c>
      <c r="B324" s="676" t="s">
        <v>2243</v>
      </c>
      <c r="C324" s="676" t="s">
        <v>2675</v>
      </c>
      <c r="D324" s="676" t="s">
        <v>2808</v>
      </c>
      <c r="E324" s="676" t="s">
        <v>2809</v>
      </c>
      <c r="F324" s="680">
        <v>2</v>
      </c>
      <c r="G324" s="680">
        <v>3592</v>
      </c>
      <c r="H324" s="680">
        <v>1</v>
      </c>
      <c r="I324" s="680">
        <v>1796</v>
      </c>
      <c r="J324" s="680">
        <v>2</v>
      </c>
      <c r="K324" s="680">
        <v>3592</v>
      </c>
      <c r="L324" s="680">
        <v>1</v>
      </c>
      <c r="M324" s="680">
        <v>1796</v>
      </c>
      <c r="N324" s="680">
        <v>6</v>
      </c>
      <c r="O324" s="680">
        <v>10776</v>
      </c>
      <c r="P324" s="702">
        <v>3</v>
      </c>
      <c r="Q324" s="681">
        <v>1796</v>
      </c>
    </row>
    <row r="325" spans="1:17" ht="14.4" customHeight="1" x14ac:dyDescent="0.3">
      <c r="A325" s="675" t="s">
        <v>484</v>
      </c>
      <c r="B325" s="676" t="s">
        <v>2243</v>
      </c>
      <c r="C325" s="676" t="s">
        <v>2675</v>
      </c>
      <c r="D325" s="676" t="s">
        <v>2810</v>
      </c>
      <c r="E325" s="676" t="s">
        <v>2811</v>
      </c>
      <c r="F325" s="680">
        <v>1</v>
      </c>
      <c r="G325" s="680">
        <v>3360</v>
      </c>
      <c r="H325" s="680"/>
      <c r="I325" s="680">
        <v>3360</v>
      </c>
      <c r="J325" s="680"/>
      <c r="K325" s="680"/>
      <c r="L325" s="680"/>
      <c r="M325" s="680"/>
      <c r="N325" s="680">
        <v>1</v>
      </c>
      <c r="O325" s="680">
        <v>3360</v>
      </c>
      <c r="P325" s="702"/>
      <c r="Q325" s="681">
        <v>3360</v>
      </c>
    </row>
    <row r="326" spans="1:17" ht="14.4" customHeight="1" x14ac:dyDescent="0.3">
      <c r="A326" s="675" t="s">
        <v>484</v>
      </c>
      <c r="B326" s="676" t="s">
        <v>2243</v>
      </c>
      <c r="C326" s="676" t="s">
        <v>2675</v>
      </c>
      <c r="D326" s="676" t="s">
        <v>2812</v>
      </c>
      <c r="E326" s="676" t="s">
        <v>2813</v>
      </c>
      <c r="F326" s="680"/>
      <c r="G326" s="680"/>
      <c r="H326" s="680"/>
      <c r="I326" s="680"/>
      <c r="J326" s="680"/>
      <c r="K326" s="680"/>
      <c r="L326" s="680"/>
      <c r="M326" s="680"/>
      <c r="N326" s="680">
        <v>2</v>
      </c>
      <c r="O326" s="680">
        <v>4032</v>
      </c>
      <c r="P326" s="702"/>
      <c r="Q326" s="681">
        <v>2016</v>
      </c>
    </row>
    <row r="327" spans="1:17" ht="14.4" customHeight="1" x14ac:dyDescent="0.3">
      <c r="A327" s="675" t="s">
        <v>484</v>
      </c>
      <c r="B327" s="676" t="s">
        <v>2243</v>
      </c>
      <c r="C327" s="676" t="s">
        <v>2675</v>
      </c>
      <c r="D327" s="676" t="s">
        <v>2814</v>
      </c>
      <c r="E327" s="676" t="s">
        <v>2815</v>
      </c>
      <c r="F327" s="680">
        <v>1</v>
      </c>
      <c r="G327" s="680">
        <v>9100</v>
      </c>
      <c r="H327" s="680"/>
      <c r="I327" s="680">
        <v>9100</v>
      </c>
      <c r="J327" s="680"/>
      <c r="K327" s="680"/>
      <c r="L327" s="680"/>
      <c r="M327" s="680"/>
      <c r="N327" s="680"/>
      <c r="O327" s="680"/>
      <c r="P327" s="702"/>
      <c r="Q327" s="681"/>
    </row>
    <row r="328" spans="1:17" ht="14.4" customHeight="1" x14ac:dyDescent="0.3">
      <c r="A328" s="675" t="s">
        <v>484</v>
      </c>
      <c r="B328" s="676" t="s">
        <v>2243</v>
      </c>
      <c r="C328" s="676" t="s">
        <v>2675</v>
      </c>
      <c r="D328" s="676" t="s">
        <v>2816</v>
      </c>
      <c r="E328" s="676" t="s">
        <v>2817</v>
      </c>
      <c r="F328" s="680"/>
      <c r="G328" s="680"/>
      <c r="H328" s="680"/>
      <c r="I328" s="680"/>
      <c r="J328" s="680"/>
      <c r="K328" s="680"/>
      <c r="L328" s="680"/>
      <c r="M328" s="680"/>
      <c r="N328" s="680">
        <v>1</v>
      </c>
      <c r="O328" s="680">
        <v>3501.87</v>
      </c>
      <c r="P328" s="702"/>
      <c r="Q328" s="681">
        <v>3501.87</v>
      </c>
    </row>
    <row r="329" spans="1:17" ht="14.4" customHeight="1" x14ac:dyDescent="0.3">
      <c r="A329" s="675" t="s">
        <v>484</v>
      </c>
      <c r="B329" s="676" t="s">
        <v>2243</v>
      </c>
      <c r="C329" s="676" t="s">
        <v>2675</v>
      </c>
      <c r="D329" s="676" t="s">
        <v>2818</v>
      </c>
      <c r="E329" s="676" t="s">
        <v>2819</v>
      </c>
      <c r="F329" s="680">
        <v>2</v>
      </c>
      <c r="G329" s="680">
        <v>2793</v>
      </c>
      <c r="H329" s="680">
        <v>2</v>
      </c>
      <c r="I329" s="680">
        <v>1396.5</v>
      </c>
      <c r="J329" s="680">
        <v>1</v>
      </c>
      <c r="K329" s="680">
        <v>1396.5</v>
      </c>
      <c r="L329" s="680">
        <v>1</v>
      </c>
      <c r="M329" s="680">
        <v>1396.5</v>
      </c>
      <c r="N329" s="680"/>
      <c r="O329" s="680"/>
      <c r="P329" s="702"/>
      <c r="Q329" s="681"/>
    </row>
    <row r="330" spans="1:17" ht="14.4" customHeight="1" x14ac:dyDescent="0.3">
      <c r="A330" s="675" t="s">
        <v>484</v>
      </c>
      <c r="B330" s="676" t="s">
        <v>2243</v>
      </c>
      <c r="C330" s="676" t="s">
        <v>2675</v>
      </c>
      <c r="D330" s="676" t="s">
        <v>2820</v>
      </c>
      <c r="E330" s="676" t="s">
        <v>2821</v>
      </c>
      <c r="F330" s="680"/>
      <c r="G330" s="680"/>
      <c r="H330" s="680"/>
      <c r="I330" s="680"/>
      <c r="J330" s="680">
        <v>3</v>
      </c>
      <c r="K330" s="680">
        <v>1085.07</v>
      </c>
      <c r="L330" s="680">
        <v>1</v>
      </c>
      <c r="M330" s="680">
        <v>361.69</v>
      </c>
      <c r="N330" s="680">
        <v>2</v>
      </c>
      <c r="O330" s="680">
        <v>723.38</v>
      </c>
      <c r="P330" s="702">
        <v>0.66666666666666674</v>
      </c>
      <c r="Q330" s="681">
        <v>361.69</v>
      </c>
    </row>
    <row r="331" spans="1:17" ht="14.4" customHeight="1" x14ac:dyDescent="0.3">
      <c r="A331" s="675" t="s">
        <v>484</v>
      </c>
      <c r="B331" s="676" t="s">
        <v>2243</v>
      </c>
      <c r="C331" s="676" t="s">
        <v>2675</v>
      </c>
      <c r="D331" s="676" t="s">
        <v>2822</v>
      </c>
      <c r="E331" s="676" t="s">
        <v>2823</v>
      </c>
      <c r="F331" s="680"/>
      <c r="G331" s="680"/>
      <c r="H331" s="680"/>
      <c r="I331" s="680"/>
      <c r="J331" s="680">
        <v>1</v>
      </c>
      <c r="K331" s="680">
        <v>4618</v>
      </c>
      <c r="L331" s="680">
        <v>1</v>
      </c>
      <c r="M331" s="680">
        <v>4618</v>
      </c>
      <c r="N331" s="680"/>
      <c r="O331" s="680"/>
      <c r="P331" s="702"/>
      <c r="Q331" s="681"/>
    </row>
    <row r="332" spans="1:17" ht="14.4" customHeight="1" x14ac:dyDescent="0.3">
      <c r="A332" s="675" t="s">
        <v>484</v>
      </c>
      <c r="B332" s="676" t="s">
        <v>2243</v>
      </c>
      <c r="C332" s="676" t="s">
        <v>2675</v>
      </c>
      <c r="D332" s="676" t="s">
        <v>2824</v>
      </c>
      <c r="E332" s="676" t="s">
        <v>2825</v>
      </c>
      <c r="F332" s="680">
        <v>1</v>
      </c>
      <c r="G332" s="680">
        <v>4676</v>
      </c>
      <c r="H332" s="680"/>
      <c r="I332" s="680">
        <v>4676</v>
      </c>
      <c r="J332" s="680"/>
      <c r="K332" s="680"/>
      <c r="L332" s="680"/>
      <c r="M332" s="680"/>
      <c r="N332" s="680">
        <v>1</v>
      </c>
      <c r="O332" s="680">
        <v>4676</v>
      </c>
      <c r="P332" s="702"/>
      <c r="Q332" s="681">
        <v>4676</v>
      </c>
    </row>
    <row r="333" spans="1:17" ht="14.4" customHeight="1" x14ac:dyDescent="0.3">
      <c r="A333" s="675" t="s">
        <v>484</v>
      </c>
      <c r="B333" s="676" t="s">
        <v>2243</v>
      </c>
      <c r="C333" s="676" t="s">
        <v>2675</v>
      </c>
      <c r="D333" s="676" t="s">
        <v>2826</v>
      </c>
      <c r="E333" s="676" t="s">
        <v>2827</v>
      </c>
      <c r="F333" s="680">
        <v>4</v>
      </c>
      <c r="G333" s="680">
        <v>2368</v>
      </c>
      <c r="H333" s="680"/>
      <c r="I333" s="680">
        <v>592</v>
      </c>
      <c r="J333" s="680"/>
      <c r="K333" s="680"/>
      <c r="L333" s="680"/>
      <c r="M333" s="680"/>
      <c r="N333" s="680">
        <v>4</v>
      </c>
      <c r="O333" s="680">
        <v>2368</v>
      </c>
      <c r="P333" s="702"/>
      <c r="Q333" s="681">
        <v>592</v>
      </c>
    </row>
    <row r="334" spans="1:17" ht="14.4" customHeight="1" x14ac:dyDescent="0.3">
      <c r="A334" s="675" t="s">
        <v>484</v>
      </c>
      <c r="B334" s="676" t="s">
        <v>2243</v>
      </c>
      <c r="C334" s="676" t="s">
        <v>2675</v>
      </c>
      <c r="D334" s="676" t="s">
        <v>2828</v>
      </c>
      <c r="E334" s="676" t="s">
        <v>2829</v>
      </c>
      <c r="F334" s="680">
        <v>17</v>
      </c>
      <c r="G334" s="680">
        <v>9460.5</v>
      </c>
      <c r="H334" s="680">
        <v>0.77272727272727271</v>
      </c>
      <c r="I334" s="680">
        <v>556.5</v>
      </c>
      <c r="J334" s="680">
        <v>22</v>
      </c>
      <c r="K334" s="680">
        <v>12243</v>
      </c>
      <c r="L334" s="680">
        <v>1</v>
      </c>
      <c r="M334" s="680">
        <v>556.5</v>
      </c>
      <c r="N334" s="680">
        <v>16</v>
      </c>
      <c r="O334" s="680">
        <v>8904</v>
      </c>
      <c r="P334" s="702">
        <v>0.72727272727272729</v>
      </c>
      <c r="Q334" s="681">
        <v>556.5</v>
      </c>
    </row>
    <row r="335" spans="1:17" ht="14.4" customHeight="1" x14ac:dyDescent="0.3">
      <c r="A335" s="675" t="s">
        <v>484</v>
      </c>
      <c r="B335" s="676" t="s">
        <v>2243</v>
      </c>
      <c r="C335" s="676" t="s">
        <v>2675</v>
      </c>
      <c r="D335" s="676" t="s">
        <v>2830</v>
      </c>
      <c r="E335" s="676" t="s">
        <v>2831</v>
      </c>
      <c r="F335" s="680"/>
      <c r="G335" s="680"/>
      <c r="H335" s="680"/>
      <c r="I335" s="680"/>
      <c r="J335" s="680">
        <v>3</v>
      </c>
      <c r="K335" s="680">
        <v>2556.9299999999998</v>
      </c>
      <c r="L335" s="680">
        <v>1</v>
      </c>
      <c r="M335" s="680">
        <v>852.31</v>
      </c>
      <c r="N335" s="680"/>
      <c r="O335" s="680"/>
      <c r="P335" s="702"/>
      <c r="Q335" s="681"/>
    </row>
    <row r="336" spans="1:17" ht="14.4" customHeight="1" x14ac:dyDescent="0.3">
      <c r="A336" s="675" t="s">
        <v>484</v>
      </c>
      <c r="B336" s="676" t="s">
        <v>2243</v>
      </c>
      <c r="C336" s="676" t="s">
        <v>2675</v>
      </c>
      <c r="D336" s="676" t="s">
        <v>2832</v>
      </c>
      <c r="E336" s="676" t="s">
        <v>2833</v>
      </c>
      <c r="F336" s="680"/>
      <c r="G336" s="680"/>
      <c r="H336" s="680"/>
      <c r="I336" s="680"/>
      <c r="J336" s="680">
        <v>1</v>
      </c>
      <c r="K336" s="680">
        <v>4735.3500000000004</v>
      </c>
      <c r="L336" s="680">
        <v>1</v>
      </c>
      <c r="M336" s="680">
        <v>4735.3500000000004</v>
      </c>
      <c r="N336" s="680"/>
      <c r="O336" s="680"/>
      <c r="P336" s="702"/>
      <c r="Q336" s="681"/>
    </row>
    <row r="337" spans="1:17" ht="14.4" customHeight="1" x14ac:dyDescent="0.3">
      <c r="A337" s="675" t="s">
        <v>484</v>
      </c>
      <c r="B337" s="676" t="s">
        <v>2243</v>
      </c>
      <c r="C337" s="676" t="s">
        <v>2675</v>
      </c>
      <c r="D337" s="676" t="s">
        <v>2834</v>
      </c>
      <c r="E337" s="676" t="s">
        <v>2835</v>
      </c>
      <c r="F337" s="680"/>
      <c r="G337" s="680"/>
      <c r="H337" s="680"/>
      <c r="I337" s="680"/>
      <c r="J337" s="680">
        <v>1</v>
      </c>
      <c r="K337" s="680">
        <v>7993.16</v>
      </c>
      <c r="L337" s="680">
        <v>1</v>
      </c>
      <c r="M337" s="680">
        <v>7993.16</v>
      </c>
      <c r="N337" s="680"/>
      <c r="O337" s="680"/>
      <c r="P337" s="702"/>
      <c r="Q337" s="681"/>
    </row>
    <row r="338" spans="1:17" ht="14.4" customHeight="1" x14ac:dyDescent="0.3">
      <c r="A338" s="675" t="s">
        <v>484</v>
      </c>
      <c r="B338" s="676" t="s">
        <v>2243</v>
      </c>
      <c r="C338" s="676" t="s">
        <v>2675</v>
      </c>
      <c r="D338" s="676" t="s">
        <v>2836</v>
      </c>
      <c r="E338" s="676" t="s">
        <v>2837</v>
      </c>
      <c r="F338" s="680"/>
      <c r="G338" s="680"/>
      <c r="H338" s="680"/>
      <c r="I338" s="680"/>
      <c r="J338" s="680">
        <v>1</v>
      </c>
      <c r="K338" s="680">
        <v>2866.27</v>
      </c>
      <c r="L338" s="680">
        <v>1</v>
      </c>
      <c r="M338" s="680">
        <v>2866.27</v>
      </c>
      <c r="N338" s="680"/>
      <c r="O338" s="680"/>
      <c r="P338" s="702"/>
      <c r="Q338" s="681"/>
    </row>
    <row r="339" spans="1:17" ht="14.4" customHeight="1" x14ac:dyDescent="0.3">
      <c r="A339" s="675" t="s">
        <v>484</v>
      </c>
      <c r="B339" s="676" t="s">
        <v>2243</v>
      </c>
      <c r="C339" s="676" t="s">
        <v>2675</v>
      </c>
      <c r="D339" s="676" t="s">
        <v>2838</v>
      </c>
      <c r="E339" s="676" t="s">
        <v>2839</v>
      </c>
      <c r="F339" s="680"/>
      <c r="G339" s="680"/>
      <c r="H339" s="680"/>
      <c r="I339" s="680"/>
      <c r="J339" s="680">
        <v>0.1</v>
      </c>
      <c r="K339" s="680">
        <v>177.31</v>
      </c>
      <c r="L339" s="680">
        <v>1</v>
      </c>
      <c r="M339" s="680">
        <v>1773.1</v>
      </c>
      <c r="N339" s="680"/>
      <c r="O339" s="680"/>
      <c r="P339" s="702"/>
      <c r="Q339" s="681"/>
    </row>
    <row r="340" spans="1:17" ht="14.4" customHeight="1" x14ac:dyDescent="0.3">
      <c r="A340" s="675" t="s">
        <v>484</v>
      </c>
      <c r="B340" s="676" t="s">
        <v>2243</v>
      </c>
      <c r="C340" s="676" t="s">
        <v>2675</v>
      </c>
      <c r="D340" s="676" t="s">
        <v>2840</v>
      </c>
      <c r="E340" s="676" t="s">
        <v>2841</v>
      </c>
      <c r="F340" s="680">
        <v>0.9</v>
      </c>
      <c r="G340" s="680">
        <v>226.83</v>
      </c>
      <c r="H340" s="680">
        <v>0.21428976306541209</v>
      </c>
      <c r="I340" s="680">
        <v>252.03333333333333</v>
      </c>
      <c r="J340" s="680">
        <v>4.1999999999999993</v>
      </c>
      <c r="K340" s="680">
        <v>1058.52</v>
      </c>
      <c r="L340" s="680">
        <v>1</v>
      </c>
      <c r="M340" s="680">
        <v>252.02857142857147</v>
      </c>
      <c r="N340" s="680">
        <v>1.4</v>
      </c>
      <c r="O340" s="680">
        <v>352.82</v>
      </c>
      <c r="P340" s="702">
        <v>0.33331443902807695</v>
      </c>
      <c r="Q340" s="681">
        <v>252.01428571428573</v>
      </c>
    </row>
    <row r="341" spans="1:17" ht="14.4" customHeight="1" x14ac:dyDescent="0.3">
      <c r="A341" s="675" t="s">
        <v>484</v>
      </c>
      <c r="B341" s="676" t="s">
        <v>2243</v>
      </c>
      <c r="C341" s="676" t="s">
        <v>2675</v>
      </c>
      <c r="D341" s="676" t="s">
        <v>2842</v>
      </c>
      <c r="E341" s="676" t="s">
        <v>2843</v>
      </c>
      <c r="F341" s="680"/>
      <c r="G341" s="680"/>
      <c r="H341" s="680"/>
      <c r="I341" s="680"/>
      <c r="J341" s="680"/>
      <c r="K341" s="680"/>
      <c r="L341" s="680"/>
      <c r="M341" s="680"/>
      <c r="N341" s="680">
        <v>2</v>
      </c>
      <c r="O341" s="680">
        <v>1123.42</v>
      </c>
      <c r="P341" s="702"/>
      <c r="Q341" s="681">
        <v>561.71</v>
      </c>
    </row>
    <row r="342" spans="1:17" ht="14.4" customHeight="1" x14ac:dyDescent="0.3">
      <c r="A342" s="675" t="s">
        <v>484</v>
      </c>
      <c r="B342" s="676" t="s">
        <v>2243</v>
      </c>
      <c r="C342" s="676" t="s">
        <v>2675</v>
      </c>
      <c r="D342" s="676" t="s">
        <v>2844</v>
      </c>
      <c r="E342" s="676" t="s">
        <v>2841</v>
      </c>
      <c r="F342" s="680"/>
      <c r="G342" s="680"/>
      <c r="H342" s="680"/>
      <c r="I342" s="680"/>
      <c r="J342" s="680">
        <v>9</v>
      </c>
      <c r="K342" s="680">
        <v>4924.8</v>
      </c>
      <c r="L342" s="680">
        <v>1</v>
      </c>
      <c r="M342" s="680">
        <v>547.20000000000005</v>
      </c>
      <c r="N342" s="680"/>
      <c r="O342" s="680"/>
      <c r="P342" s="702"/>
      <c r="Q342" s="681"/>
    </row>
    <row r="343" spans="1:17" ht="14.4" customHeight="1" x14ac:dyDescent="0.3">
      <c r="A343" s="675" t="s">
        <v>484</v>
      </c>
      <c r="B343" s="676" t="s">
        <v>2243</v>
      </c>
      <c r="C343" s="676" t="s">
        <v>2675</v>
      </c>
      <c r="D343" s="676" t="s">
        <v>2845</v>
      </c>
      <c r="E343" s="676" t="s">
        <v>2841</v>
      </c>
      <c r="F343" s="680">
        <v>7</v>
      </c>
      <c r="G343" s="680">
        <v>12942.09</v>
      </c>
      <c r="H343" s="680">
        <v>0.20588235294117646</v>
      </c>
      <c r="I343" s="680">
        <v>1848.8700000000001</v>
      </c>
      <c r="J343" s="680">
        <v>34</v>
      </c>
      <c r="K343" s="680">
        <v>62861.58</v>
      </c>
      <c r="L343" s="680">
        <v>1</v>
      </c>
      <c r="M343" s="680">
        <v>1848.8700000000001</v>
      </c>
      <c r="N343" s="680">
        <v>12</v>
      </c>
      <c r="O343" s="680">
        <v>22186.440000000002</v>
      </c>
      <c r="P343" s="702">
        <v>0.35294117647058826</v>
      </c>
      <c r="Q343" s="681">
        <v>1848.8700000000001</v>
      </c>
    </row>
    <row r="344" spans="1:17" ht="14.4" customHeight="1" x14ac:dyDescent="0.3">
      <c r="A344" s="675" t="s">
        <v>484</v>
      </c>
      <c r="B344" s="676" t="s">
        <v>2243</v>
      </c>
      <c r="C344" s="676" t="s">
        <v>2675</v>
      </c>
      <c r="D344" s="676" t="s">
        <v>2846</v>
      </c>
      <c r="E344" s="676" t="s">
        <v>2847</v>
      </c>
      <c r="F344" s="680"/>
      <c r="G344" s="680"/>
      <c r="H344" s="680"/>
      <c r="I344" s="680"/>
      <c r="J344" s="680">
        <v>2</v>
      </c>
      <c r="K344" s="680">
        <v>3025.36</v>
      </c>
      <c r="L344" s="680">
        <v>1</v>
      </c>
      <c r="M344" s="680">
        <v>1512.68</v>
      </c>
      <c r="N344" s="680">
        <v>1</v>
      </c>
      <c r="O344" s="680">
        <v>1512.68</v>
      </c>
      <c r="P344" s="702">
        <v>0.5</v>
      </c>
      <c r="Q344" s="681">
        <v>1512.68</v>
      </c>
    </row>
    <row r="345" spans="1:17" ht="14.4" customHeight="1" x14ac:dyDescent="0.3">
      <c r="A345" s="675" t="s">
        <v>484</v>
      </c>
      <c r="B345" s="676" t="s">
        <v>2243</v>
      </c>
      <c r="C345" s="676" t="s">
        <v>2675</v>
      </c>
      <c r="D345" s="676" t="s">
        <v>2848</v>
      </c>
      <c r="E345" s="676" t="s">
        <v>2849</v>
      </c>
      <c r="F345" s="680"/>
      <c r="G345" s="680"/>
      <c r="H345" s="680"/>
      <c r="I345" s="680"/>
      <c r="J345" s="680">
        <v>1</v>
      </c>
      <c r="K345" s="680">
        <v>8491.4599999999991</v>
      </c>
      <c r="L345" s="680">
        <v>1</v>
      </c>
      <c r="M345" s="680">
        <v>8491.4599999999991</v>
      </c>
      <c r="N345" s="680">
        <v>1</v>
      </c>
      <c r="O345" s="680">
        <v>8491.4599999999991</v>
      </c>
      <c r="P345" s="702">
        <v>1</v>
      </c>
      <c r="Q345" s="681">
        <v>8491.4599999999991</v>
      </c>
    </row>
    <row r="346" spans="1:17" ht="14.4" customHeight="1" x14ac:dyDescent="0.3">
      <c r="A346" s="675" t="s">
        <v>484</v>
      </c>
      <c r="B346" s="676" t="s">
        <v>2243</v>
      </c>
      <c r="C346" s="676" t="s">
        <v>2675</v>
      </c>
      <c r="D346" s="676" t="s">
        <v>2850</v>
      </c>
      <c r="E346" s="676" t="s">
        <v>2851</v>
      </c>
      <c r="F346" s="680"/>
      <c r="G346" s="680"/>
      <c r="H346" s="680"/>
      <c r="I346" s="680"/>
      <c r="J346" s="680">
        <v>3</v>
      </c>
      <c r="K346" s="680">
        <v>8997.7199999999993</v>
      </c>
      <c r="L346" s="680">
        <v>1</v>
      </c>
      <c r="M346" s="680">
        <v>2999.24</v>
      </c>
      <c r="N346" s="680">
        <v>2</v>
      </c>
      <c r="O346" s="680">
        <v>5998.48</v>
      </c>
      <c r="P346" s="702">
        <v>0.66666666666666663</v>
      </c>
      <c r="Q346" s="681">
        <v>2999.24</v>
      </c>
    </row>
    <row r="347" spans="1:17" ht="14.4" customHeight="1" x14ac:dyDescent="0.3">
      <c r="A347" s="675" t="s">
        <v>484</v>
      </c>
      <c r="B347" s="676" t="s">
        <v>2243</v>
      </c>
      <c r="C347" s="676" t="s">
        <v>2675</v>
      </c>
      <c r="D347" s="676" t="s">
        <v>2852</v>
      </c>
      <c r="E347" s="676" t="s">
        <v>2853</v>
      </c>
      <c r="F347" s="680">
        <v>1</v>
      </c>
      <c r="G347" s="680">
        <v>1560</v>
      </c>
      <c r="H347" s="680"/>
      <c r="I347" s="680">
        <v>1560</v>
      </c>
      <c r="J347" s="680"/>
      <c r="K347" s="680"/>
      <c r="L347" s="680"/>
      <c r="M347" s="680"/>
      <c r="N347" s="680"/>
      <c r="O347" s="680"/>
      <c r="P347" s="702"/>
      <c r="Q347" s="681"/>
    </row>
    <row r="348" spans="1:17" ht="14.4" customHeight="1" x14ac:dyDescent="0.3">
      <c r="A348" s="675" t="s">
        <v>484</v>
      </c>
      <c r="B348" s="676" t="s">
        <v>2243</v>
      </c>
      <c r="C348" s="676" t="s">
        <v>2675</v>
      </c>
      <c r="D348" s="676" t="s">
        <v>2854</v>
      </c>
      <c r="E348" s="676" t="s">
        <v>2855</v>
      </c>
      <c r="F348" s="680">
        <v>19</v>
      </c>
      <c r="G348" s="680">
        <v>1835.4</v>
      </c>
      <c r="H348" s="680">
        <v>2.7142857142857144</v>
      </c>
      <c r="I348" s="680">
        <v>96.600000000000009</v>
      </c>
      <c r="J348" s="680">
        <v>7</v>
      </c>
      <c r="K348" s="680">
        <v>676.2</v>
      </c>
      <c r="L348" s="680">
        <v>1</v>
      </c>
      <c r="M348" s="680">
        <v>96.600000000000009</v>
      </c>
      <c r="N348" s="680">
        <v>20</v>
      </c>
      <c r="O348" s="680">
        <v>1932</v>
      </c>
      <c r="P348" s="702">
        <v>2.8571428571428568</v>
      </c>
      <c r="Q348" s="681">
        <v>96.6</v>
      </c>
    </row>
    <row r="349" spans="1:17" ht="14.4" customHeight="1" x14ac:dyDescent="0.3">
      <c r="A349" s="675" t="s">
        <v>484</v>
      </c>
      <c r="B349" s="676" t="s">
        <v>2243</v>
      </c>
      <c r="C349" s="676" t="s">
        <v>2675</v>
      </c>
      <c r="D349" s="676" t="s">
        <v>2856</v>
      </c>
      <c r="E349" s="676" t="s">
        <v>2857</v>
      </c>
      <c r="F349" s="680"/>
      <c r="G349" s="680"/>
      <c r="H349" s="680"/>
      <c r="I349" s="680"/>
      <c r="J349" s="680">
        <v>1</v>
      </c>
      <c r="K349" s="680">
        <v>3278.02</v>
      </c>
      <c r="L349" s="680">
        <v>1</v>
      </c>
      <c r="M349" s="680">
        <v>3278.02</v>
      </c>
      <c r="N349" s="680">
        <v>1</v>
      </c>
      <c r="O349" s="680">
        <v>3278.02</v>
      </c>
      <c r="P349" s="702">
        <v>1</v>
      </c>
      <c r="Q349" s="681">
        <v>3278.02</v>
      </c>
    </row>
    <row r="350" spans="1:17" ht="14.4" customHeight="1" x14ac:dyDescent="0.3">
      <c r="A350" s="675" t="s">
        <v>484</v>
      </c>
      <c r="B350" s="676" t="s">
        <v>2243</v>
      </c>
      <c r="C350" s="676" t="s">
        <v>2675</v>
      </c>
      <c r="D350" s="676" t="s">
        <v>2858</v>
      </c>
      <c r="E350" s="676" t="s">
        <v>2859</v>
      </c>
      <c r="F350" s="680"/>
      <c r="G350" s="680"/>
      <c r="H350" s="680"/>
      <c r="I350" s="680"/>
      <c r="J350" s="680">
        <v>1</v>
      </c>
      <c r="K350" s="680">
        <v>6968.51</v>
      </c>
      <c r="L350" s="680">
        <v>1</v>
      </c>
      <c r="M350" s="680">
        <v>6968.51</v>
      </c>
      <c r="N350" s="680">
        <v>2</v>
      </c>
      <c r="O350" s="680">
        <v>13937.02</v>
      </c>
      <c r="P350" s="702">
        <v>2</v>
      </c>
      <c r="Q350" s="681">
        <v>6968.51</v>
      </c>
    </row>
    <row r="351" spans="1:17" ht="14.4" customHeight="1" x14ac:dyDescent="0.3">
      <c r="A351" s="675" t="s">
        <v>484</v>
      </c>
      <c r="B351" s="676" t="s">
        <v>2243</v>
      </c>
      <c r="C351" s="676" t="s">
        <v>2675</v>
      </c>
      <c r="D351" s="676" t="s">
        <v>2860</v>
      </c>
      <c r="E351" s="676" t="s">
        <v>2859</v>
      </c>
      <c r="F351" s="680"/>
      <c r="G351" s="680"/>
      <c r="H351" s="680"/>
      <c r="I351" s="680"/>
      <c r="J351" s="680">
        <v>2</v>
      </c>
      <c r="K351" s="680">
        <v>16685.46</v>
      </c>
      <c r="L351" s="680">
        <v>1</v>
      </c>
      <c r="M351" s="680">
        <v>8342.73</v>
      </c>
      <c r="N351" s="680"/>
      <c r="O351" s="680"/>
      <c r="P351" s="702"/>
      <c r="Q351" s="681"/>
    </row>
    <row r="352" spans="1:17" ht="14.4" customHeight="1" x14ac:dyDescent="0.3">
      <c r="A352" s="675" t="s">
        <v>484</v>
      </c>
      <c r="B352" s="676" t="s">
        <v>2243</v>
      </c>
      <c r="C352" s="676" t="s">
        <v>2675</v>
      </c>
      <c r="D352" s="676" t="s">
        <v>2861</v>
      </c>
      <c r="E352" s="676" t="s">
        <v>2862</v>
      </c>
      <c r="F352" s="680"/>
      <c r="G352" s="680"/>
      <c r="H352" s="680"/>
      <c r="I352" s="680"/>
      <c r="J352" s="680">
        <v>1</v>
      </c>
      <c r="K352" s="680">
        <v>9736.64</v>
      </c>
      <c r="L352" s="680">
        <v>1</v>
      </c>
      <c r="M352" s="680">
        <v>9736.64</v>
      </c>
      <c r="N352" s="680"/>
      <c r="O352" s="680"/>
      <c r="P352" s="702"/>
      <c r="Q352" s="681"/>
    </row>
    <row r="353" spans="1:17" ht="14.4" customHeight="1" x14ac:dyDescent="0.3">
      <c r="A353" s="675" t="s">
        <v>484</v>
      </c>
      <c r="B353" s="676" t="s">
        <v>2243</v>
      </c>
      <c r="C353" s="676" t="s">
        <v>2675</v>
      </c>
      <c r="D353" s="676" t="s">
        <v>2863</v>
      </c>
      <c r="E353" s="676" t="s">
        <v>2864</v>
      </c>
      <c r="F353" s="680"/>
      <c r="G353" s="680"/>
      <c r="H353" s="680"/>
      <c r="I353" s="680"/>
      <c r="J353" s="680"/>
      <c r="K353" s="680"/>
      <c r="L353" s="680"/>
      <c r="M353" s="680"/>
      <c r="N353" s="680">
        <v>2</v>
      </c>
      <c r="O353" s="680">
        <v>2381.56</v>
      </c>
      <c r="P353" s="702"/>
      <c r="Q353" s="681">
        <v>1190.78</v>
      </c>
    </row>
    <row r="354" spans="1:17" ht="14.4" customHeight="1" x14ac:dyDescent="0.3">
      <c r="A354" s="675" t="s">
        <v>484</v>
      </c>
      <c r="B354" s="676" t="s">
        <v>2243</v>
      </c>
      <c r="C354" s="676" t="s">
        <v>2675</v>
      </c>
      <c r="D354" s="676" t="s">
        <v>2865</v>
      </c>
      <c r="E354" s="676" t="s">
        <v>2864</v>
      </c>
      <c r="F354" s="680"/>
      <c r="G354" s="680"/>
      <c r="H354" s="680"/>
      <c r="I354" s="680"/>
      <c r="J354" s="680"/>
      <c r="K354" s="680"/>
      <c r="L354" s="680"/>
      <c r="M354" s="680"/>
      <c r="N354" s="680">
        <v>3</v>
      </c>
      <c r="O354" s="680">
        <v>3678.06</v>
      </c>
      <c r="P354" s="702"/>
      <c r="Q354" s="681">
        <v>1226.02</v>
      </c>
    </row>
    <row r="355" spans="1:17" ht="14.4" customHeight="1" x14ac:dyDescent="0.3">
      <c r="A355" s="675" t="s">
        <v>484</v>
      </c>
      <c r="B355" s="676" t="s">
        <v>2243</v>
      </c>
      <c r="C355" s="676" t="s">
        <v>2675</v>
      </c>
      <c r="D355" s="676" t="s">
        <v>2866</v>
      </c>
      <c r="E355" s="676" t="s">
        <v>2867</v>
      </c>
      <c r="F355" s="680"/>
      <c r="G355" s="680"/>
      <c r="H355" s="680"/>
      <c r="I355" s="680"/>
      <c r="J355" s="680"/>
      <c r="K355" s="680"/>
      <c r="L355" s="680"/>
      <c r="M355" s="680"/>
      <c r="N355" s="680">
        <v>1</v>
      </c>
      <c r="O355" s="680">
        <v>5523.82</v>
      </c>
      <c r="P355" s="702"/>
      <c r="Q355" s="681">
        <v>5523.82</v>
      </c>
    </row>
    <row r="356" spans="1:17" ht="14.4" customHeight="1" x14ac:dyDescent="0.3">
      <c r="A356" s="675" t="s">
        <v>484</v>
      </c>
      <c r="B356" s="676" t="s">
        <v>2243</v>
      </c>
      <c r="C356" s="676" t="s">
        <v>2675</v>
      </c>
      <c r="D356" s="676" t="s">
        <v>2868</v>
      </c>
      <c r="E356" s="676" t="s">
        <v>2869</v>
      </c>
      <c r="F356" s="680"/>
      <c r="G356" s="680"/>
      <c r="H356" s="680"/>
      <c r="I356" s="680"/>
      <c r="J356" s="680">
        <v>2</v>
      </c>
      <c r="K356" s="680">
        <v>27332.84</v>
      </c>
      <c r="L356" s="680">
        <v>1</v>
      </c>
      <c r="M356" s="680">
        <v>13666.42</v>
      </c>
      <c r="N356" s="680"/>
      <c r="O356" s="680"/>
      <c r="P356" s="702"/>
      <c r="Q356" s="681"/>
    </row>
    <row r="357" spans="1:17" ht="14.4" customHeight="1" x14ac:dyDescent="0.3">
      <c r="A357" s="675" t="s">
        <v>484</v>
      </c>
      <c r="B357" s="676" t="s">
        <v>2243</v>
      </c>
      <c r="C357" s="676" t="s">
        <v>2675</v>
      </c>
      <c r="D357" s="676" t="s">
        <v>2870</v>
      </c>
      <c r="E357" s="676" t="s">
        <v>2871</v>
      </c>
      <c r="F357" s="680"/>
      <c r="G357" s="680"/>
      <c r="H357" s="680"/>
      <c r="I357" s="680"/>
      <c r="J357" s="680">
        <v>1</v>
      </c>
      <c r="K357" s="680">
        <v>6755.23</v>
      </c>
      <c r="L357" s="680">
        <v>1</v>
      </c>
      <c r="M357" s="680">
        <v>6755.23</v>
      </c>
      <c r="N357" s="680"/>
      <c r="O357" s="680"/>
      <c r="P357" s="702"/>
      <c r="Q357" s="681"/>
    </row>
    <row r="358" spans="1:17" ht="14.4" customHeight="1" x14ac:dyDescent="0.3">
      <c r="A358" s="675" t="s">
        <v>484</v>
      </c>
      <c r="B358" s="676" t="s">
        <v>2243</v>
      </c>
      <c r="C358" s="676" t="s">
        <v>2675</v>
      </c>
      <c r="D358" s="676" t="s">
        <v>2872</v>
      </c>
      <c r="E358" s="676" t="s">
        <v>2873</v>
      </c>
      <c r="F358" s="680"/>
      <c r="G358" s="680"/>
      <c r="H358" s="680"/>
      <c r="I358" s="680"/>
      <c r="J358" s="680"/>
      <c r="K358" s="680"/>
      <c r="L358" s="680"/>
      <c r="M358" s="680"/>
      <c r="N358" s="680">
        <v>1</v>
      </c>
      <c r="O358" s="680">
        <v>11571</v>
      </c>
      <c r="P358" s="702"/>
      <c r="Q358" s="681">
        <v>11571</v>
      </c>
    </row>
    <row r="359" spans="1:17" ht="14.4" customHeight="1" x14ac:dyDescent="0.3">
      <c r="A359" s="675" t="s">
        <v>484</v>
      </c>
      <c r="B359" s="676" t="s">
        <v>2243</v>
      </c>
      <c r="C359" s="676" t="s">
        <v>2675</v>
      </c>
      <c r="D359" s="676" t="s">
        <v>2874</v>
      </c>
      <c r="E359" s="676" t="s">
        <v>2746</v>
      </c>
      <c r="F359" s="680"/>
      <c r="G359" s="680"/>
      <c r="H359" s="680"/>
      <c r="I359" s="680"/>
      <c r="J359" s="680"/>
      <c r="K359" s="680"/>
      <c r="L359" s="680"/>
      <c r="M359" s="680"/>
      <c r="N359" s="680">
        <v>3</v>
      </c>
      <c r="O359" s="680">
        <v>4079.13</v>
      </c>
      <c r="P359" s="702"/>
      <c r="Q359" s="681">
        <v>1359.71</v>
      </c>
    </row>
    <row r="360" spans="1:17" ht="14.4" customHeight="1" x14ac:dyDescent="0.3">
      <c r="A360" s="675" t="s">
        <v>484</v>
      </c>
      <c r="B360" s="676" t="s">
        <v>2243</v>
      </c>
      <c r="C360" s="676" t="s">
        <v>2675</v>
      </c>
      <c r="D360" s="676" t="s">
        <v>2875</v>
      </c>
      <c r="E360" s="676" t="s">
        <v>2876</v>
      </c>
      <c r="F360" s="680"/>
      <c r="G360" s="680"/>
      <c r="H360" s="680"/>
      <c r="I360" s="680"/>
      <c r="J360" s="680"/>
      <c r="K360" s="680"/>
      <c r="L360" s="680"/>
      <c r="M360" s="680"/>
      <c r="N360" s="680">
        <v>1</v>
      </c>
      <c r="O360" s="680">
        <v>1423.96</v>
      </c>
      <c r="P360" s="702"/>
      <c r="Q360" s="681">
        <v>1423.96</v>
      </c>
    </row>
    <row r="361" spans="1:17" ht="14.4" customHeight="1" x14ac:dyDescent="0.3">
      <c r="A361" s="675" t="s">
        <v>484</v>
      </c>
      <c r="B361" s="676" t="s">
        <v>2243</v>
      </c>
      <c r="C361" s="676" t="s">
        <v>2675</v>
      </c>
      <c r="D361" s="676" t="s">
        <v>2877</v>
      </c>
      <c r="E361" s="676" t="s">
        <v>2878</v>
      </c>
      <c r="F361" s="680"/>
      <c r="G361" s="680"/>
      <c r="H361" s="680"/>
      <c r="I361" s="680"/>
      <c r="J361" s="680"/>
      <c r="K361" s="680"/>
      <c r="L361" s="680"/>
      <c r="M361" s="680"/>
      <c r="N361" s="680">
        <v>2</v>
      </c>
      <c r="O361" s="680">
        <v>437.34</v>
      </c>
      <c r="P361" s="702"/>
      <c r="Q361" s="681">
        <v>218.67</v>
      </c>
    </row>
    <row r="362" spans="1:17" ht="14.4" customHeight="1" x14ac:dyDescent="0.3">
      <c r="A362" s="675" t="s">
        <v>484</v>
      </c>
      <c r="B362" s="676" t="s">
        <v>2243</v>
      </c>
      <c r="C362" s="676" t="s">
        <v>2675</v>
      </c>
      <c r="D362" s="676" t="s">
        <v>2879</v>
      </c>
      <c r="E362" s="676" t="s">
        <v>2880</v>
      </c>
      <c r="F362" s="680"/>
      <c r="G362" s="680"/>
      <c r="H362" s="680"/>
      <c r="I362" s="680"/>
      <c r="J362" s="680">
        <v>4</v>
      </c>
      <c r="K362" s="680">
        <v>7133.92</v>
      </c>
      <c r="L362" s="680">
        <v>1</v>
      </c>
      <c r="M362" s="680">
        <v>1783.48</v>
      </c>
      <c r="N362" s="680"/>
      <c r="O362" s="680"/>
      <c r="P362" s="702"/>
      <c r="Q362" s="681"/>
    </row>
    <row r="363" spans="1:17" ht="14.4" customHeight="1" x14ac:dyDescent="0.3">
      <c r="A363" s="675" t="s">
        <v>484</v>
      </c>
      <c r="B363" s="676" t="s">
        <v>2243</v>
      </c>
      <c r="C363" s="676" t="s">
        <v>2675</v>
      </c>
      <c r="D363" s="676" t="s">
        <v>2881</v>
      </c>
      <c r="E363" s="676" t="s">
        <v>2882</v>
      </c>
      <c r="F363" s="680"/>
      <c r="G363" s="680"/>
      <c r="H363" s="680"/>
      <c r="I363" s="680"/>
      <c r="J363" s="680">
        <v>2</v>
      </c>
      <c r="K363" s="680">
        <v>478.8</v>
      </c>
      <c r="L363" s="680">
        <v>1</v>
      </c>
      <c r="M363" s="680">
        <v>239.4</v>
      </c>
      <c r="N363" s="680"/>
      <c r="O363" s="680"/>
      <c r="P363" s="702"/>
      <c r="Q363" s="681"/>
    </row>
    <row r="364" spans="1:17" ht="14.4" customHeight="1" x14ac:dyDescent="0.3">
      <c r="A364" s="675" t="s">
        <v>484</v>
      </c>
      <c r="B364" s="676" t="s">
        <v>2243</v>
      </c>
      <c r="C364" s="676" t="s">
        <v>2675</v>
      </c>
      <c r="D364" s="676" t="s">
        <v>2883</v>
      </c>
      <c r="E364" s="676" t="s">
        <v>2884</v>
      </c>
      <c r="F364" s="680"/>
      <c r="G364" s="680"/>
      <c r="H364" s="680"/>
      <c r="I364" s="680"/>
      <c r="J364" s="680">
        <v>4</v>
      </c>
      <c r="K364" s="680">
        <v>45352</v>
      </c>
      <c r="L364" s="680">
        <v>1</v>
      </c>
      <c r="M364" s="680">
        <v>11338</v>
      </c>
      <c r="N364" s="680"/>
      <c r="O364" s="680"/>
      <c r="P364" s="702"/>
      <c r="Q364" s="681"/>
    </row>
    <row r="365" spans="1:17" ht="14.4" customHeight="1" x14ac:dyDescent="0.3">
      <c r="A365" s="675" t="s">
        <v>484</v>
      </c>
      <c r="B365" s="676" t="s">
        <v>2243</v>
      </c>
      <c r="C365" s="676" t="s">
        <v>2675</v>
      </c>
      <c r="D365" s="676" t="s">
        <v>2885</v>
      </c>
      <c r="E365" s="676" t="s">
        <v>2886</v>
      </c>
      <c r="F365" s="680"/>
      <c r="G365" s="680"/>
      <c r="H365" s="680"/>
      <c r="I365" s="680"/>
      <c r="J365" s="680">
        <v>1</v>
      </c>
      <c r="K365" s="680">
        <v>2707</v>
      </c>
      <c r="L365" s="680">
        <v>1</v>
      </c>
      <c r="M365" s="680">
        <v>2707</v>
      </c>
      <c r="N365" s="680"/>
      <c r="O365" s="680"/>
      <c r="P365" s="702"/>
      <c r="Q365" s="681"/>
    </row>
    <row r="366" spans="1:17" ht="14.4" customHeight="1" x14ac:dyDescent="0.3">
      <c r="A366" s="675" t="s">
        <v>484</v>
      </c>
      <c r="B366" s="676" t="s">
        <v>2243</v>
      </c>
      <c r="C366" s="676" t="s">
        <v>2675</v>
      </c>
      <c r="D366" s="676" t="s">
        <v>2887</v>
      </c>
      <c r="E366" s="676" t="s">
        <v>2888</v>
      </c>
      <c r="F366" s="680"/>
      <c r="G366" s="680"/>
      <c r="H366" s="680"/>
      <c r="I366" s="680"/>
      <c r="J366" s="680">
        <v>5</v>
      </c>
      <c r="K366" s="680">
        <v>23040</v>
      </c>
      <c r="L366" s="680">
        <v>1</v>
      </c>
      <c r="M366" s="680">
        <v>4608</v>
      </c>
      <c r="N366" s="680"/>
      <c r="O366" s="680"/>
      <c r="P366" s="702"/>
      <c r="Q366" s="681"/>
    </row>
    <row r="367" spans="1:17" ht="14.4" customHeight="1" x14ac:dyDescent="0.3">
      <c r="A367" s="675" t="s">
        <v>484</v>
      </c>
      <c r="B367" s="676" t="s">
        <v>2243</v>
      </c>
      <c r="C367" s="676" t="s">
        <v>2675</v>
      </c>
      <c r="D367" s="676" t="s">
        <v>2889</v>
      </c>
      <c r="E367" s="676" t="s">
        <v>2890</v>
      </c>
      <c r="F367" s="680"/>
      <c r="G367" s="680"/>
      <c r="H367" s="680"/>
      <c r="I367" s="680"/>
      <c r="J367" s="680">
        <v>4</v>
      </c>
      <c r="K367" s="680">
        <v>10828</v>
      </c>
      <c r="L367" s="680">
        <v>1</v>
      </c>
      <c r="M367" s="680">
        <v>2707</v>
      </c>
      <c r="N367" s="680"/>
      <c r="O367" s="680"/>
      <c r="P367" s="702"/>
      <c r="Q367" s="681"/>
    </row>
    <row r="368" spans="1:17" ht="14.4" customHeight="1" x14ac:dyDescent="0.3">
      <c r="A368" s="675" t="s">
        <v>484</v>
      </c>
      <c r="B368" s="676" t="s">
        <v>2243</v>
      </c>
      <c r="C368" s="676" t="s">
        <v>2675</v>
      </c>
      <c r="D368" s="676" t="s">
        <v>2891</v>
      </c>
      <c r="E368" s="676" t="s">
        <v>2892</v>
      </c>
      <c r="F368" s="680">
        <v>1</v>
      </c>
      <c r="G368" s="680">
        <v>1386.65</v>
      </c>
      <c r="H368" s="680">
        <v>1</v>
      </c>
      <c r="I368" s="680">
        <v>1386.65</v>
      </c>
      <c r="J368" s="680">
        <v>1</v>
      </c>
      <c r="K368" s="680">
        <v>1386.65</v>
      </c>
      <c r="L368" s="680">
        <v>1</v>
      </c>
      <c r="M368" s="680">
        <v>1386.65</v>
      </c>
      <c r="N368" s="680"/>
      <c r="O368" s="680"/>
      <c r="P368" s="702"/>
      <c r="Q368" s="681"/>
    </row>
    <row r="369" spans="1:17" ht="14.4" customHeight="1" x14ac:dyDescent="0.3">
      <c r="A369" s="675" t="s">
        <v>484</v>
      </c>
      <c r="B369" s="676" t="s">
        <v>2243</v>
      </c>
      <c r="C369" s="676" t="s">
        <v>2675</v>
      </c>
      <c r="D369" s="676" t="s">
        <v>2893</v>
      </c>
      <c r="E369" s="676" t="s">
        <v>2894</v>
      </c>
      <c r="F369" s="680">
        <v>1</v>
      </c>
      <c r="G369" s="680">
        <v>9139.69</v>
      </c>
      <c r="H369" s="680">
        <v>1</v>
      </c>
      <c r="I369" s="680">
        <v>9139.69</v>
      </c>
      <c r="J369" s="680">
        <v>1</v>
      </c>
      <c r="K369" s="680">
        <v>9139.69</v>
      </c>
      <c r="L369" s="680">
        <v>1</v>
      </c>
      <c r="M369" s="680">
        <v>9139.69</v>
      </c>
      <c r="N369" s="680"/>
      <c r="O369" s="680"/>
      <c r="P369" s="702"/>
      <c r="Q369" s="681"/>
    </row>
    <row r="370" spans="1:17" ht="14.4" customHeight="1" x14ac:dyDescent="0.3">
      <c r="A370" s="675" t="s">
        <v>484</v>
      </c>
      <c r="B370" s="676" t="s">
        <v>2243</v>
      </c>
      <c r="C370" s="676" t="s">
        <v>2675</v>
      </c>
      <c r="D370" s="676" t="s">
        <v>2895</v>
      </c>
      <c r="E370" s="676" t="s">
        <v>2896</v>
      </c>
      <c r="F370" s="680">
        <v>2</v>
      </c>
      <c r="G370" s="680">
        <v>4259.46</v>
      </c>
      <c r="H370" s="680"/>
      <c r="I370" s="680">
        <v>2129.73</v>
      </c>
      <c r="J370" s="680"/>
      <c r="K370" s="680"/>
      <c r="L370" s="680"/>
      <c r="M370" s="680"/>
      <c r="N370" s="680">
        <v>2</v>
      </c>
      <c r="O370" s="680">
        <v>4259.46</v>
      </c>
      <c r="P370" s="702"/>
      <c r="Q370" s="681">
        <v>2129.73</v>
      </c>
    </row>
    <row r="371" spans="1:17" ht="14.4" customHeight="1" x14ac:dyDescent="0.3">
      <c r="A371" s="675" t="s">
        <v>484</v>
      </c>
      <c r="B371" s="676" t="s">
        <v>2243</v>
      </c>
      <c r="C371" s="676" t="s">
        <v>2675</v>
      </c>
      <c r="D371" s="676" t="s">
        <v>2897</v>
      </c>
      <c r="E371" s="676" t="s">
        <v>2898</v>
      </c>
      <c r="F371" s="680">
        <v>1</v>
      </c>
      <c r="G371" s="680">
        <v>3960</v>
      </c>
      <c r="H371" s="680"/>
      <c r="I371" s="680">
        <v>3960</v>
      </c>
      <c r="J371" s="680"/>
      <c r="K371" s="680"/>
      <c r="L371" s="680"/>
      <c r="M371" s="680"/>
      <c r="N371" s="680"/>
      <c r="O371" s="680"/>
      <c r="P371" s="702"/>
      <c r="Q371" s="681"/>
    </row>
    <row r="372" spans="1:17" ht="14.4" customHeight="1" x14ac:dyDescent="0.3">
      <c r="A372" s="675" t="s">
        <v>484</v>
      </c>
      <c r="B372" s="676" t="s">
        <v>2243</v>
      </c>
      <c r="C372" s="676" t="s">
        <v>2675</v>
      </c>
      <c r="D372" s="676" t="s">
        <v>2899</v>
      </c>
      <c r="E372" s="676" t="s">
        <v>2900</v>
      </c>
      <c r="F372" s="680">
        <v>6</v>
      </c>
      <c r="G372" s="680">
        <v>3301.8</v>
      </c>
      <c r="H372" s="680"/>
      <c r="I372" s="680">
        <v>550.30000000000007</v>
      </c>
      <c r="J372" s="680"/>
      <c r="K372" s="680"/>
      <c r="L372" s="680"/>
      <c r="M372" s="680"/>
      <c r="N372" s="680"/>
      <c r="O372" s="680"/>
      <c r="P372" s="702"/>
      <c r="Q372" s="681"/>
    </row>
    <row r="373" spans="1:17" ht="14.4" customHeight="1" x14ac:dyDescent="0.3">
      <c r="A373" s="675" t="s">
        <v>484</v>
      </c>
      <c r="B373" s="676" t="s">
        <v>2243</v>
      </c>
      <c r="C373" s="676" t="s">
        <v>2675</v>
      </c>
      <c r="D373" s="676" t="s">
        <v>2901</v>
      </c>
      <c r="E373" s="676" t="s">
        <v>2902</v>
      </c>
      <c r="F373" s="680"/>
      <c r="G373" s="680"/>
      <c r="H373" s="680"/>
      <c r="I373" s="680"/>
      <c r="J373" s="680"/>
      <c r="K373" s="680"/>
      <c r="L373" s="680"/>
      <c r="M373" s="680"/>
      <c r="N373" s="680">
        <v>1</v>
      </c>
      <c r="O373" s="680">
        <v>10522.82</v>
      </c>
      <c r="P373" s="702"/>
      <c r="Q373" s="681">
        <v>10522.82</v>
      </c>
    </row>
    <row r="374" spans="1:17" ht="14.4" customHeight="1" x14ac:dyDescent="0.3">
      <c r="A374" s="675" t="s">
        <v>484</v>
      </c>
      <c r="B374" s="676" t="s">
        <v>2243</v>
      </c>
      <c r="C374" s="676" t="s">
        <v>2675</v>
      </c>
      <c r="D374" s="676" t="s">
        <v>2903</v>
      </c>
      <c r="E374" s="676" t="s">
        <v>2904</v>
      </c>
      <c r="F374" s="680">
        <v>3</v>
      </c>
      <c r="G374" s="680">
        <v>12546.12</v>
      </c>
      <c r="H374" s="680"/>
      <c r="I374" s="680">
        <v>4182.04</v>
      </c>
      <c r="J374" s="680"/>
      <c r="K374" s="680"/>
      <c r="L374" s="680"/>
      <c r="M374" s="680"/>
      <c r="N374" s="680"/>
      <c r="O374" s="680"/>
      <c r="P374" s="702"/>
      <c r="Q374" s="681"/>
    </row>
    <row r="375" spans="1:17" ht="14.4" customHeight="1" x14ac:dyDescent="0.3">
      <c r="A375" s="675" t="s">
        <v>484</v>
      </c>
      <c r="B375" s="676" t="s">
        <v>2243</v>
      </c>
      <c r="C375" s="676" t="s">
        <v>2675</v>
      </c>
      <c r="D375" s="676" t="s">
        <v>2905</v>
      </c>
      <c r="E375" s="676" t="s">
        <v>2906</v>
      </c>
      <c r="F375" s="680"/>
      <c r="G375" s="680"/>
      <c r="H375" s="680"/>
      <c r="I375" s="680"/>
      <c r="J375" s="680">
        <v>1</v>
      </c>
      <c r="K375" s="680">
        <v>4487.38</v>
      </c>
      <c r="L375" s="680">
        <v>1</v>
      </c>
      <c r="M375" s="680">
        <v>4487.38</v>
      </c>
      <c r="N375" s="680">
        <v>1</v>
      </c>
      <c r="O375" s="680">
        <v>4487.38</v>
      </c>
      <c r="P375" s="702">
        <v>1</v>
      </c>
      <c r="Q375" s="681">
        <v>4487.38</v>
      </c>
    </row>
    <row r="376" spans="1:17" ht="14.4" customHeight="1" x14ac:dyDescent="0.3">
      <c r="A376" s="675" t="s">
        <v>484</v>
      </c>
      <c r="B376" s="676" t="s">
        <v>2243</v>
      </c>
      <c r="C376" s="676" t="s">
        <v>2675</v>
      </c>
      <c r="D376" s="676" t="s">
        <v>2907</v>
      </c>
      <c r="E376" s="676" t="s">
        <v>2908</v>
      </c>
      <c r="F376" s="680"/>
      <c r="G376" s="680"/>
      <c r="H376" s="680"/>
      <c r="I376" s="680"/>
      <c r="J376" s="680">
        <v>3</v>
      </c>
      <c r="K376" s="680">
        <v>469.47</v>
      </c>
      <c r="L376" s="680">
        <v>1</v>
      </c>
      <c r="M376" s="680">
        <v>156.49</v>
      </c>
      <c r="N376" s="680">
        <v>20</v>
      </c>
      <c r="O376" s="680">
        <v>3129.8</v>
      </c>
      <c r="P376" s="702">
        <v>6.666666666666667</v>
      </c>
      <c r="Q376" s="681">
        <v>156.49</v>
      </c>
    </row>
    <row r="377" spans="1:17" ht="14.4" customHeight="1" x14ac:dyDescent="0.3">
      <c r="A377" s="675" t="s">
        <v>484</v>
      </c>
      <c r="B377" s="676" t="s">
        <v>2243</v>
      </c>
      <c r="C377" s="676" t="s">
        <v>2675</v>
      </c>
      <c r="D377" s="676" t="s">
        <v>2909</v>
      </c>
      <c r="E377" s="676" t="s">
        <v>2908</v>
      </c>
      <c r="F377" s="680"/>
      <c r="G377" s="680"/>
      <c r="H377" s="680"/>
      <c r="I377" s="680"/>
      <c r="J377" s="680">
        <v>13</v>
      </c>
      <c r="K377" s="680">
        <v>2236.52</v>
      </c>
      <c r="L377" s="680">
        <v>1</v>
      </c>
      <c r="M377" s="680">
        <v>172.04</v>
      </c>
      <c r="N377" s="680">
        <v>14</v>
      </c>
      <c r="O377" s="680">
        <v>2408.56</v>
      </c>
      <c r="P377" s="702">
        <v>1.0769230769230769</v>
      </c>
      <c r="Q377" s="681">
        <v>172.04</v>
      </c>
    </row>
    <row r="378" spans="1:17" ht="14.4" customHeight="1" x14ac:dyDescent="0.3">
      <c r="A378" s="675" t="s">
        <v>484</v>
      </c>
      <c r="B378" s="676" t="s">
        <v>2243</v>
      </c>
      <c r="C378" s="676" t="s">
        <v>2675</v>
      </c>
      <c r="D378" s="676" t="s">
        <v>2910</v>
      </c>
      <c r="E378" s="676" t="s">
        <v>2908</v>
      </c>
      <c r="F378" s="680"/>
      <c r="G378" s="680"/>
      <c r="H378" s="680"/>
      <c r="I378" s="680"/>
      <c r="J378" s="680"/>
      <c r="K378" s="680"/>
      <c r="L378" s="680"/>
      <c r="M378" s="680"/>
      <c r="N378" s="680">
        <v>1</v>
      </c>
      <c r="O378" s="680">
        <v>312.98</v>
      </c>
      <c r="P378" s="702"/>
      <c r="Q378" s="681">
        <v>312.98</v>
      </c>
    </row>
    <row r="379" spans="1:17" ht="14.4" customHeight="1" x14ac:dyDescent="0.3">
      <c r="A379" s="675" t="s">
        <v>484</v>
      </c>
      <c r="B379" s="676" t="s">
        <v>2243</v>
      </c>
      <c r="C379" s="676" t="s">
        <v>2675</v>
      </c>
      <c r="D379" s="676" t="s">
        <v>2911</v>
      </c>
      <c r="E379" s="676" t="s">
        <v>2908</v>
      </c>
      <c r="F379" s="680"/>
      <c r="G379" s="680"/>
      <c r="H379" s="680"/>
      <c r="I379" s="680"/>
      <c r="J379" s="680">
        <v>2</v>
      </c>
      <c r="K379" s="680">
        <v>750.32</v>
      </c>
      <c r="L379" s="680">
        <v>1</v>
      </c>
      <c r="M379" s="680">
        <v>375.16</v>
      </c>
      <c r="N379" s="680">
        <v>34</v>
      </c>
      <c r="O379" s="680">
        <v>12755.44</v>
      </c>
      <c r="P379" s="702">
        <v>17</v>
      </c>
      <c r="Q379" s="681">
        <v>375.16</v>
      </c>
    </row>
    <row r="380" spans="1:17" ht="14.4" customHeight="1" x14ac:dyDescent="0.3">
      <c r="A380" s="675" t="s">
        <v>484</v>
      </c>
      <c r="B380" s="676" t="s">
        <v>2243</v>
      </c>
      <c r="C380" s="676" t="s">
        <v>2675</v>
      </c>
      <c r="D380" s="676" t="s">
        <v>2912</v>
      </c>
      <c r="E380" s="676" t="s">
        <v>2908</v>
      </c>
      <c r="F380" s="680"/>
      <c r="G380" s="680"/>
      <c r="H380" s="680"/>
      <c r="I380" s="680"/>
      <c r="J380" s="680"/>
      <c r="K380" s="680"/>
      <c r="L380" s="680"/>
      <c r="M380" s="680"/>
      <c r="N380" s="680">
        <v>14</v>
      </c>
      <c r="O380" s="680">
        <v>7515.76</v>
      </c>
      <c r="P380" s="702"/>
      <c r="Q380" s="681">
        <v>536.84</v>
      </c>
    </row>
    <row r="381" spans="1:17" ht="14.4" customHeight="1" x14ac:dyDescent="0.3">
      <c r="A381" s="675" t="s">
        <v>484</v>
      </c>
      <c r="B381" s="676" t="s">
        <v>2243</v>
      </c>
      <c r="C381" s="676" t="s">
        <v>2675</v>
      </c>
      <c r="D381" s="676" t="s">
        <v>2913</v>
      </c>
      <c r="E381" s="676" t="s">
        <v>2908</v>
      </c>
      <c r="F381" s="680"/>
      <c r="G381" s="680"/>
      <c r="H381" s="680"/>
      <c r="I381" s="680"/>
      <c r="J381" s="680"/>
      <c r="K381" s="680"/>
      <c r="L381" s="680"/>
      <c r="M381" s="680"/>
      <c r="N381" s="680">
        <v>1</v>
      </c>
      <c r="O381" s="680">
        <v>417.65</v>
      </c>
      <c r="P381" s="702"/>
      <c r="Q381" s="681">
        <v>417.65</v>
      </c>
    </row>
    <row r="382" spans="1:17" ht="14.4" customHeight="1" x14ac:dyDescent="0.3">
      <c r="A382" s="675" t="s">
        <v>484</v>
      </c>
      <c r="B382" s="676" t="s">
        <v>2243</v>
      </c>
      <c r="C382" s="676" t="s">
        <v>2675</v>
      </c>
      <c r="D382" s="676" t="s">
        <v>2914</v>
      </c>
      <c r="E382" s="676" t="s">
        <v>2908</v>
      </c>
      <c r="F382" s="680"/>
      <c r="G382" s="680"/>
      <c r="H382" s="680"/>
      <c r="I382" s="680"/>
      <c r="J382" s="680">
        <v>1</v>
      </c>
      <c r="K382" s="680">
        <v>519.22</v>
      </c>
      <c r="L382" s="680">
        <v>1</v>
      </c>
      <c r="M382" s="680">
        <v>519.22</v>
      </c>
      <c r="N382" s="680">
        <v>14</v>
      </c>
      <c r="O382" s="680">
        <v>7269.08</v>
      </c>
      <c r="P382" s="702">
        <v>14</v>
      </c>
      <c r="Q382" s="681">
        <v>519.22</v>
      </c>
    </row>
    <row r="383" spans="1:17" ht="14.4" customHeight="1" x14ac:dyDescent="0.3">
      <c r="A383" s="675" t="s">
        <v>484</v>
      </c>
      <c r="B383" s="676" t="s">
        <v>2243</v>
      </c>
      <c r="C383" s="676" t="s">
        <v>2675</v>
      </c>
      <c r="D383" s="676" t="s">
        <v>2915</v>
      </c>
      <c r="E383" s="676" t="s">
        <v>2916</v>
      </c>
      <c r="F383" s="680">
        <v>1</v>
      </c>
      <c r="G383" s="680">
        <v>563</v>
      </c>
      <c r="H383" s="680"/>
      <c r="I383" s="680">
        <v>563</v>
      </c>
      <c r="J383" s="680"/>
      <c r="K383" s="680"/>
      <c r="L383" s="680"/>
      <c r="M383" s="680"/>
      <c r="N383" s="680">
        <v>1</v>
      </c>
      <c r="O383" s="680">
        <v>563</v>
      </c>
      <c r="P383" s="702"/>
      <c r="Q383" s="681">
        <v>563</v>
      </c>
    </row>
    <row r="384" spans="1:17" ht="14.4" customHeight="1" x14ac:dyDescent="0.3">
      <c r="A384" s="675" t="s">
        <v>484</v>
      </c>
      <c r="B384" s="676" t="s">
        <v>2243</v>
      </c>
      <c r="C384" s="676" t="s">
        <v>2675</v>
      </c>
      <c r="D384" s="676" t="s">
        <v>2917</v>
      </c>
      <c r="E384" s="676" t="s">
        <v>2918</v>
      </c>
      <c r="F384" s="680">
        <v>1</v>
      </c>
      <c r="G384" s="680">
        <v>15234.55</v>
      </c>
      <c r="H384" s="680"/>
      <c r="I384" s="680">
        <v>15234.55</v>
      </c>
      <c r="J384" s="680"/>
      <c r="K384" s="680"/>
      <c r="L384" s="680"/>
      <c r="M384" s="680"/>
      <c r="N384" s="680"/>
      <c r="O384" s="680"/>
      <c r="P384" s="702"/>
      <c r="Q384" s="681"/>
    </row>
    <row r="385" spans="1:17" ht="14.4" customHeight="1" x14ac:dyDescent="0.3">
      <c r="A385" s="675" t="s">
        <v>484</v>
      </c>
      <c r="B385" s="676" t="s">
        <v>2243</v>
      </c>
      <c r="C385" s="676" t="s">
        <v>2675</v>
      </c>
      <c r="D385" s="676" t="s">
        <v>2919</v>
      </c>
      <c r="E385" s="676" t="s">
        <v>2920</v>
      </c>
      <c r="F385" s="680">
        <v>1</v>
      </c>
      <c r="G385" s="680">
        <v>10188.49</v>
      </c>
      <c r="H385" s="680"/>
      <c r="I385" s="680">
        <v>10188.49</v>
      </c>
      <c r="J385" s="680"/>
      <c r="K385" s="680"/>
      <c r="L385" s="680"/>
      <c r="M385" s="680"/>
      <c r="N385" s="680"/>
      <c r="O385" s="680"/>
      <c r="P385" s="702"/>
      <c r="Q385" s="681"/>
    </row>
    <row r="386" spans="1:17" ht="14.4" customHeight="1" x14ac:dyDescent="0.3">
      <c r="A386" s="675" t="s">
        <v>484</v>
      </c>
      <c r="B386" s="676" t="s">
        <v>2243</v>
      </c>
      <c r="C386" s="676" t="s">
        <v>2675</v>
      </c>
      <c r="D386" s="676" t="s">
        <v>2921</v>
      </c>
      <c r="E386" s="676" t="s">
        <v>2801</v>
      </c>
      <c r="F386" s="680"/>
      <c r="G386" s="680"/>
      <c r="H386" s="680"/>
      <c r="I386" s="680"/>
      <c r="J386" s="680">
        <v>1</v>
      </c>
      <c r="K386" s="680">
        <v>1872.2</v>
      </c>
      <c r="L386" s="680">
        <v>1</v>
      </c>
      <c r="M386" s="680">
        <v>1872.2</v>
      </c>
      <c r="N386" s="680"/>
      <c r="O386" s="680"/>
      <c r="P386" s="702"/>
      <c r="Q386" s="681"/>
    </row>
    <row r="387" spans="1:17" ht="14.4" customHeight="1" x14ac:dyDescent="0.3">
      <c r="A387" s="675" t="s">
        <v>484</v>
      </c>
      <c r="B387" s="676" t="s">
        <v>2243</v>
      </c>
      <c r="C387" s="676" t="s">
        <v>2675</v>
      </c>
      <c r="D387" s="676" t="s">
        <v>2922</v>
      </c>
      <c r="E387" s="676" t="s">
        <v>2923</v>
      </c>
      <c r="F387" s="680"/>
      <c r="G387" s="680"/>
      <c r="H387" s="680"/>
      <c r="I387" s="680"/>
      <c r="J387" s="680"/>
      <c r="K387" s="680"/>
      <c r="L387" s="680"/>
      <c r="M387" s="680"/>
      <c r="N387" s="680">
        <v>1</v>
      </c>
      <c r="O387" s="680">
        <v>7868.61</v>
      </c>
      <c r="P387" s="702"/>
      <c r="Q387" s="681">
        <v>7868.61</v>
      </c>
    </row>
    <row r="388" spans="1:17" ht="14.4" customHeight="1" x14ac:dyDescent="0.3">
      <c r="A388" s="675" t="s">
        <v>484</v>
      </c>
      <c r="B388" s="676" t="s">
        <v>2243</v>
      </c>
      <c r="C388" s="676" t="s">
        <v>2675</v>
      </c>
      <c r="D388" s="676" t="s">
        <v>2924</v>
      </c>
      <c r="E388" s="676" t="s">
        <v>2864</v>
      </c>
      <c r="F388" s="680"/>
      <c r="G388" s="680"/>
      <c r="H388" s="680"/>
      <c r="I388" s="680"/>
      <c r="J388" s="680"/>
      <c r="K388" s="680"/>
      <c r="L388" s="680"/>
      <c r="M388" s="680"/>
      <c r="N388" s="680">
        <v>1</v>
      </c>
      <c r="O388" s="680">
        <v>1158.6500000000001</v>
      </c>
      <c r="P388" s="702"/>
      <c r="Q388" s="681">
        <v>1158.6500000000001</v>
      </c>
    </row>
    <row r="389" spans="1:17" ht="14.4" customHeight="1" x14ac:dyDescent="0.3">
      <c r="A389" s="675" t="s">
        <v>484</v>
      </c>
      <c r="B389" s="676" t="s">
        <v>2243</v>
      </c>
      <c r="C389" s="676" t="s">
        <v>2675</v>
      </c>
      <c r="D389" s="676" t="s">
        <v>2925</v>
      </c>
      <c r="E389" s="676" t="s">
        <v>2926</v>
      </c>
      <c r="F389" s="680"/>
      <c r="G389" s="680"/>
      <c r="H389" s="680"/>
      <c r="I389" s="680"/>
      <c r="J389" s="680"/>
      <c r="K389" s="680"/>
      <c r="L389" s="680"/>
      <c r="M389" s="680"/>
      <c r="N389" s="680">
        <v>1</v>
      </c>
      <c r="O389" s="680">
        <v>937.91</v>
      </c>
      <c r="P389" s="702"/>
      <c r="Q389" s="681">
        <v>937.91</v>
      </c>
    </row>
    <row r="390" spans="1:17" ht="14.4" customHeight="1" x14ac:dyDescent="0.3">
      <c r="A390" s="675" t="s">
        <v>484</v>
      </c>
      <c r="B390" s="676" t="s">
        <v>2243</v>
      </c>
      <c r="C390" s="676" t="s">
        <v>2675</v>
      </c>
      <c r="D390" s="676" t="s">
        <v>2927</v>
      </c>
      <c r="E390" s="676" t="s">
        <v>2928</v>
      </c>
      <c r="F390" s="680"/>
      <c r="G390" s="680"/>
      <c r="H390" s="680"/>
      <c r="I390" s="680"/>
      <c r="J390" s="680">
        <v>1</v>
      </c>
      <c r="K390" s="680">
        <v>5486</v>
      </c>
      <c r="L390" s="680">
        <v>1</v>
      </c>
      <c r="M390" s="680">
        <v>5486</v>
      </c>
      <c r="N390" s="680"/>
      <c r="O390" s="680"/>
      <c r="P390" s="702"/>
      <c r="Q390" s="681"/>
    </row>
    <row r="391" spans="1:17" ht="14.4" customHeight="1" x14ac:dyDescent="0.3">
      <c r="A391" s="675" t="s">
        <v>484</v>
      </c>
      <c r="B391" s="676" t="s">
        <v>2243</v>
      </c>
      <c r="C391" s="676" t="s">
        <v>2675</v>
      </c>
      <c r="D391" s="676" t="s">
        <v>2929</v>
      </c>
      <c r="E391" s="676" t="s">
        <v>2771</v>
      </c>
      <c r="F391" s="680"/>
      <c r="G391" s="680"/>
      <c r="H391" s="680"/>
      <c r="I391" s="680"/>
      <c r="J391" s="680"/>
      <c r="K391" s="680"/>
      <c r="L391" s="680"/>
      <c r="M391" s="680"/>
      <c r="N391" s="680">
        <v>2</v>
      </c>
      <c r="O391" s="680">
        <v>1365.92</v>
      </c>
      <c r="P391" s="702"/>
      <c r="Q391" s="681">
        <v>682.96</v>
      </c>
    </row>
    <row r="392" spans="1:17" ht="14.4" customHeight="1" x14ac:dyDescent="0.3">
      <c r="A392" s="675" t="s">
        <v>484</v>
      </c>
      <c r="B392" s="676" t="s">
        <v>2243</v>
      </c>
      <c r="C392" s="676" t="s">
        <v>2675</v>
      </c>
      <c r="D392" s="676" t="s">
        <v>2930</v>
      </c>
      <c r="E392" s="676" t="s">
        <v>2931</v>
      </c>
      <c r="F392" s="680"/>
      <c r="G392" s="680"/>
      <c r="H392" s="680"/>
      <c r="I392" s="680"/>
      <c r="J392" s="680"/>
      <c r="K392" s="680"/>
      <c r="L392" s="680"/>
      <c r="M392" s="680"/>
      <c r="N392" s="680">
        <v>1</v>
      </c>
      <c r="O392" s="680">
        <v>1212.55</v>
      </c>
      <c r="P392" s="702"/>
      <c r="Q392" s="681">
        <v>1212.55</v>
      </c>
    </row>
    <row r="393" spans="1:17" ht="14.4" customHeight="1" x14ac:dyDescent="0.3">
      <c r="A393" s="675" t="s">
        <v>484</v>
      </c>
      <c r="B393" s="676" t="s">
        <v>2243</v>
      </c>
      <c r="C393" s="676" t="s">
        <v>2675</v>
      </c>
      <c r="D393" s="676" t="s">
        <v>2932</v>
      </c>
      <c r="E393" s="676" t="s">
        <v>2933</v>
      </c>
      <c r="F393" s="680">
        <v>1</v>
      </c>
      <c r="G393" s="680">
        <v>1430.18</v>
      </c>
      <c r="H393" s="680"/>
      <c r="I393" s="680">
        <v>1430.18</v>
      </c>
      <c r="J393" s="680"/>
      <c r="K393" s="680"/>
      <c r="L393" s="680"/>
      <c r="M393" s="680"/>
      <c r="N393" s="680">
        <v>11</v>
      </c>
      <c r="O393" s="680">
        <v>15731.980000000001</v>
      </c>
      <c r="P393" s="702"/>
      <c r="Q393" s="681">
        <v>1430.18</v>
      </c>
    </row>
    <row r="394" spans="1:17" ht="14.4" customHeight="1" x14ac:dyDescent="0.3">
      <c r="A394" s="675" t="s">
        <v>484</v>
      </c>
      <c r="B394" s="676" t="s">
        <v>2243</v>
      </c>
      <c r="C394" s="676" t="s">
        <v>2675</v>
      </c>
      <c r="D394" s="676" t="s">
        <v>2934</v>
      </c>
      <c r="E394" s="676" t="s">
        <v>2935</v>
      </c>
      <c r="F394" s="680"/>
      <c r="G394" s="680"/>
      <c r="H394" s="680"/>
      <c r="I394" s="680"/>
      <c r="J394" s="680">
        <v>1</v>
      </c>
      <c r="K394" s="680">
        <v>12468.8</v>
      </c>
      <c r="L394" s="680">
        <v>1</v>
      </c>
      <c r="M394" s="680">
        <v>12468.8</v>
      </c>
      <c r="N394" s="680"/>
      <c r="O394" s="680"/>
      <c r="P394" s="702"/>
      <c r="Q394" s="681"/>
    </row>
    <row r="395" spans="1:17" ht="14.4" customHeight="1" x14ac:dyDescent="0.3">
      <c r="A395" s="675" t="s">
        <v>484</v>
      </c>
      <c r="B395" s="676" t="s">
        <v>2243</v>
      </c>
      <c r="C395" s="676" t="s">
        <v>2675</v>
      </c>
      <c r="D395" s="676" t="s">
        <v>2936</v>
      </c>
      <c r="E395" s="676" t="s">
        <v>2937</v>
      </c>
      <c r="F395" s="680">
        <v>1</v>
      </c>
      <c r="G395" s="680">
        <v>1030</v>
      </c>
      <c r="H395" s="680">
        <v>0.5</v>
      </c>
      <c r="I395" s="680">
        <v>1030</v>
      </c>
      <c r="J395" s="680">
        <v>2</v>
      </c>
      <c r="K395" s="680">
        <v>2060</v>
      </c>
      <c r="L395" s="680">
        <v>1</v>
      </c>
      <c r="M395" s="680">
        <v>1030</v>
      </c>
      <c r="N395" s="680"/>
      <c r="O395" s="680"/>
      <c r="P395" s="702"/>
      <c r="Q395" s="681"/>
    </row>
    <row r="396" spans="1:17" ht="14.4" customHeight="1" x14ac:dyDescent="0.3">
      <c r="A396" s="675" t="s">
        <v>484</v>
      </c>
      <c r="B396" s="676" t="s">
        <v>2243</v>
      </c>
      <c r="C396" s="676" t="s">
        <v>2675</v>
      </c>
      <c r="D396" s="676" t="s">
        <v>2938</v>
      </c>
      <c r="E396" s="676" t="s">
        <v>2939</v>
      </c>
      <c r="F396" s="680">
        <v>4</v>
      </c>
      <c r="G396" s="680">
        <v>2064</v>
      </c>
      <c r="H396" s="680">
        <v>2</v>
      </c>
      <c r="I396" s="680">
        <v>516</v>
      </c>
      <c r="J396" s="680">
        <v>2</v>
      </c>
      <c r="K396" s="680">
        <v>1032</v>
      </c>
      <c r="L396" s="680">
        <v>1</v>
      </c>
      <c r="M396" s="680">
        <v>516</v>
      </c>
      <c r="N396" s="680"/>
      <c r="O396" s="680"/>
      <c r="P396" s="702"/>
      <c r="Q396" s="681"/>
    </row>
    <row r="397" spans="1:17" ht="14.4" customHeight="1" x14ac:dyDescent="0.3">
      <c r="A397" s="675" t="s">
        <v>484</v>
      </c>
      <c r="B397" s="676" t="s">
        <v>2243</v>
      </c>
      <c r="C397" s="676" t="s">
        <v>2675</v>
      </c>
      <c r="D397" s="676" t="s">
        <v>2940</v>
      </c>
      <c r="E397" s="676" t="s">
        <v>2941</v>
      </c>
      <c r="F397" s="680">
        <v>3</v>
      </c>
      <c r="G397" s="680">
        <v>1236</v>
      </c>
      <c r="H397" s="680">
        <v>1.5</v>
      </c>
      <c r="I397" s="680">
        <v>412</v>
      </c>
      <c r="J397" s="680">
        <v>2</v>
      </c>
      <c r="K397" s="680">
        <v>824</v>
      </c>
      <c r="L397" s="680">
        <v>1</v>
      </c>
      <c r="M397" s="680">
        <v>412</v>
      </c>
      <c r="N397" s="680"/>
      <c r="O397" s="680"/>
      <c r="P397" s="702"/>
      <c r="Q397" s="681"/>
    </row>
    <row r="398" spans="1:17" ht="14.4" customHeight="1" x14ac:dyDescent="0.3">
      <c r="A398" s="675" t="s">
        <v>484</v>
      </c>
      <c r="B398" s="676" t="s">
        <v>2243</v>
      </c>
      <c r="C398" s="676" t="s">
        <v>2675</v>
      </c>
      <c r="D398" s="676" t="s">
        <v>2942</v>
      </c>
      <c r="E398" s="676" t="s">
        <v>2943</v>
      </c>
      <c r="F398" s="680">
        <v>3</v>
      </c>
      <c r="G398" s="680">
        <v>25362</v>
      </c>
      <c r="H398" s="680">
        <v>1.5</v>
      </c>
      <c r="I398" s="680">
        <v>8454</v>
      </c>
      <c r="J398" s="680">
        <v>2</v>
      </c>
      <c r="K398" s="680">
        <v>16908</v>
      </c>
      <c r="L398" s="680">
        <v>1</v>
      </c>
      <c r="M398" s="680">
        <v>8454</v>
      </c>
      <c r="N398" s="680"/>
      <c r="O398" s="680"/>
      <c r="P398" s="702"/>
      <c r="Q398" s="681"/>
    </row>
    <row r="399" spans="1:17" ht="14.4" customHeight="1" x14ac:dyDescent="0.3">
      <c r="A399" s="675" t="s">
        <v>484</v>
      </c>
      <c r="B399" s="676" t="s">
        <v>2243</v>
      </c>
      <c r="C399" s="676" t="s">
        <v>2675</v>
      </c>
      <c r="D399" s="676" t="s">
        <v>2944</v>
      </c>
      <c r="E399" s="676" t="s">
        <v>2945</v>
      </c>
      <c r="F399" s="680">
        <v>3</v>
      </c>
      <c r="G399" s="680">
        <v>4079.13</v>
      </c>
      <c r="H399" s="680">
        <v>0.27272727272727276</v>
      </c>
      <c r="I399" s="680">
        <v>1359.71</v>
      </c>
      <c r="J399" s="680">
        <v>11</v>
      </c>
      <c r="K399" s="680">
        <v>14956.81</v>
      </c>
      <c r="L399" s="680">
        <v>1</v>
      </c>
      <c r="M399" s="680">
        <v>1359.71</v>
      </c>
      <c r="N399" s="680">
        <v>2</v>
      </c>
      <c r="O399" s="680">
        <v>2719.42</v>
      </c>
      <c r="P399" s="702">
        <v>0.18181818181818182</v>
      </c>
      <c r="Q399" s="681">
        <v>1359.71</v>
      </c>
    </row>
    <row r="400" spans="1:17" ht="14.4" customHeight="1" x14ac:dyDescent="0.3">
      <c r="A400" s="675" t="s">
        <v>484</v>
      </c>
      <c r="B400" s="676" t="s">
        <v>2243</v>
      </c>
      <c r="C400" s="676" t="s">
        <v>2675</v>
      </c>
      <c r="D400" s="676" t="s">
        <v>2946</v>
      </c>
      <c r="E400" s="676" t="s">
        <v>2947</v>
      </c>
      <c r="F400" s="680"/>
      <c r="G400" s="680"/>
      <c r="H400" s="680"/>
      <c r="I400" s="680"/>
      <c r="J400" s="680"/>
      <c r="K400" s="680"/>
      <c r="L400" s="680"/>
      <c r="M400" s="680"/>
      <c r="N400" s="680">
        <v>2</v>
      </c>
      <c r="O400" s="680">
        <v>14180.56</v>
      </c>
      <c r="P400" s="702"/>
      <c r="Q400" s="681">
        <v>7090.28</v>
      </c>
    </row>
    <row r="401" spans="1:17" ht="14.4" customHeight="1" x14ac:dyDescent="0.3">
      <c r="A401" s="675" t="s">
        <v>484</v>
      </c>
      <c r="B401" s="676" t="s">
        <v>2243</v>
      </c>
      <c r="C401" s="676" t="s">
        <v>2675</v>
      </c>
      <c r="D401" s="676" t="s">
        <v>2948</v>
      </c>
      <c r="E401" s="676" t="s">
        <v>2949</v>
      </c>
      <c r="F401" s="680"/>
      <c r="G401" s="680"/>
      <c r="H401" s="680"/>
      <c r="I401" s="680"/>
      <c r="J401" s="680">
        <v>1</v>
      </c>
      <c r="K401" s="680">
        <v>18507</v>
      </c>
      <c r="L401" s="680">
        <v>1</v>
      </c>
      <c r="M401" s="680">
        <v>18507</v>
      </c>
      <c r="N401" s="680"/>
      <c r="O401" s="680"/>
      <c r="P401" s="702"/>
      <c r="Q401" s="681"/>
    </row>
    <row r="402" spans="1:17" ht="14.4" customHeight="1" x14ac:dyDescent="0.3">
      <c r="A402" s="675" t="s">
        <v>484</v>
      </c>
      <c r="B402" s="676" t="s">
        <v>2243</v>
      </c>
      <c r="C402" s="676" t="s">
        <v>2675</v>
      </c>
      <c r="D402" s="676" t="s">
        <v>2950</v>
      </c>
      <c r="E402" s="676" t="s">
        <v>2771</v>
      </c>
      <c r="F402" s="680"/>
      <c r="G402" s="680"/>
      <c r="H402" s="680"/>
      <c r="I402" s="680"/>
      <c r="J402" s="680"/>
      <c r="K402" s="680"/>
      <c r="L402" s="680"/>
      <c r="M402" s="680"/>
      <c r="N402" s="680">
        <v>1</v>
      </c>
      <c r="O402" s="680">
        <v>662.24</v>
      </c>
      <c r="P402" s="702"/>
      <c r="Q402" s="681">
        <v>662.24</v>
      </c>
    </row>
    <row r="403" spans="1:17" ht="14.4" customHeight="1" x14ac:dyDescent="0.3">
      <c r="A403" s="675" t="s">
        <v>484</v>
      </c>
      <c r="B403" s="676" t="s">
        <v>2243</v>
      </c>
      <c r="C403" s="676" t="s">
        <v>2675</v>
      </c>
      <c r="D403" s="676" t="s">
        <v>2951</v>
      </c>
      <c r="E403" s="676" t="s">
        <v>2952</v>
      </c>
      <c r="F403" s="680">
        <v>1</v>
      </c>
      <c r="G403" s="680">
        <v>1075.75</v>
      </c>
      <c r="H403" s="680">
        <v>0.1111111111111111</v>
      </c>
      <c r="I403" s="680">
        <v>1075.75</v>
      </c>
      <c r="J403" s="680">
        <v>9</v>
      </c>
      <c r="K403" s="680">
        <v>9681.75</v>
      </c>
      <c r="L403" s="680">
        <v>1</v>
      </c>
      <c r="M403" s="680">
        <v>1075.75</v>
      </c>
      <c r="N403" s="680">
        <v>19.399999999999999</v>
      </c>
      <c r="O403" s="680">
        <v>20869.55</v>
      </c>
      <c r="P403" s="702">
        <v>2.1555555555555554</v>
      </c>
      <c r="Q403" s="681">
        <v>1075.75</v>
      </c>
    </row>
    <row r="404" spans="1:17" ht="14.4" customHeight="1" x14ac:dyDescent="0.3">
      <c r="A404" s="675" t="s">
        <v>484</v>
      </c>
      <c r="B404" s="676" t="s">
        <v>2243</v>
      </c>
      <c r="C404" s="676" t="s">
        <v>2675</v>
      </c>
      <c r="D404" s="676" t="s">
        <v>2953</v>
      </c>
      <c r="E404" s="676" t="s">
        <v>2954</v>
      </c>
      <c r="F404" s="680"/>
      <c r="G404" s="680"/>
      <c r="H404" s="680"/>
      <c r="I404" s="680"/>
      <c r="J404" s="680">
        <v>6</v>
      </c>
      <c r="K404" s="680">
        <v>4586.3999999999996</v>
      </c>
      <c r="L404" s="680">
        <v>1</v>
      </c>
      <c r="M404" s="680">
        <v>764.4</v>
      </c>
      <c r="N404" s="680">
        <v>6</v>
      </c>
      <c r="O404" s="680">
        <v>4586.3999999999996</v>
      </c>
      <c r="P404" s="702">
        <v>1</v>
      </c>
      <c r="Q404" s="681">
        <v>764.4</v>
      </c>
    </row>
    <row r="405" spans="1:17" ht="14.4" customHeight="1" x14ac:dyDescent="0.3">
      <c r="A405" s="675" t="s">
        <v>484</v>
      </c>
      <c r="B405" s="676" t="s">
        <v>2243</v>
      </c>
      <c r="C405" s="676" t="s">
        <v>2675</v>
      </c>
      <c r="D405" s="676" t="s">
        <v>2955</v>
      </c>
      <c r="E405" s="676" t="s">
        <v>2956</v>
      </c>
      <c r="F405" s="680">
        <v>10</v>
      </c>
      <c r="G405" s="680">
        <v>16167.3</v>
      </c>
      <c r="H405" s="680">
        <v>1.4285714285714284</v>
      </c>
      <c r="I405" s="680">
        <v>1616.73</v>
      </c>
      <c r="J405" s="680">
        <v>7</v>
      </c>
      <c r="K405" s="680">
        <v>11317.11</v>
      </c>
      <c r="L405" s="680">
        <v>1</v>
      </c>
      <c r="M405" s="680">
        <v>1616.73</v>
      </c>
      <c r="N405" s="680">
        <v>13</v>
      </c>
      <c r="O405" s="680">
        <v>21017.489999999998</v>
      </c>
      <c r="P405" s="702">
        <v>1.8571428571428568</v>
      </c>
      <c r="Q405" s="681">
        <v>1616.7299999999998</v>
      </c>
    </row>
    <row r="406" spans="1:17" ht="14.4" customHeight="1" x14ac:dyDescent="0.3">
      <c r="A406" s="675" t="s">
        <v>484</v>
      </c>
      <c r="B406" s="676" t="s">
        <v>2243</v>
      </c>
      <c r="C406" s="676" t="s">
        <v>2675</v>
      </c>
      <c r="D406" s="676" t="s">
        <v>2957</v>
      </c>
      <c r="E406" s="676" t="s">
        <v>2958</v>
      </c>
      <c r="F406" s="680">
        <v>1</v>
      </c>
      <c r="G406" s="680">
        <v>248.73</v>
      </c>
      <c r="H406" s="680"/>
      <c r="I406" s="680">
        <v>248.73</v>
      </c>
      <c r="J406" s="680"/>
      <c r="K406" s="680"/>
      <c r="L406" s="680"/>
      <c r="M406" s="680"/>
      <c r="N406" s="680">
        <v>1</v>
      </c>
      <c r="O406" s="680">
        <v>248.73</v>
      </c>
      <c r="P406" s="702"/>
      <c r="Q406" s="681">
        <v>248.73</v>
      </c>
    </row>
    <row r="407" spans="1:17" ht="14.4" customHeight="1" x14ac:dyDescent="0.3">
      <c r="A407" s="675" t="s">
        <v>484</v>
      </c>
      <c r="B407" s="676" t="s">
        <v>2243</v>
      </c>
      <c r="C407" s="676" t="s">
        <v>2675</v>
      </c>
      <c r="D407" s="676" t="s">
        <v>2959</v>
      </c>
      <c r="E407" s="676" t="s">
        <v>2960</v>
      </c>
      <c r="F407" s="680">
        <v>2</v>
      </c>
      <c r="G407" s="680">
        <v>2553.6</v>
      </c>
      <c r="H407" s="680">
        <v>2</v>
      </c>
      <c r="I407" s="680">
        <v>1276.8</v>
      </c>
      <c r="J407" s="680">
        <v>1</v>
      </c>
      <c r="K407" s="680">
        <v>1276.8</v>
      </c>
      <c r="L407" s="680">
        <v>1</v>
      </c>
      <c r="M407" s="680">
        <v>1276.8</v>
      </c>
      <c r="N407" s="680"/>
      <c r="O407" s="680"/>
      <c r="P407" s="702"/>
      <c r="Q407" s="681"/>
    </row>
    <row r="408" spans="1:17" ht="14.4" customHeight="1" x14ac:dyDescent="0.3">
      <c r="A408" s="675" t="s">
        <v>484</v>
      </c>
      <c r="B408" s="676" t="s">
        <v>2243</v>
      </c>
      <c r="C408" s="676" t="s">
        <v>2675</v>
      </c>
      <c r="D408" s="676" t="s">
        <v>2961</v>
      </c>
      <c r="E408" s="676" t="s">
        <v>2962</v>
      </c>
      <c r="F408" s="680"/>
      <c r="G408" s="680"/>
      <c r="H408" s="680"/>
      <c r="I408" s="680"/>
      <c r="J408" s="680">
        <v>9</v>
      </c>
      <c r="K408" s="680">
        <v>800.1</v>
      </c>
      <c r="L408" s="680">
        <v>1</v>
      </c>
      <c r="M408" s="680">
        <v>88.9</v>
      </c>
      <c r="N408" s="680">
        <v>2</v>
      </c>
      <c r="O408" s="680">
        <v>177.8</v>
      </c>
      <c r="P408" s="702">
        <v>0.22222222222222224</v>
      </c>
      <c r="Q408" s="681">
        <v>88.9</v>
      </c>
    </row>
    <row r="409" spans="1:17" ht="14.4" customHeight="1" x14ac:dyDescent="0.3">
      <c r="A409" s="675" t="s">
        <v>484</v>
      </c>
      <c r="B409" s="676" t="s">
        <v>2243</v>
      </c>
      <c r="C409" s="676" t="s">
        <v>2675</v>
      </c>
      <c r="D409" s="676" t="s">
        <v>2963</v>
      </c>
      <c r="E409" s="676" t="s">
        <v>2964</v>
      </c>
      <c r="F409" s="680">
        <v>1</v>
      </c>
      <c r="G409" s="680">
        <v>1497.44</v>
      </c>
      <c r="H409" s="680"/>
      <c r="I409" s="680">
        <v>1497.44</v>
      </c>
      <c r="J409" s="680"/>
      <c r="K409" s="680"/>
      <c r="L409" s="680"/>
      <c r="M409" s="680"/>
      <c r="N409" s="680"/>
      <c r="O409" s="680"/>
      <c r="P409" s="702"/>
      <c r="Q409" s="681"/>
    </row>
    <row r="410" spans="1:17" ht="14.4" customHeight="1" x14ac:dyDescent="0.3">
      <c r="A410" s="675" t="s">
        <v>484</v>
      </c>
      <c r="B410" s="676" t="s">
        <v>2243</v>
      </c>
      <c r="C410" s="676" t="s">
        <v>2675</v>
      </c>
      <c r="D410" s="676" t="s">
        <v>2965</v>
      </c>
      <c r="E410" s="676" t="s">
        <v>2966</v>
      </c>
      <c r="F410" s="680">
        <v>1</v>
      </c>
      <c r="G410" s="680">
        <v>18285</v>
      </c>
      <c r="H410" s="680"/>
      <c r="I410" s="680">
        <v>18285</v>
      </c>
      <c r="J410" s="680"/>
      <c r="K410" s="680"/>
      <c r="L410" s="680"/>
      <c r="M410" s="680"/>
      <c r="N410" s="680">
        <v>1</v>
      </c>
      <c r="O410" s="680">
        <v>18285</v>
      </c>
      <c r="P410" s="702"/>
      <c r="Q410" s="681">
        <v>18285</v>
      </c>
    </row>
    <row r="411" spans="1:17" ht="14.4" customHeight="1" x14ac:dyDescent="0.3">
      <c r="A411" s="675" t="s">
        <v>484</v>
      </c>
      <c r="B411" s="676" t="s">
        <v>2243</v>
      </c>
      <c r="C411" s="676" t="s">
        <v>2675</v>
      </c>
      <c r="D411" s="676" t="s">
        <v>2967</v>
      </c>
      <c r="E411" s="676" t="s">
        <v>2773</v>
      </c>
      <c r="F411" s="680"/>
      <c r="G411" s="680"/>
      <c r="H411" s="680"/>
      <c r="I411" s="680"/>
      <c r="J411" s="680"/>
      <c r="K411" s="680"/>
      <c r="L411" s="680"/>
      <c r="M411" s="680"/>
      <c r="N411" s="680">
        <v>1</v>
      </c>
      <c r="O411" s="680">
        <v>19400.72</v>
      </c>
      <c r="P411" s="702"/>
      <c r="Q411" s="681">
        <v>19400.72</v>
      </c>
    </row>
    <row r="412" spans="1:17" ht="14.4" customHeight="1" x14ac:dyDescent="0.3">
      <c r="A412" s="675" t="s">
        <v>484</v>
      </c>
      <c r="B412" s="676" t="s">
        <v>2243</v>
      </c>
      <c r="C412" s="676" t="s">
        <v>2675</v>
      </c>
      <c r="D412" s="676" t="s">
        <v>2968</v>
      </c>
      <c r="E412" s="676" t="s">
        <v>2969</v>
      </c>
      <c r="F412" s="680"/>
      <c r="G412" s="680"/>
      <c r="H412" s="680"/>
      <c r="I412" s="680"/>
      <c r="J412" s="680">
        <v>2.7</v>
      </c>
      <c r="K412" s="680">
        <v>180.89999999999998</v>
      </c>
      <c r="L412" s="680">
        <v>1</v>
      </c>
      <c r="M412" s="680">
        <v>66.999999999999986</v>
      </c>
      <c r="N412" s="680">
        <v>0.9</v>
      </c>
      <c r="O412" s="680">
        <v>60.300000000000004</v>
      </c>
      <c r="P412" s="702">
        <v>0.33333333333333343</v>
      </c>
      <c r="Q412" s="681">
        <v>67</v>
      </c>
    </row>
    <row r="413" spans="1:17" ht="14.4" customHeight="1" x14ac:dyDescent="0.3">
      <c r="A413" s="675" t="s">
        <v>484</v>
      </c>
      <c r="B413" s="676" t="s">
        <v>2243</v>
      </c>
      <c r="C413" s="676" t="s">
        <v>2675</v>
      </c>
      <c r="D413" s="676" t="s">
        <v>2970</v>
      </c>
      <c r="E413" s="676" t="s">
        <v>2971</v>
      </c>
      <c r="F413" s="680"/>
      <c r="G413" s="680"/>
      <c r="H413" s="680"/>
      <c r="I413" s="680"/>
      <c r="J413" s="680"/>
      <c r="K413" s="680"/>
      <c r="L413" s="680"/>
      <c r="M413" s="680"/>
      <c r="N413" s="680">
        <v>3</v>
      </c>
      <c r="O413" s="680">
        <v>16388.939999999999</v>
      </c>
      <c r="P413" s="702"/>
      <c r="Q413" s="681">
        <v>5462.98</v>
      </c>
    </row>
    <row r="414" spans="1:17" ht="14.4" customHeight="1" x14ac:dyDescent="0.3">
      <c r="A414" s="675" t="s">
        <v>484</v>
      </c>
      <c r="B414" s="676" t="s">
        <v>2243</v>
      </c>
      <c r="C414" s="676" t="s">
        <v>2675</v>
      </c>
      <c r="D414" s="676" t="s">
        <v>2972</v>
      </c>
      <c r="E414" s="676" t="s">
        <v>2973</v>
      </c>
      <c r="F414" s="680"/>
      <c r="G414" s="680"/>
      <c r="H414" s="680"/>
      <c r="I414" s="680"/>
      <c r="J414" s="680">
        <v>1</v>
      </c>
      <c r="K414" s="680">
        <v>5298.34</v>
      </c>
      <c r="L414" s="680">
        <v>1</v>
      </c>
      <c r="M414" s="680">
        <v>5298.34</v>
      </c>
      <c r="N414" s="680"/>
      <c r="O414" s="680"/>
      <c r="P414" s="702"/>
      <c r="Q414" s="681"/>
    </row>
    <row r="415" spans="1:17" ht="14.4" customHeight="1" x14ac:dyDescent="0.3">
      <c r="A415" s="675" t="s">
        <v>484</v>
      </c>
      <c r="B415" s="676" t="s">
        <v>2243</v>
      </c>
      <c r="C415" s="676" t="s">
        <v>2675</v>
      </c>
      <c r="D415" s="676" t="s">
        <v>2974</v>
      </c>
      <c r="E415" s="676" t="s">
        <v>2975</v>
      </c>
      <c r="F415" s="680"/>
      <c r="G415" s="680"/>
      <c r="H415" s="680"/>
      <c r="I415" s="680"/>
      <c r="J415" s="680"/>
      <c r="K415" s="680"/>
      <c r="L415" s="680"/>
      <c r="M415" s="680"/>
      <c r="N415" s="680">
        <v>1</v>
      </c>
      <c r="O415" s="680">
        <v>5899.74</v>
      </c>
      <c r="P415" s="702"/>
      <c r="Q415" s="681">
        <v>5899.74</v>
      </c>
    </row>
    <row r="416" spans="1:17" ht="14.4" customHeight="1" x14ac:dyDescent="0.3">
      <c r="A416" s="675" t="s">
        <v>484</v>
      </c>
      <c r="B416" s="676" t="s">
        <v>2243</v>
      </c>
      <c r="C416" s="676" t="s">
        <v>2675</v>
      </c>
      <c r="D416" s="676" t="s">
        <v>2976</v>
      </c>
      <c r="E416" s="676" t="s">
        <v>2977</v>
      </c>
      <c r="F416" s="680"/>
      <c r="G416" s="680"/>
      <c r="H416" s="680"/>
      <c r="I416" s="680"/>
      <c r="J416" s="680">
        <v>1</v>
      </c>
      <c r="K416" s="680">
        <v>521</v>
      </c>
      <c r="L416" s="680">
        <v>1</v>
      </c>
      <c r="M416" s="680">
        <v>521</v>
      </c>
      <c r="N416" s="680"/>
      <c r="O416" s="680"/>
      <c r="P416" s="702"/>
      <c r="Q416" s="681"/>
    </row>
    <row r="417" spans="1:17" ht="14.4" customHeight="1" x14ac:dyDescent="0.3">
      <c r="A417" s="675" t="s">
        <v>484</v>
      </c>
      <c r="B417" s="676" t="s">
        <v>2243</v>
      </c>
      <c r="C417" s="676" t="s">
        <v>2675</v>
      </c>
      <c r="D417" s="676" t="s">
        <v>2978</v>
      </c>
      <c r="E417" s="676" t="s">
        <v>2908</v>
      </c>
      <c r="F417" s="680"/>
      <c r="G417" s="680"/>
      <c r="H417" s="680"/>
      <c r="I417" s="680"/>
      <c r="J417" s="680"/>
      <c r="K417" s="680"/>
      <c r="L417" s="680"/>
      <c r="M417" s="680"/>
      <c r="N417" s="680">
        <v>4</v>
      </c>
      <c r="O417" s="680">
        <v>1140.5999999999999</v>
      </c>
      <c r="P417" s="702"/>
      <c r="Q417" s="681">
        <v>285.14999999999998</v>
      </c>
    </row>
    <row r="418" spans="1:17" ht="14.4" customHeight="1" x14ac:dyDescent="0.3">
      <c r="A418" s="675" t="s">
        <v>484</v>
      </c>
      <c r="B418" s="676" t="s">
        <v>2243</v>
      </c>
      <c r="C418" s="676" t="s">
        <v>2675</v>
      </c>
      <c r="D418" s="676" t="s">
        <v>2979</v>
      </c>
      <c r="E418" s="676" t="s">
        <v>2908</v>
      </c>
      <c r="F418" s="680"/>
      <c r="G418" s="680"/>
      <c r="H418" s="680"/>
      <c r="I418" s="680"/>
      <c r="J418" s="680"/>
      <c r="K418" s="680"/>
      <c r="L418" s="680"/>
      <c r="M418" s="680"/>
      <c r="N418" s="680">
        <v>1</v>
      </c>
      <c r="O418" s="680">
        <v>691.04</v>
      </c>
      <c r="P418" s="702"/>
      <c r="Q418" s="681">
        <v>691.04</v>
      </c>
    </row>
    <row r="419" spans="1:17" ht="14.4" customHeight="1" x14ac:dyDescent="0.3">
      <c r="A419" s="675" t="s">
        <v>484</v>
      </c>
      <c r="B419" s="676" t="s">
        <v>2243</v>
      </c>
      <c r="C419" s="676" t="s">
        <v>2675</v>
      </c>
      <c r="D419" s="676" t="s">
        <v>2980</v>
      </c>
      <c r="E419" s="676" t="s">
        <v>2908</v>
      </c>
      <c r="F419" s="680"/>
      <c r="G419" s="680"/>
      <c r="H419" s="680"/>
      <c r="I419" s="680"/>
      <c r="J419" s="680"/>
      <c r="K419" s="680"/>
      <c r="L419" s="680"/>
      <c r="M419" s="680"/>
      <c r="N419" s="680">
        <v>1</v>
      </c>
      <c r="O419" s="680">
        <v>356.58</v>
      </c>
      <c r="P419" s="702"/>
      <c r="Q419" s="681">
        <v>356.58</v>
      </c>
    </row>
    <row r="420" spans="1:17" ht="14.4" customHeight="1" x14ac:dyDescent="0.3">
      <c r="A420" s="675" t="s">
        <v>484</v>
      </c>
      <c r="B420" s="676" t="s">
        <v>2243</v>
      </c>
      <c r="C420" s="676" t="s">
        <v>2675</v>
      </c>
      <c r="D420" s="676" t="s">
        <v>2981</v>
      </c>
      <c r="E420" s="676" t="s">
        <v>2982</v>
      </c>
      <c r="F420" s="680"/>
      <c r="G420" s="680"/>
      <c r="H420" s="680"/>
      <c r="I420" s="680"/>
      <c r="J420" s="680"/>
      <c r="K420" s="680"/>
      <c r="L420" s="680"/>
      <c r="M420" s="680"/>
      <c r="N420" s="680">
        <v>1</v>
      </c>
      <c r="O420" s="680">
        <v>652</v>
      </c>
      <c r="P420" s="702"/>
      <c r="Q420" s="681">
        <v>652</v>
      </c>
    </row>
    <row r="421" spans="1:17" ht="14.4" customHeight="1" x14ac:dyDescent="0.3">
      <c r="A421" s="675" t="s">
        <v>484</v>
      </c>
      <c r="B421" s="676" t="s">
        <v>2243</v>
      </c>
      <c r="C421" s="676" t="s">
        <v>2244</v>
      </c>
      <c r="D421" s="676" t="s">
        <v>2983</v>
      </c>
      <c r="E421" s="676" t="s">
        <v>2984</v>
      </c>
      <c r="F421" s="680">
        <v>1</v>
      </c>
      <c r="G421" s="680">
        <v>31966</v>
      </c>
      <c r="H421" s="680">
        <v>0.5</v>
      </c>
      <c r="I421" s="680">
        <v>31966</v>
      </c>
      <c r="J421" s="680">
        <v>2</v>
      </c>
      <c r="K421" s="680">
        <v>63932</v>
      </c>
      <c r="L421" s="680">
        <v>1</v>
      </c>
      <c r="M421" s="680">
        <v>31966</v>
      </c>
      <c r="N421" s="680">
        <v>1</v>
      </c>
      <c r="O421" s="680">
        <v>31966</v>
      </c>
      <c r="P421" s="702">
        <v>0.5</v>
      </c>
      <c r="Q421" s="681">
        <v>31966</v>
      </c>
    </row>
    <row r="422" spans="1:17" ht="14.4" customHeight="1" x14ac:dyDescent="0.3">
      <c r="A422" s="675" t="s">
        <v>484</v>
      </c>
      <c r="B422" s="676" t="s">
        <v>2243</v>
      </c>
      <c r="C422" s="676" t="s">
        <v>2244</v>
      </c>
      <c r="D422" s="676" t="s">
        <v>2985</v>
      </c>
      <c r="E422" s="676" t="s">
        <v>2986</v>
      </c>
      <c r="F422" s="680">
        <v>1311</v>
      </c>
      <c r="G422" s="680">
        <v>15596967</v>
      </c>
      <c r="H422" s="680">
        <v>0.83769968051118215</v>
      </c>
      <c r="I422" s="680">
        <v>11897</v>
      </c>
      <c r="J422" s="680">
        <v>1565</v>
      </c>
      <c r="K422" s="680">
        <v>18618805</v>
      </c>
      <c r="L422" s="680">
        <v>1</v>
      </c>
      <c r="M422" s="680">
        <v>11897</v>
      </c>
      <c r="N422" s="680">
        <v>1761</v>
      </c>
      <c r="O422" s="680">
        <v>20950617</v>
      </c>
      <c r="P422" s="702">
        <v>1.1252396166134184</v>
      </c>
      <c r="Q422" s="681">
        <v>11897</v>
      </c>
    </row>
    <row r="423" spans="1:17" ht="14.4" customHeight="1" x14ac:dyDescent="0.3">
      <c r="A423" s="675" t="s">
        <v>484</v>
      </c>
      <c r="B423" s="676" t="s">
        <v>2243</v>
      </c>
      <c r="C423" s="676" t="s">
        <v>2244</v>
      </c>
      <c r="D423" s="676" t="s">
        <v>2987</v>
      </c>
      <c r="E423" s="676" t="s">
        <v>2988</v>
      </c>
      <c r="F423" s="680">
        <v>10</v>
      </c>
      <c r="G423" s="680">
        <v>4290</v>
      </c>
      <c r="H423" s="680">
        <v>1.0957854406130267</v>
      </c>
      <c r="I423" s="680">
        <v>429</v>
      </c>
      <c r="J423" s="680">
        <v>9</v>
      </c>
      <c r="K423" s="680">
        <v>3915</v>
      </c>
      <c r="L423" s="680">
        <v>1</v>
      </c>
      <c r="M423" s="680">
        <v>435</v>
      </c>
      <c r="N423" s="680"/>
      <c r="O423" s="680"/>
      <c r="P423" s="702"/>
      <c r="Q423" s="681"/>
    </row>
    <row r="424" spans="1:17" ht="14.4" customHeight="1" x14ac:dyDescent="0.3">
      <c r="A424" s="675" t="s">
        <v>484</v>
      </c>
      <c r="B424" s="676" t="s">
        <v>2243</v>
      </c>
      <c r="C424" s="676" t="s">
        <v>2244</v>
      </c>
      <c r="D424" s="676" t="s">
        <v>2989</v>
      </c>
      <c r="E424" s="676" t="s">
        <v>2990</v>
      </c>
      <c r="F424" s="680">
        <v>788</v>
      </c>
      <c r="G424" s="680">
        <v>302592</v>
      </c>
      <c r="H424" s="680">
        <v>0.77201683888251049</v>
      </c>
      <c r="I424" s="680">
        <v>384</v>
      </c>
      <c r="J424" s="680">
        <v>1005</v>
      </c>
      <c r="K424" s="680">
        <v>391950</v>
      </c>
      <c r="L424" s="680">
        <v>1</v>
      </c>
      <c r="M424" s="680">
        <v>390</v>
      </c>
      <c r="N424" s="680">
        <v>1273</v>
      </c>
      <c r="O424" s="680">
        <v>496470</v>
      </c>
      <c r="P424" s="702">
        <v>1.2666666666666666</v>
      </c>
      <c r="Q424" s="681">
        <v>390</v>
      </c>
    </row>
    <row r="425" spans="1:17" ht="14.4" customHeight="1" x14ac:dyDescent="0.3">
      <c r="A425" s="675" t="s">
        <v>484</v>
      </c>
      <c r="B425" s="676" t="s">
        <v>2243</v>
      </c>
      <c r="C425" s="676" t="s">
        <v>2244</v>
      </c>
      <c r="D425" s="676" t="s">
        <v>2991</v>
      </c>
      <c r="E425" s="676" t="s">
        <v>2992</v>
      </c>
      <c r="F425" s="680">
        <v>613</v>
      </c>
      <c r="G425" s="680">
        <v>144055</v>
      </c>
      <c r="H425" s="680">
        <v>0.86564751551861929</v>
      </c>
      <c r="I425" s="680">
        <v>235</v>
      </c>
      <c r="J425" s="680">
        <v>663</v>
      </c>
      <c r="K425" s="680">
        <v>166413</v>
      </c>
      <c r="L425" s="680">
        <v>1</v>
      </c>
      <c r="M425" s="680">
        <v>251</v>
      </c>
      <c r="N425" s="680">
        <v>654</v>
      </c>
      <c r="O425" s="680">
        <v>164154</v>
      </c>
      <c r="P425" s="702">
        <v>0.98642533936651589</v>
      </c>
      <c r="Q425" s="681">
        <v>251</v>
      </c>
    </row>
    <row r="426" spans="1:17" ht="14.4" customHeight="1" x14ac:dyDescent="0.3">
      <c r="A426" s="675" t="s">
        <v>484</v>
      </c>
      <c r="B426" s="676" t="s">
        <v>2243</v>
      </c>
      <c r="C426" s="676" t="s">
        <v>2244</v>
      </c>
      <c r="D426" s="676" t="s">
        <v>2993</v>
      </c>
      <c r="E426" s="676" t="s">
        <v>2994</v>
      </c>
      <c r="F426" s="680">
        <v>0</v>
      </c>
      <c r="G426" s="680">
        <v>0</v>
      </c>
      <c r="H426" s="680"/>
      <c r="I426" s="680"/>
      <c r="J426" s="680">
        <v>0</v>
      </c>
      <c r="K426" s="680">
        <v>0</v>
      </c>
      <c r="L426" s="680"/>
      <c r="M426" s="680"/>
      <c r="N426" s="680">
        <v>0</v>
      </c>
      <c r="O426" s="680">
        <v>0</v>
      </c>
      <c r="P426" s="702"/>
      <c r="Q426" s="681"/>
    </row>
    <row r="427" spans="1:17" ht="14.4" customHeight="1" x14ac:dyDescent="0.3">
      <c r="A427" s="675" t="s">
        <v>484</v>
      </c>
      <c r="B427" s="676" t="s">
        <v>2243</v>
      </c>
      <c r="C427" s="676" t="s">
        <v>2244</v>
      </c>
      <c r="D427" s="676" t="s">
        <v>2995</v>
      </c>
      <c r="E427" s="676" t="s">
        <v>2996</v>
      </c>
      <c r="F427" s="680">
        <v>547</v>
      </c>
      <c r="G427" s="680">
        <v>0</v>
      </c>
      <c r="H427" s="680"/>
      <c r="I427" s="680">
        <v>0</v>
      </c>
      <c r="J427" s="680">
        <v>713</v>
      </c>
      <c r="K427" s="680">
        <v>0</v>
      </c>
      <c r="L427" s="680"/>
      <c r="M427" s="680">
        <v>0</v>
      </c>
      <c r="N427" s="680">
        <v>735</v>
      </c>
      <c r="O427" s="680">
        <v>0</v>
      </c>
      <c r="P427" s="702"/>
      <c r="Q427" s="681">
        <v>0</v>
      </c>
    </row>
    <row r="428" spans="1:17" ht="14.4" customHeight="1" x14ac:dyDescent="0.3">
      <c r="A428" s="675" t="s">
        <v>484</v>
      </c>
      <c r="B428" s="676" t="s">
        <v>2243</v>
      </c>
      <c r="C428" s="676" t="s">
        <v>2244</v>
      </c>
      <c r="D428" s="676" t="s">
        <v>2997</v>
      </c>
      <c r="E428" s="676" t="s">
        <v>2998</v>
      </c>
      <c r="F428" s="680">
        <v>141</v>
      </c>
      <c r="G428" s="680">
        <v>0</v>
      </c>
      <c r="H428" s="680"/>
      <c r="I428" s="680">
        <v>0</v>
      </c>
      <c r="J428" s="680">
        <v>142</v>
      </c>
      <c r="K428" s="680">
        <v>0</v>
      </c>
      <c r="L428" s="680"/>
      <c r="M428" s="680">
        <v>0</v>
      </c>
      <c r="N428" s="680">
        <v>132</v>
      </c>
      <c r="O428" s="680">
        <v>0</v>
      </c>
      <c r="P428" s="702"/>
      <c r="Q428" s="681">
        <v>0</v>
      </c>
    </row>
    <row r="429" spans="1:17" ht="14.4" customHeight="1" x14ac:dyDescent="0.3">
      <c r="A429" s="675" t="s">
        <v>484</v>
      </c>
      <c r="B429" s="676" t="s">
        <v>2243</v>
      </c>
      <c r="C429" s="676" t="s">
        <v>2244</v>
      </c>
      <c r="D429" s="676" t="s">
        <v>2999</v>
      </c>
      <c r="E429" s="676" t="s">
        <v>3000</v>
      </c>
      <c r="F429" s="680">
        <v>41</v>
      </c>
      <c r="G429" s="680">
        <v>0</v>
      </c>
      <c r="H429" s="680"/>
      <c r="I429" s="680">
        <v>0</v>
      </c>
      <c r="J429" s="680">
        <v>58</v>
      </c>
      <c r="K429" s="680">
        <v>0</v>
      </c>
      <c r="L429" s="680"/>
      <c r="M429" s="680">
        <v>0</v>
      </c>
      <c r="N429" s="680">
        <v>48</v>
      </c>
      <c r="O429" s="680">
        <v>0</v>
      </c>
      <c r="P429" s="702"/>
      <c r="Q429" s="681">
        <v>0</v>
      </c>
    </row>
    <row r="430" spans="1:17" ht="14.4" customHeight="1" x14ac:dyDescent="0.3">
      <c r="A430" s="675" t="s">
        <v>484</v>
      </c>
      <c r="B430" s="676" t="s">
        <v>2243</v>
      </c>
      <c r="C430" s="676" t="s">
        <v>2244</v>
      </c>
      <c r="D430" s="676" t="s">
        <v>3001</v>
      </c>
      <c r="E430" s="676" t="s">
        <v>3002</v>
      </c>
      <c r="F430" s="680">
        <v>1</v>
      </c>
      <c r="G430" s="680">
        <v>0</v>
      </c>
      <c r="H430" s="680"/>
      <c r="I430" s="680">
        <v>0</v>
      </c>
      <c r="J430" s="680">
        <v>10</v>
      </c>
      <c r="K430" s="680">
        <v>0</v>
      </c>
      <c r="L430" s="680"/>
      <c r="M430" s="680">
        <v>0</v>
      </c>
      <c r="N430" s="680">
        <v>4</v>
      </c>
      <c r="O430" s="680">
        <v>0</v>
      </c>
      <c r="P430" s="702"/>
      <c r="Q430" s="681">
        <v>0</v>
      </c>
    </row>
    <row r="431" spans="1:17" ht="14.4" customHeight="1" x14ac:dyDescent="0.3">
      <c r="A431" s="675" t="s">
        <v>484</v>
      </c>
      <c r="B431" s="676" t="s">
        <v>2243</v>
      </c>
      <c r="C431" s="676" t="s">
        <v>2244</v>
      </c>
      <c r="D431" s="676" t="s">
        <v>3003</v>
      </c>
      <c r="E431" s="676" t="s">
        <v>3000</v>
      </c>
      <c r="F431" s="680"/>
      <c r="G431" s="680"/>
      <c r="H431" s="680"/>
      <c r="I431" s="680"/>
      <c r="J431" s="680"/>
      <c r="K431" s="680"/>
      <c r="L431" s="680"/>
      <c r="M431" s="680"/>
      <c r="N431" s="680">
        <v>1</v>
      </c>
      <c r="O431" s="680">
        <v>0</v>
      </c>
      <c r="P431" s="702"/>
      <c r="Q431" s="681">
        <v>0</v>
      </c>
    </row>
    <row r="432" spans="1:17" ht="14.4" customHeight="1" x14ac:dyDescent="0.3">
      <c r="A432" s="675" t="s">
        <v>484</v>
      </c>
      <c r="B432" s="676" t="s">
        <v>2243</v>
      </c>
      <c r="C432" s="676" t="s">
        <v>2244</v>
      </c>
      <c r="D432" s="676" t="s">
        <v>3004</v>
      </c>
      <c r="E432" s="676" t="s">
        <v>3000</v>
      </c>
      <c r="F432" s="680">
        <v>18</v>
      </c>
      <c r="G432" s="680">
        <v>0</v>
      </c>
      <c r="H432" s="680"/>
      <c r="I432" s="680">
        <v>0</v>
      </c>
      <c r="J432" s="680">
        <v>28</v>
      </c>
      <c r="K432" s="680">
        <v>0</v>
      </c>
      <c r="L432" s="680"/>
      <c r="M432" s="680">
        <v>0</v>
      </c>
      <c r="N432" s="680">
        <v>30</v>
      </c>
      <c r="O432" s="680">
        <v>0</v>
      </c>
      <c r="P432" s="702"/>
      <c r="Q432" s="681">
        <v>0</v>
      </c>
    </row>
    <row r="433" spans="1:17" ht="14.4" customHeight="1" x14ac:dyDescent="0.3">
      <c r="A433" s="675" t="s">
        <v>484</v>
      </c>
      <c r="B433" s="676" t="s">
        <v>2243</v>
      </c>
      <c r="C433" s="676" t="s">
        <v>2244</v>
      </c>
      <c r="D433" s="676" t="s">
        <v>3005</v>
      </c>
      <c r="E433" s="676" t="s">
        <v>3006</v>
      </c>
      <c r="F433" s="680">
        <v>31</v>
      </c>
      <c r="G433" s="680">
        <v>169756</v>
      </c>
      <c r="H433" s="680">
        <v>1.55</v>
      </c>
      <c r="I433" s="680">
        <v>5476</v>
      </c>
      <c r="J433" s="680">
        <v>20</v>
      </c>
      <c r="K433" s="680">
        <v>109520</v>
      </c>
      <c r="L433" s="680">
        <v>1</v>
      </c>
      <c r="M433" s="680">
        <v>5476</v>
      </c>
      <c r="N433" s="680">
        <v>24</v>
      </c>
      <c r="O433" s="680">
        <v>131424</v>
      </c>
      <c r="P433" s="702">
        <v>1.2</v>
      </c>
      <c r="Q433" s="681">
        <v>5476</v>
      </c>
    </row>
    <row r="434" spans="1:17" ht="14.4" customHeight="1" x14ac:dyDescent="0.3">
      <c r="A434" s="675" t="s">
        <v>484</v>
      </c>
      <c r="B434" s="676" t="s">
        <v>2243</v>
      </c>
      <c r="C434" s="676" t="s">
        <v>2244</v>
      </c>
      <c r="D434" s="676" t="s">
        <v>3007</v>
      </c>
      <c r="E434" s="676" t="s">
        <v>3008</v>
      </c>
      <c r="F434" s="680">
        <v>68</v>
      </c>
      <c r="G434" s="680">
        <v>1629688</v>
      </c>
      <c r="H434" s="680">
        <v>0.95774647887323938</v>
      </c>
      <c r="I434" s="680">
        <v>23966</v>
      </c>
      <c r="J434" s="680">
        <v>71</v>
      </c>
      <c r="K434" s="680">
        <v>1701586</v>
      </c>
      <c r="L434" s="680">
        <v>1</v>
      </c>
      <c r="M434" s="680">
        <v>23966</v>
      </c>
      <c r="N434" s="680">
        <v>62</v>
      </c>
      <c r="O434" s="680">
        <v>1485892</v>
      </c>
      <c r="P434" s="702">
        <v>0.87323943661971826</v>
      </c>
      <c r="Q434" s="681">
        <v>23966</v>
      </c>
    </row>
    <row r="435" spans="1:17" ht="14.4" customHeight="1" x14ac:dyDescent="0.3">
      <c r="A435" s="675" t="s">
        <v>484</v>
      </c>
      <c r="B435" s="676" t="s">
        <v>2243</v>
      </c>
      <c r="C435" s="676" t="s">
        <v>2244</v>
      </c>
      <c r="D435" s="676" t="s">
        <v>3009</v>
      </c>
      <c r="E435" s="676" t="s">
        <v>3010</v>
      </c>
      <c r="F435" s="680">
        <v>203</v>
      </c>
      <c r="G435" s="680">
        <v>1355228</v>
      </c>
      <c r="H435" s="680">
        <v>1.2083333333333333</v>
      </c>
      <c r="I435" s="680">
        <v>6676</v>
      </c>
      <c r="J435" s="680">
        <v>168</v>
      </c>
      <c r="K435" s="680">
        <v>1121568</v>
      </c>
      <c r="L435" s="680">
        <v>1</v>
      </c>
      <c r="M435" s="680">
        <v>6676</v>
      </c>
      <c r="N435" s="680">
        <v>165</v>
      </c>
      <c r="O435" s="680">
        <v>1101540</v>
      </c>
      <c r="P435" s="702">
        <v>0.9821428571428571</v>
      </c>
      <c r="Q435" s="681">
        <v>6676</v>
      </c>
    </row>
    <row r="436" spans="1:17" ht="14.4" customHeight="1" x14ac:dyDescent="0.3">
      <c r="A436" s="675" t="s">
        <v>484</v>
      </c>
      <c r="B436" s="676" t="s">
        <v>2243</v>
      </c>
      <c r="C436" s="676" t="s">
        <v>2244</v>
      </c>
      <c r="D436" s="676" t="s">
        <v>3011</v>
      </c>
      <c r="E436" s="676" t="s">
        <v>3000</v>
      </c>
      <c r="F436" s="680">
        <v>7</v>
      </c>
      <c r="G436" s="680">
        <v>0</v>
      </c>
      <c r="H436" s="680"/>
      <c r="I436" s="680">
        <v>0</v>
      </c>
      <c r="J436" s="680">
        <v>8</v>
      </c>
      <c r="K436" s="680">
        <v>0</v>
      </c>
      <c r="L436" s="680"/>
      <c r="M436" s="680">
        <v>0</v>
      </c>
      <c r="N436" s="680">
        <v>9</v>
      </c>
      <c r="O436" s="680">
        <v>0</v>
      </c>
      <c r="P436" s="702"/>
      <c r="Q436" s="681">
        <v>0</v>
      </c>
    </row>
    <row r="437" spans="1:17" ht="14.4" customHeight="1" x14ac:dyDescent="0.3">
      <c r="A437" s="675" t="s">
        <v>484</v>
      </c>
      <c r="B437" s="676" t="s">
        <v>2243</v>
      </c>
      <c r="C437" s="676" t="s">
        <v>2244</v>
      </c>
      <c r="D437" s="676" t="s">
        <v>3012</v>
      </c>
      <c r="E437" s="676" t="s">
        <v>3013</v>
      </c>
      <c r="F437" s="680">
        <v>40</v>
      </c>
      <c r="G437" s="680">
        <v>1118640</v>
      </c>
      <c r="H437" s="680">
        <v>1.0810810810810811</v>
      </c>
      <c r="I437" s="680">
        <v>27966</v>
      </c>
      <c r="J437" s="680">
        <v>37</v>
      </c>
      <c r="K437" s="680">
        <v>1034742</v>
      </c>
      <c r="L437" s="680">
        <v>1</v>
      </c>
      <c r="M437" s="680">
        <v>27966</v>
      </c>
      <c r="N437" s="680">
        <v>29</v>
      </c>
      <c r="O437" s="680">
        <v>811014</v>
      </c>
      <c r="P437" s="702">
        <v>0.78378378378378377</v>
      </c>
      <c r="Q437" s="681">
        <v>27966</v>
      </c>
    </row>
    <row r="438" spans="1:17" ht="14.4" customHeight="1" x14ac:dyDescent="0.3">
      <c r="A438" s="675" t="s">
        <v>484</v>
      </c>
      <c r="B438" s="676" t="s">
        <v>2243</v>
      </c>
      <c r="C438" s="676" t="s">
        <v>2244</v>
      </c>
      <c r="D438" s="676" t="s">
        <v>2245</v>
      </c>
      <c r="E438" s="676" t="s">
        <v>2246</v>
      </c>
      <c r="F438" s="680">
        <v>312</v>
      </c>
      <c r="G438" s="680">
        <v>108888</v>
      </c>
      <c r="H438" s="680">
        <v>0.87115975422427039</v>
      </c>
      <c r="I438" s="680">
        <v>349</v>
      </c>
      <c r="J438" s="680">
        <v>336</v>
      </c>
      <c r="K438" s="680">
        <v>124992</v>
      </c>
      <c r="L438" s="680">
        <v>1</v>
      </c>
      <c r="M438" s="680">
        <v>372</v>
      </c>
      <c r="N438" s="680">
        <v>325</v>
      </c>
      <c r="O438" s="680">
        <v>121223</v>
      </c>
      <c r="P438" s="702">
        <v>0.96984607014848956</v>
      </c>
      <c r="Q438" s="681">
        <v>372.99384615384616</v>
      </c>
    </row>
    <row r="439" spans="1:17" ht="14.4" customHeight="1" x14ac:dyDescent="0.3">
      <c r="A439" s="675" t="s">
        <v>484</v>
      </c>
      <c r="B439" s="676" t="s">
        <v>2243</v>
      </c>
      <c r="C439" s="676" t="s">
        <v>2244</v>
      </c>
      <c r="D439" s="676" t="s">
        <v>3014</v>
      </c>
      <c r="E439" s="676" t="s">
        <v>3015</v>
      </c>
      <c r="F439" s="680">
        <v>11</v>
      </c>
      <c r="G439" s="680">
        <v>12320</v>
      </c>
      <c r="H439" s="680">
        <v>2.1388888888888888</v>
      </c>
      <c r="I439" s="680">
        <v>1120</v>
      </c>
      <c r="J439" s="680">
        <v>5</v>
      </c>
      <c r="K439" s="680">
        <v>5760</v>
      </c>
      <c r="L439" s="680">
        <v>1</v>
      </c>
      <c r="M439" s="680">
        <v>1152</v>
      </c>
      <c r="N439" s="680"/>
      <c r="O439" s="680"/>
      <c r="P439" s="702"/>
      <c r="Q439" s="681"/>
    </row>
    <row r="440" spans="1:17" ht="14.4" customHeight="1" x14ac:dyDescent="0.3">
      <c r="A440" s="675" t="s">
        <v>484</v>
      </c>
      <c r="B440" s="676" t="s">
        <v>2243</v>
      </c>
      <c r="C440" s="676" t="s">
        <v>2244</v>
      </c>
      <c r="D440" s="676" t="s">
        <v>3016</v>
      </c>
      <c r="E440" s="676" t="s">
        <v>3017</v>
      </c>
      <c r="F440" s="680">
        <v>10</v>
      </c>
      <c r="G440" s="680">
        <v>0</v>
      </c>
      <c r="H440" s="680"/>
      <c r="I440" s="680">
        <v>0</v>
      </c>
      <c r="J440" s="680">
        <v>16</v>
      </c>
      <c r="K440" s="680">
        <v>0</v>
      </c>
      <c r="L440" s="680"/>
      <c r="M440" s="680">
        <v>0</v>
      </c>
      <c r="N440" s="680">
        <v>5</v>
      </c>
      <c r="O440" s="680">
        <v>0</v>
      </c>
      <c r="P440" s="702"/>
      <c r="Q440" s="681">
        <v>0</v>
      </c>
    </row>
    <row r="441" spans="1:17" ht="14.4" customHeight="1" x14ac:dyDescent="0.3">
      <c r="A441" s="675" t="s">
        <v>484</v>
      </c>
      <c r="B441" s="676" t="s">
        <v>2243</v>
      </c>
      <c r="C441" s="676" t="s">
        <v>2244</v>
      </c>
      <c r="D441" s="676" t="s">
        <v>3018</v>
      </c>
      <c r="E441" s="676" t="s">
        <v>3019</v>
      </c>
      <c r="F441" s="680">
        <v>1</v>
      </c>
      <c r="G441" s="680">
        <v>611</v>
      </c>
      <c r="H441" s="680">
        <v>0.9807383627608347</v>
      </c>
      <c r="I441" s="680">
        <v>611</v>
      </c>
      <c r="J441" s="680">
        <v>1</v>
      </c>
      <c r="K441" s="680">
        <v>623</v>
      </c>
      <c r="L441" s="680">
        <v>1</v>
      </c>
      <c r="M441" s="680">
        <v>623</v>
      </c>
      <c r="N441" s="680"/>
      <c r="O441" s="680"/>
      <c r="P441" s="702"/>
      <c r="Q441" s="681"/>
    </row>
    <row r="442" spans="1:17" ht="14.4" customHeight="1" x14ac:dyDescent="0.3">
      <c r="A442" s="675" t="s">
        <v>484</v>
      </c>
      <c r="B442" s="676" t="s">
        <v>2243</v>
      </c>
      <c r="C442" s="676" t="s">
        <v>2244</v>
      </c>
      <c r="D442" s="676" t="s">
        <v>3020</v>
      </c>
      <c r="E442" s="676" t="s">
        <v>3000</v>
      </c>
      <c r="F442" s="680">
        <v>1</v>
      </c>
      <c r="G442" s="680">
        <v>0</v>
      </c>
      <c r="H442" s="680"/>
      <c r="I442" s="680">
        <v>0</v>
      </c>
      <c r="J442" s="680">
        <v>2</v>
      </c>
      <c r="K442" s="680">
        <v>0</v>
      </c>
      <c r="L442" s="680"/>
      <c r="M442" s="680">
        <v>0</v>
      </c>
      <c r="N442" s="680">
        <v>3</v>
      </c>
      <c r="O442" s="680">
        <v>0</v>
      </c>
      <c r="P442" s="702"/>
      <c r="Q442" s="681">
        <v>0</v>
      </c>
    </row>
    <row r="443" spans="1:17" ht="14.4" customHeight="1" x14ac:dyDescent="0.3">
      <c r="A443" s="675" t="s">
        <v>484</v>
      </c>
      <c r="B443" s="676" t="s">
        <v>3021</v>
      </c>
      <c r="C443" s="676" t="s">
        <v>2244</v>
      </c>
      <c r="D443" s="676" t="s">
        <v>2276</v>
      </c>
      <c r="E443" s="676" t="s">
        <v>2277</v>
      </c>
      <c r="F443" s="680">
        <v>1</v>
      </c>
      <c r="G443" s="680">
        <v>696</v>
      </c>
      <c r="H443" s="680">
        <v>0.98166431593794079</v>
      </c>
      <c r="I443" s="680">
        <v>696</v>
      </c>
      <c r="J443" s="680">
        <v>1</v>
      </c>
      <c r="K443" s="680">
        <v>709</v>
      </c>
      <c r="L443" s="680">
        <v>1</v>
      </c>
      <c r="M443" s="680">
        <v>709</v>
      </c>
      <c r="N443" s="680"/>
      <c r="O443" s="680"/>
      <c r="P443" s="702"/>
      <c r="Q443" s="681"/>
    </row>
    <row r="444" spans="1:17" ht="14.4" customHeight="1" x14ac:dyDescent="0.3">
      <c r="A444" s="675" t="s">
        <v>484</v>
      </c>
      <c r="B444" s="676" t="s">
        <v>3021</v>
      </c>
      <c r="C444" s="676" t="s">
        <v>2244</v>
      </c>
      <c r="D444" s="676" t="s">
        <v>3022</v>
      </c>
      <c r="E444" s="676" t="s">
        <v>3023</v>
      </c>
      <c r="F444" s="680"/>
      <c r="G444" s="680"/>
      <c r="H444" s="680"/>
      <c r="I444" s="680"/>
      <c r="J444" s="680">
        <v>1</v>
      </c>
      <c r="K444" s="680">
        <v>5923</v>
      </c>
      <c r="L444" s="680">
        <v>1</v>
      </c>
      <c r="M444" s="680">
        <v>5923</v>
      </c>
      <c r="N444" s="680"/>
      <c r="O444" s="680"/>
      <c r="P444" s="702"/>
      <c r="Q444" s="681"/>
    </row>
    <row r="445" spans="1:17" ht="14.4" customHeight="1" x14ac:dyDescent="0.3">
      <c r="A445" s="675" t="s">
        <v>484</v>
      </c>
      <c r="B445" s="676" t="s">
        <v>3021</v>
      </c>
      <c r="C445" s="676" t="s">
        <v>2244</v>
      </c>
      <c r="D445" s="676" t="s">
        <v>2497</v>
      </c>
      <c r="E445" s="676" t="s">
        <v>2498</v>
      </c>
      <c r="F445" s="680"/>
      <c r="G445" s="680"/>
      <c r="H445" s="680"/>
      <c r="I445" s="680"/>
      <c r="J445" s="680">
        <v>2</v>
      </c>
      <c r="K445" s="680">
        <v>348</v>
      </c>
      <c r="L445" s="680">
        <v>1</v>
      </c>
      <c r="M445" s="680">
        <v>174</v>
      </c>
      <c r="N445" s="680"/>
      <c r="O445" s="680"/>
      <c r="P445" s="702"/>
      <c r="Q445" s="681"/>
    </row>
    <row r="446" spans="1:17" ht="14.4" customHeight="1" x14ac:dyDescent="0.3">
      <c r="A446" s="675" t="s">
        <v>484</v>
      </c>
      <c r="B446" s="676" t="s">
        <v>3021</v>
      </c>
      <c r="C446" s="676" t="s">
        <v>2244</v>
      </c>
      <c r="D446" s="676" t="s">
        <v>3024</v>
      </c>
      <c r="E446" s="676" t="s">
        <v>3025</v>
      </c>
      <c r="F446" s="680"/>
      <c r="G446" s="680"/>
      <c r="H446" s="680"/>
      <c r="I446" s="680"/>
      <c r="J446" s="680"/>
      <c r="K446" s="680"/>
      <c r="L446" s="680"/>
      <c r="M446" s="680"/>
      <c r="N446" s="680">
        <v>1</v>
      </c>
      <c r="O446" s="680">
        <v>541</v>
      </c>
      <c r="P446" s="702"/>
      <c r="Q446" s="681">
        <v>541</v>
      </c>
    </row>
    <row r="447" spans="1:17" ht="14.4" customHeight="1" x14ac:dyDescent="0.3">
      <c r="A447" s="675" t="s">
        <v>484</v>
      </c>
      <c r="B447" s="676" t="s">
        <v>3021</v>
      </c>
      <c r="C447" s="676" t="s">
        <v>2244</v>
      </c>
      <c r="D447" s="676" t="s">
        <v>3026</v>
      </c>
      <c r="E447" s="676" t="s">
        <v>3027</v>
      </c>
      <c r="F447" s="680"/>
      <c r="G447" s="680"/>
      <c r="H447" s="680"/>
      <c r="I447" s="680"/>
      <c r="J447" s="680">
        <v>4</v>
      </c>
      <c r="K447" s="680">
        <v>4124</v>
      </c>
      <c r="L447" s="680">
        <v>1</v>
      </c>
      <c r="M447" s="680">
        <v>1031</v>
      </c>
      <c r="N447" s="680"/>
      <c r="O447" s="680"/>
      <c r="P447" s="702"/>
      <c r="Q447" s="681"/>
    </row>
    <row r="448" spans="1:17" ht="14.4" customHeight="1" x14ac:dyDescent="0.3">
      <c r="A448" s="675" t="s">
        <v>484</v>
      </c>
      <c r="B448" s="676" t="s">
        <v>3021</v>
      </c>
      <c r="C448" s="676" t="s">
        <v>2244</v>
      </c>
      <c r="D448" s="676" t="s">
        <v>3028</v>
      </c>
      <c r="E448" s="676" t="s">
        <v>3029</v>
      </c>
      <c r="F448" s="680"/>
      <c r="G448" s="680"/>
      <c r="H448" s="680"/>
      <c r="I448" s="680"/>
      <c r="J448" s="680">
        <v>1</v>
      </c>
      <c r="K448" s="680">
        <v>1677</v>
      </c>
      <c r="L448" s="680">
        <v>1</v>
      </c>
      <c r="M448" s="680">
        <v>1677</v>
      </c>
      <c r="N448" s="680"/>
      <c r="O448" s="680"/>
      <c r="P448" s="702"/>
      <c r="Q448" s="681"/>
    </row>
    <row r="449" spans="1:17" ht="14.4" customHeight="1" x14ac:dyDescent="0.3">
      <c r="A449" s="675" t="s">
        <v>484</v>
      </c>
      <c r="B449" s="676" t="s">
        <v>3021</v>
      </c>
      <c r="C449" s="676" t="s">
        <v>2244</v>
      </c>
      <c r="D449" s="676" t="s">
        <v>3030</v>
      </c>
      <c r="E449" s="676" t="s">
        <v>3025</v>
      </c>
      <c r="F449" s="680"/>
      <c r="G449" s="680"/>
      <c r="H449" s="680"/>
      <c r="I449" s="680"/>
      <c r="J449" s="680">
        <v>1</v>
      </c>
      <c r="K449" s="680">
        <v>688</v>
      </c>
      <c r="L449" s="680">
        <v>1</v>
      </c>
      <c r="M449" s="680">
        <v>688</v>
      </c>
      <c r="N449" s="680">
        <v>1</v>
      </c>
      <c r="O449" s="680">
        <v>688</v>
      </c>
      <c r="P449" s="702">
        <v>1</v>
      </c>
      <c r="Q449" s="681">
        <v>688</v>
      </c>
    </row>
    <row r="450" spans="1:17" ht="14.4" customHeight="1" x14ac:dyDescent="0.3">
      <c r="A450" s="675" t="s">
        <v>484</v>
      </c>
      <c r="B450" s="676" t="s">
        <v>3021</v>
      </c>
      <c r="C450" s="676" t="s">
        <v>2244</v>
      </c>
      <c r="D450" s="676" t="s">
        <v>2322</v>
      </c>
      <c r="E450" s="676" t="s">
        <v>2323</v>
      </c>
      <c r="F450" s="680"/>
      <c r="G450" s="680"/>
      <c r="H450" s="680"/>
      <c r="I450" s="680"/>
      <c r="J450" s="680">
        <v>0</v>
      </c>
      <c r="K450" s="680">
        <v>0</v>
      </c>
      <c r="L450" s="680"/>
      <c r="M450" s="680"/>
      <c r="N450" s="680"/>
      <c r="O450" s="680"/>
      <c r="P450" s="702"/>
      <c r="Q450" s="681"/>
    </row>
    <row r="451" spans="1:17" ht="14.4" customHeight="1" x14ac:dyDescent="0.3">
      <c r="A451" s="675" t="s">
        <v>484</v>
      </c>
      <c r="B451" s="676" t="s">
        <v>3021</v>
      </c>
      <c r="C451" s="676" t="s">
        <v>2244</v>
      </c>
      <c r="D451" s="676" t="s">
        <v>2324</v>
      </c>
      <c r="E451" s="676" t="s">
        <v>2325</v>
      </c>
      <c r="F451" s="680"/>
      <c r="G451" s="680"/>
      <c r="H451" s="680"/>
      <c r="I451" s="680"/>
      <c r="J451" s="680"/>
      <c r="K451" s="680"/>
      <c r="L451" s="680"/>
      <c r="M451" s="680"/>
      <c r="N451" s="680">
        <v>1</v>
      </c>
      <c r="O451" s="680">
        <v>865</v>
      </c>
      <c r="P451" s="702"/>
      <c r="Q451" s="681">
        <v>865</v>
      </c>
    </row>
    <row r="452" spans="1:17" ht="14.4" customHeight="1" x14ac:dyDescent="0.3">
      <c r="A452" s="675" t="s">
        <v>484</v>
      </c>
      <c r="B452" s="676" t="s">
        <v>3021</v>
      </c>
      <c r="C452" s="676" t="s">
        <v>2244</v>
      </c>
      <c r="D452" s="676" t="s">
        <v>3031</v>
      </c>
      <c r="E452" s="676" t="s">
        <v>3032</v>
      </c>
      <c r="F452" s="680">
        <v>1</v>
      </c>
      <c r="G452" s="680">
        <v>2654</v>
      </c>
      <c r="H452" s="680"/>
      <c r="I452" s="680">
        <v>2654</v>
      </c>
      <c r="J452" s="680"/>
      <c r="K452" s="680"/>
      <c r="L452" s="680"/>
      <c r="M452" s="680"/>
      <c r="N452" s="680">
        <v>2</v>
      </c>
      <c r="O452" s="680">
        <v>5524</v>
      </c>
      <c r="P452" s="702"/>
      <c r="Q452" s="681">
        <v>2762</v>
      </c>
    </row>
    <row r="453" spans="1:17" ht="14.4" customHeight="1" x14ac:dyDescent="0.3">
      <c r="A453" s="675" t="s">
        <v>484</v>
      </c>
      <c r="B453" s="676" t="s">
        <v>3021</v>
      </c>
      <c r="C453" s="676" t="s">
        <v>2244</v>
      </c>
      <c r="D453" s="676" t="s">
        <v>3033</v>
      </c>
      <c r="E453" s="676" t="s">
        <v>3034</v>
      </c>
      <c r="F453" s="680"/>
      <c r="G453" s="680"/>
      <c r="H453" s="680"/>
      <c r="I453" s="680"/>
      <c r="J453" s="680">
        <v>1</v>
      </c>
      <c r="K453" s="680">
        <v>1734</v>
      </c>
      <c r="L453" s="680">
        <v>1</v>
      </c>
      <c r="M453" s="680">
        <v>1734</v>
      </c>
      <c r="N453" s="680"/>
      <c r="O453" s="680"/>
      <c r="P453" s="702"/>
      <c r="Q453" s="681"/>
    </row>
    <row r="454" spans="1:17" ht="14.4" customHeight="1" x14ac:dyDescent="0.3">
      <c r="A454" s="675" t="s">
        <v>484</v>
      </c>
      <c r="B454" s="676" t="s">
        <v>3021</v>
      </c>
      <c r="C454" s="676" t="s">
        <v>2244</v>
      </c>
      <c r="D454" s="676" t="s">
        <v>3035</v>
      </c>
      <c r="E454" s="676" t="s">
        <v>3036</v>
      </c>
      <c r="F454" s="680"/>
      <c r="G454" s="680"/>
      <c r="H454" s="680"/>
      <c r="I454" s="680"/>
      <c r="J454" s="680">
        <v>6</v>
      </c>
      <c r="K454" s="680">
        <v>6006</v>
      </c>
      <c r="L454" s="680">
        <v>1</v>
      </c>
      <c r="M454" s="680">
        <v>1001</v>
      </c>
      <c r="N454" s="680"/>
      <c r="O454" s="680"/>
      <c r="P454" s="702"/>
      <c r="Q454" s="681"/>
    </row>
    <row r="455" spans="1:17" ht="14.4" customHeight="1" x14ac:dyDescent="0.3">
      <c r="A455" s="675" t="s">
        <v>484</v>
      </c>
      <c r="B455" s="676" t="s">
        <v>3021</v>
      </c>
      <c r="C455" s="676" t="s">
        <v>2244</v>
      </c>
      <c r="D455" s="676" t="s">
        <v>3037</v>
      </c>
      <c r="E455" s="676" t="s">
        <v>3038</v>
      </c>
      <c r="F455" s="680"/>
      <c r="G455" s="680"/>
      <c r="H455" s="680"/>
      <c r="I455" s="680"/>
      <c r="J455" s="680"/>
      <c r="K455" s="680"/>
      <c r="L455" s="680"/>
      <c r="M455" s="680"/>
      <c r="N455" s="680">
        <v>1</v>
      </c>
      <c r="O455" s="680">
        <v>1633</v>
      </c>
      <c r="P455" s="702"/>
      <c r="Q455" s="681">
        <v>1633</v>
      </c>
    </row>
    <row r="456" spans="1:17" ht="14.4" customHeight="1" x14ac:dyDescent="0.3">
      <c r="A456" s="675" t="s">
        <v>484</v>
      </c>
      <c r="B456" s="676" t="s">
        <v>3021</v>
      </c>
      <c r="C456" s="676" t="s">
        <v>2244</v>
      </c>
      <c r="D456" s="676" t="s">
        <v>3039</v>
      </c>
      <c r="E456" s="676" t="s">
        <v>3040</v>
      </c>
      <c r="F456" s="680"/>
      <c r="G456" s="680"/>
      <c r="H456" s="680"/>
      <c r="I456" s="680"/>
      <c r="J456" s="680">
        <v>1</v>
      </c>
      <c r="K456" s="680">
        <v>891</v>
      </c>
      <c r="L456" s="680">
        <v>1</v>
      </c>
      <c r="M456" s="680">
        <v>891</v>
      </c>
      <c r="N456" s="680"/>
      <c r="O456" s="680"/>
      <c r="P456" s="702"/>
      <c r="Q456" s="681"/>
    </row>
    <row r="457" spans="1:17" ht="14.4" customHeight="1" x14ac:dyDescent="0.3">
      <c r="A457" s="675" t="s">
        <v>484</v>
      </c>
      <c r="B457" s="676" t="s">
        <v>3021</v>
      </c>
      <c r="C457" s="676" t="s">
        <v>2244</v>
      </c>
      <c r="D457" s="676" t="s">
        <v>3041</v>
      </c>
      <c r="E457" s="676" t="s">
        <v>3042</v>
      </c>
      <c r="F457" s="680"/>
      <c r="G457" s="680"/>
      <c r="H457" s="680"/>
      <c r="I457" s="680"/>
      <c r="J457" s="680">
        <v>1</v>
      </c>
      <c r="K457" s="680">
        <v>1033</v>
      </c>
      <c r="L457" s="680">
        <v>1</v>
      </c>
      <c r="M457" s="680">
        <v>1033</v>
      </c>
      <c r="N457" s="680"/>
      <c r="O457" s="680"/>
      <c r="P457" s="702"/>
      <c r="Q457" s="681"/>
    </row>
    <row r="458" spans="1:17" ht="14.4" customHeight="1" x14ac:dyDescent="0.3">
      <c r="A458" s="675" t="s">
        <v>484</v>
      </c>
      <c r="B458" s="676" t="s">
        <v>3043</v>
      </c>
      <c r="C458" s="676" t="s">
        <v>2244</v>
      </c>
      <c r="D458" s="676" t="s">
        <v>2266</v>
      </c>
      <c r="E458" s="676" t="s">
        <v>2267</v>
      </c>
      <c r="F458" s="680">
        <v>1</v>
      </c>
      <c r="G458" s="680">
        <v>1630</v>
      </c>
      <c r="H458" s="680"/>
      <c r="I458" s="680">
        <v>1630</v>
      </c>
      <c r="J458" s="680"/>
      <c r="K458" s="680"/>
      <c r="L458" s="680"/>
      <c r="M458" s="680"/>
      <c r="N458" s="680"/>
      <c r="O458" s="680"/>
      <c r="P458" s="702"/>
      <c r="Q458" s="681"/>
    </row>
    <row r="459" spans="1:17" ht="14.4" customHeight="1" x14ac:dyDescent="0.3">
      <c r="A459" s="675" t="s">
        <v>484</v>
      </c>
      <c r="B459" s="676" t="s">
        <v>3044</v>
      </c>
      <c r="C459" s="676" t="s">
        <v>2244</v>
      </c>
      <c r="D459" s="676" t="s">
        <v>3045</v>
      </c>
      <c r="E459" s="676" t="s">
        <v>3046</v>
      </c>
      <c r="F459" s="680"/>
      <c r="G459" s="680"/>
      <c r="H459" s="680"/>
      <c r="I459" s="680"/>
      <c r="J459" s="680"/>
      <c r="K459" s="680"/>
      <c r="L459" s="680"/>
      <c r="M459" s="680"/>
      <c r="N459" s="680">
        <v>2</v>
      </c>
      <c r="O459" s="680">
        <v>274</v>
      </c>
      <c r="P459" s="702"/>
      <c r="Q459" s="681">
        <v>137</v>
      </c>
    </row>
    <row r="460" spans="1:17" ht="14.4" customHeight="1" x14ac:dyDescent="0.3">
      <c r="A460" s="675" t="s">
        <v>484</v>
      </c>
      <c r="B460" s="676" t="s">
        <v>3044</v>
      </c>
      <c r="C460" s="676" t="s">
        <v>2244</v>
      </c>
      <c r="D460" s="676" t="s">
        <v>3047</v>
      </c>
      <c r="E460" s="676" t="s">
        <v>3048</v>
      </c>
      <c r="F460" s="680"/>
      <c r="G460" s="680"/>
      <c r="H460" s="680"/>
      <c r="I460" s="680"/>
      <c r="J460" s="680"/>
      <c r="K460" s="680"/>
      <c r="L460" s="680"/>
      <c r="M460" s="680"/>
      <c r="N460" s="680">
        <v>2</v>
      </c>
      <c r="O460" s="680">
        <v>192</v>
      </c>
      <c r="P460" s="702"/>
      <c r="Q460" s="681">
        <v>96</v>
      </c>
    </row>
    <row r="461" spans="1:17" ht="14.4" customHeight="1" x14ac:dyDescent="0.3">
      <c r="A461" s="675" t="s">
        <v>484</v>
      </c>
      <c r="B461" s="676" t="s">
        <v>3044</v>
      </c>
      <c r="C461" s="676" t="s">
        <v>2244</v>
      </c>
      <c r="D461" s="676" t="s">
        <v>3049</v>
      </c>
      <c r="E461" s="676" t="s">
        <v>3050</v>
      </c>
      <c r="F461" s="680"/>
      <c r="G461" s="680"/>
      <c r="H461" s="680"/>
      <c r="I461" s="680"/>
      <c r="J461" s="680"/>
      <c r="K461" s="680"/>
      <c r="L461" s="680"/>
      <c r="M461" s="680"/>
      <c r="N461" s="680">
        <v>1</v>
      </c>
      <c r="O461" s="680">
        <v>751</v>
      </c>
      <c r="P461" s="702"/>
      <c r="Q461" s="681">
        <v>751</v>
      </c>
    </row>
    <row r="462" spans="1:17" ht="14.4" customHeight="1" x14ac:dyDescent="0.3">
      <c r="A462" s="675" t="s">
        <v>484</v>
      </c>
      <c r="B462" s="676" t="s">
        <v>3044</v>
      </c>
      <c r="C462" s="676" t="s">
        <v>2244</v>
      </c>
      <c r="D462" s="676" t="s">
        <v>3051</v>
      </c>
      <c r="E462" s="676" t="s">
        <v>3052</v>
      </c>
      <c r="F462" s="680"/>
      <c r="G462" s="680"/>
      <c r="H462" s="680"/>
      <c r="I462" s="680"/>
      <c r="J462" s="680">
        <v>2</v>
      </c>
      <c r="K462" s="680">
        <v>722</v>
      </c>
      <c r="L462" s="680">
        <v>1</v>
      </c>
      <c r="M462" s="680">
        <v>361</v>
      </c>
      <c r="N462" s="680"/>
      <c r="O462" s="680"/>
      <c r="P462" s="702"/>
      <c r="Q462" s="681"/>
    </row>
    <row r="463" spans="1:17" ht="14.4" customHeight="1" x14ac:dyDescent="0.3">
      <c r="A463" s="675" t="s">
        <v>484</v>
      </c>
      <c r="B463" s="676" t="s">
        <v>3044</v>
      </c>
      <c r="C463" s="676" t="s">
        <v>2244</v>
      </c>
      <c r="D463" s="676" t="s">
        <v>3053</v>
      </c>
      <c r="E463" s="676" t="s">
        <v>3054</v>
      </c>
      <c r="F463" s="680"/>
      <c r="G463" s="680"/>
      <c r="H463" s="680"/>
      <c r="I463" s="680"/>
      <c r="J463" s="680"/>
      <c r="K463" s="680"/>
      <c r="L463" s="680"/>
      <c r="M463" s="680"/>
      <c r="N463" s="680">
        <v>1</v>
      </c>
      <c r="O463" s="680">
        <v>370</v>
      </c>
      <c r="P463" s="702"/>
      <c r="Q463" s="681">
        <v>370</v>
      </c>
    </row>
    <row r="464" spans="1:17" ht="14.4" customHeight="1" x14ac:dyDescent="0.3">
      <c r="A464" s="675" t="s">
        <v>484</v>
      </c>
      <c r="B464" s="676" t="s">
        <v>3044</v>
      </c>
      <c r="C464" s="676" t="s">
        <v>2244</v>
      </c>
      <c r="D464" s="676" t="s">
        <v>3055</v>
      </c>
      <c r="E464" s="676" t="s">
        <v>3056</v>
      </c>
      <c r="F464" s="680"/>
      <c r="G464" s="680"/>
      <c r="H464" s="680"/>
      <c r="I464" s="680"/>
      <c r="J464" s="680">
        <v>1</v>
      </c>
      <c r="K464" s="680">
        <v>980</v>
      </c>
      <c r="L464" s="680">
        <v>1</v>
      </c>
      <c r="M464" s="680">
        <v>980</v>
      </c>
      <c r="N464" s="680">
        <v>1</v>
      </c>
      <c r="O464" s="680">
        <v>980</v>
      </c>
      <c r="P464" s="702">
        <v>1</v>
      </c>
      <c r="Q464" s="681">
        <v>980</v>
      </c>
    </row>
    <row r="465" spans="1:17" ht="14.4" customHeight="1" x14ac:dyDescent="0.3">
      <c r="A465" s="675" t="s">
        <v>484</v>
      </c>
      <c r="B465" s="676" t="s">
        <v>3044</v>
      </c>
      <c r="C465" s="676" t="s">
        <v>2244</v>
      </c>
      <c r="D465" s="676" t="s">
        <v>3057</v>
      </c>
      <c r="E465" s="676" t="s">
        <v>3058</v>
      </c>
      <c r="F465" s="680"/>
      <c r="G465" s="680"/>
      <c r="H465" s="680"/>
      <c r="I465" s="680"/>
      <c r="J465" s="680"/>
      <c r="K465" s="680"/>
      <c r="L465" s="680"/>
      <c r="M465" s="680"/>
      <c r="N465" s="680">
        <v>1</v>
      </c>
      <c r="O465" s="680">
        <v>380</v>
      </c>
      <c r="P465" s="702"/>
      <c r="Q465" s="681">
        <v>380</v>
      </c>
    </row>
    <row r="466" spans="1:17" ht="14.4" customHeight="1" x14ac:dyDescent="0.3">
      <c r="A466" s="675" t="s">
        <v>484</v>
      </c>
      <c r="B466" s="676" t="s">
        <v>3044</v>
      </c>
      <c r="C466" s="676" t="s">
        <v>2244</v>
      </c>
      <c r="D466" s="676" t="s">
        <v>3059</v>
      </c>
      <c r="E466" s="676" t="s">
        <v>3060</v>
      </c>
      <c r="F466" s="680"/>
      <c r="G466" s="680"/>
      <c r="H466" s="680"/>
      <c r="I466" s="680"/>
      <c r="J466" s="680"/>
      <c r="K466" s="680"/>
      <c r="L466" s="680"/>
      <c r="M466" s="680"/>
      <c r="N466" s="680">
        <v>2</v>
      </c>
      <c r="O466" s="680">
        <v>14652</v>
      </c>
      <c r="P466" s="702"/>
      <c r="Q466" s="681">
        <v>7326</v>
      </c>
    </row>
    <row r="467" spans="1:17" ht="14.4" customHeight="1" x14ac:dyDescent="0.3">
      <c r="A467" s="675" t="s">
        <v>484</v>
      </c>
      <c r="B467" s="676" t="s">
        <v>3044</v>
      </c>
      <c r="C467" s="676" t="s">
        <v>2244</v>
      </c>
      <c r="D467" s="676" t="s">
        <v>3061</v>
      </c>
      <c r="E467" s="676" t="s">
        <v>3062</v>
      </c>
      <c r="F467" s="680"/>
      <c r="G467" s="680"/>
      <c r="H467" s="680"/>
      <c r="I467" s="680"/>
      <c r="J467" s="680"/>
      <c r="K467" s="680"/>
      <c r="L467" s="680"/>
      <c r="M467" s="680"/>
      <c r="N467" s="680">
        <v>1</v>
      </c>
      <c r="O467" s="680">
        <v>1143</v>
      </c>
      <c r="P467" s="702"/>
      <c r="Q467" s="681">
        <v>1143</v>
      </c>
    </row>
    <row r="468" spans="1:17" ht="14.4" customHeight="1" x14ac:dyDescent="0.3">
      <c r="A468" s="675" t="s">
        <v>484</v>
      </c>
      <c r="B468" s="676" t="s">
        <v>3044</v>
      </c>
      <c r="C468" s="676" t="s">
        <v>2244</v>
      </c>
      <c r="D468" s="676" t="s">
        <v>3063</v>
      </c>
      <c r="E468" s="676" t="s">
        <v>3064</v>
      </c>
      <c r="F468" s="680"/>
      <c r="G468" s="680"/>
      <c r="H468" s="680"/>
      <c r="I468" s="680"/>
      <c r="J468" s="680"/>
      <c r="K468" s="680"/>
      <c r="L468" s="680"/>
      <c r="M468" s="680"/>
      <c r="N468" s="680">
        <v>1</v>
      </c>
      <c r="O468" s="680">
        <v>712</v>
      </c>
      <c r="P468" s="702"/>
      <c r="Q468" s="681">
        <v>712</v>
      </c>
    </row>
    <row r="469" spans="1:17" ht="14.4" customHeight="1" x14ac:dyDescent="0.3">
      <c r="A469" s="675" t="s">
        <v>484</v>
      </c>
      <c r="B469" s="676" t="s">
        <v>3044</v>
      </c>
      <c r="C469" s="676" t="s">
        <v>2244</v>
      </c>
      <c r="D469" s="676" t="s">
        <v>3065</v>
      </c>
      <c r="E469" s="676" t="s">
        <v>3066</v>
      </c>
      <c r="F469" s="680"/>
      <c r="G469" s="680"/>
      <c r="H469" s="680"/>
      <c r="I469" s="680"/>
      <c r="J469" s="680">
        <v>1</v>
      </c>
      <c r="K469" s="680">
        <v>417</v>
      </c>
      <c r="L469" s="680">
        <v>1</v>
      </c>
      <c r="M469" s="680">
        <v>417</v>
      </c>
      <c r="N469" s="680"/>
      <c r="O469" s="680"/>
      <c r="P469" s="702"/>
      <c r="Q469" s="681"/>
    </row>
    <row r="470" spans="1:17" ht="14.4" customHeight="1" x14ac:dyDescent="0.3">
      <c r="A470" s="675" t="s">
        <v>484</v>
      </c>
      <c r="B470" s="676" t="s">
        <v>3044</v>
      </c>
      <c r="C470" s="676" t="s">
        <v>2244</v>
      </c>
      <c r="D470" s="676" t="s">
        <v>2280</v>
      </c>
      <c r="E470" s="676" t="s">
        <v>2281</v>
      </c>
      <c r="F470" s="680"/>
      <c r="G470" s="680"/>
      <c r="H470" s="680"/>
      <c r="I470" s="680"/>
      <c r="J470" s="680"/>
      <c r="K470" s="680"/>
      <c r="L470" s="680"/>
      <c r="M470" s="680"/>
      <c r="N470" s="680">
        <v>2</v>
      </c>
      <c r="O470" s="680">
        <v>1674</v>
      </c>
      <c r="P470" s="702"/>
      <c r="Q470" s="681">
        <v>837</v>
      </c>
    </row>
    <row r="471" spans="1:17" ht="14.4" customHeight="1" x14ac:dyDescent="0.3">
      <c r="A471" s="675" t="s">
        <v>484</v>
      </c>
      <c r="B471" s="676" t="s">
        <v>3044</v>
      </c>
      <c r="C471" s="676" t="s">
        <v>2244</v>
      </c>
      <c r="D471" s="676" t="s">
        <v>3067</v>
      </c>
      <c r="E471" s="676" t="s">
        <v>3068</v>
      </c>
      <c r="F471" s="680">
        <v>1</v>
      </c>
      <c r="G471" s="680">
        <v>2452</v>
      </c>
      <c r="H471" s="680">
        <v>0.31914616686190289</v>
      </c>
      <c r="I471" s="680">
        <v>2452</v>
      </c>
      <c r="J471" s="680">
        <v>3</v>
      </c>
      <c r="K471" s="680">
        <v>7683</v>
      </c>
      <c r="L471" s="680">
        <v>1</v>
      </c>
      <c r="M471" s="680">
        <v>2561</v>
      </c>
      <c r="N471" s="680">
        <v>8</v>
      </c>
      <c r="O471" s="680">
        <v>20512</v>
      </c>
      <c r="P471" s="702">
        <v>2.6697904464401927</v>
      </c>
      <c r="Q471" s="681">
        <v>2564</v>
      </c>
    </row>
    <row r="472" spans="1:17" ht="14.4" customHeight="1" x14ac:dyDescent="0.3">
      <c r="A472" s="675" t="s">
        <v>484</v>
      </c>
      <c r="B472" s="676" t="s">
        <v>3044</v>
      </c>
      <c r="C472" s="676" t="s">
        <v>2244</v>
      </c>
      <c r="D472" s="676" t="s">
        <v>3069</v>
      </c>
      <c r="E472" s="676" t="s">
        <v>3070</v>
      </c>
      <c r="F472" s="680"/>
      <c r="G472" s="680"/>
      <c r="H472" s="680"/>
      <c r="I472" s="680"/>
      <c r="J472" s="680"/>
      <c r="K472" s="680"/>
      <c r="L472" s="680"/>
      <c r="M472" s="680"/>
      <c r="N472" s="680">
        <v>1</v>
      </c>
      <c r="O472" s="680">
        <v>3121</v>
      </c>
      <c r="P472" s="702"/>
      <c r="Q472" s="681">
        <v>3121</v>
      </c>
    </row>
    <row r="473" spans="1:17" ht="14.4" customHeight="1" x14ac:dyDescent="0.3">
      <c r="A473" s="675" t="s">
        <v>484</v>
      </c>
      <c r="B473" s="676" t="s">
        <v>3044</v>
      </c>
      <c r="C473" s="676" t="s">
        <v>2244</v>
      </c>
      <c r="D473" s="676" t="s">
        <v>3071</v>
      </c>
      <c r="E473" s="676" t="s">
        <v>3072</v>
      </c>
      <c r="F473" s="680">
        <v>1</v>
      </c>
      <c r="G473" s="680">
        <v>1475</v>
      </c>
      <c r="H473" s="680"/>
      <c r="I473" s="680">
        <v>1475</v>
      </c>
      <c r="J473" s="680"/>
      <c r="K473" s="680"/>
      <c r="L473" s="680"/>
      <c r="M473" s="680"/>
      <c r="N473" s="680"/>
      <c r="O473" s="680"/>
      <c r="P473" s="702"/>
      <c r="Q473" s="681"/>
    </row>
    <row r="474" spans="1:17" ht="14.4" customHeight="1" x14ac:dyDescent="0.3">
      <c r="A474" s="675" t="s">
        <v>484</v>
      </c>
      <c r="B474" s="676" t="s">
        <v>3044</v>
      </c>
      <c r="C474" s="676" t="s">
        <v>2244</v>
      </c>
      <c r="D474" s="676" t="s">
        <v>3073</v>
      </c>
      <c r="E474" s="676" t="s">
        <v>3074</v>
      </c>
      <c r="F474" s="680"/>
      <c r="G474" s="680"/>
      <c r="H474" s="680"/>
      <c r="I474" s="680"/>
      <c r="J474" s="680">
        <v>1</v>
      </c>
      <c r="K474" s="680">
        <v>3308</v>
      </c>
      <c r="L474" s="680">
        <v>1</v>
      </c>
      <c r="M474" s="680">
        <v>3308</v>
      </c>
      <c r="N474" s="680"/>
      <c r="O474" s="680"/>
      <c r="P474" s="702"/>
      <c r="Q474" s="681"/>
    </row>
    <row r="475" spans="1:17" ht="14.4" customHeight="1" x14ac:dyDescent="0.3">
      <c r="A475" s="675" t="s">
        <v>484</v>
      </c>
      <c r="B475" s="676" t="s">
        <v>3075</v>
      </c>
      <c r="C475" s="676" t="s">
        <v>2244</v>
      </c>
      <c r="D475" s="676" t="s">
        <v>2449</v>
      </c>
      <c r="E475" s="676" t="s">
        <v>2450</v>
      </c>
      <c r="F475" s="680">
        <v>1</v>
      </c>
      <c r="G475" s="680">
        <v>917</v>
      </c>
      <c r="H475" s="680"/>
      <c r="I475" s="680">
        <v>917</v>
      </c>
      <c r="J475" s="680"/>
      <c r="K475" s="680"/>
      <c r="L475" s="680"/>
      <c r="M475" s="680"/>
      <c r="N475" s="680"/>
      <c r="O475" s="680"/>
      <c r="P475" s="702"/>
      <c r="Q475" s="681"/>
    </row>
    <row r="476" spans="1:17" ht="14.4" customHeight="1" x14ac:dyDescent="0.3">
      <c r="A476" s="675" t="s">
        <v>484</v>
      </c>
      <c r="B476" s="676" t="s">
        <v>3075</v>
      </c>
      <c r="C476" s="676" t="s">
        <v>2244</v>
      </c>
      <c r="D476" s="676" t="s">
        <v>3076</v>
      </c>
      <c r="E476" s="676" t="s">
        <v>3077</v>
      </c>
      <c r="F476" s="680">
        <v>1</v>
      </c>
      <c r="G476" s="680">
        <v>2176</v>
      </c>
      <c r="H476" s="680"/>
      <c r="I476" s="680">
        <v>2176</v>
      </c>
      <c r="J476" s="680"/>
      <c r="K476" s="680"/>
      <c r="L476" s="680"/>
      <c r="M476" s="680"/>
      <c r="N476" s="680"/>
      <c r="O476" s="680"/>
      <c r="P476" s="702"/>
      <c r="Q476" s="681"/>
    </row>
    <row r="477" spans="1:17" ht="14.4" customHeight="1" x14ac:dyDescent="0.3">
      <c r="A477" s="675" t="s">
        <v>484</v>
      </c>
      <c r="B477" s="676" t="s">
        <v>3075</v>
      </c>
      <c r="C477" s="676" t="s">
        <v>2244</v>
      </c>
      <c r="D477" s="676" t="s">
        <v>3078</v>
      </c>
      <c r="E477" s="676" t="s">
        <v>3079</v>
      </c>
      <c r="F477" s="680">
        <v>1</v>
      </c>
      <c r="G477" s="680">
        <v>1837</v>
      </c>
      <c r="H477" s="680"/>
      <c r="I477" s="680">
        <v>1837</v>
      </c>
      <c r="J477" s="680"/>
      <c r="K477" s="680"/>
      <c r="L477" s="680"/>
      <c r="M477" s="680"/>
      <c r="N477" s="680"/>
      <c r="O477" s="680"/>
      <c r="P477" s="702"/>
      <c r="Q477" s="681"/>
    </row>
    <row r="478" spans="1:17" ht="14.4" customHeight="1" x14ac:dyDescent="0.3">
      <c r="A478" s="675" t="s">
        <v>484</v>
      </c>
      <c r="B478" s="676" t="s">
        <v>3080</v>
      </c>
      <c r="C478" s="676" t="s">
        <v>2244</v>
      </c>
      <c r="D478" s="676" t="s">
        <v>3081</v>
      </c>
      <c r="E478" s="676" t="s">
        <v>3082</v>
      </c>
      <c r="F478" s="680"/>
      <c r="G478" s="680"/>
      <c r="H478" s="680"/>
      <c r="I478" s="680"/>
      <c r="J478" s="680"/>
      <c r="K478" s="680"/>
      <c r="L478" s="680"/>
      <c r="M478" s="680"/>
      <c r="N478" s="680">
        <v>1</v>
      </c>
      <c r="O478" s="680">
        <v>113</v>
      </c>
      <c r="P478" s="702"/>
      <c r="Q478" s="681">
        <v>113</v>
      </c>
    </row>
    <row r="479" spans="1:17" ht="14.4" customHeight="1" x14ac:dyDescent="0.3">
      <c r="A479" s="675" t="s">
        <v>484</v>
      </c>
      <c r="B479" s="676" t="s">
        <v>3083</v>
      </c>
      <c r="C479" s="676" t="s">
        <v>2244</v>
      </c>
      <c r="D479" s="676" t="s">
        <v>3084</v>
      </c>
      <c r="E479" s="676" t="s">
        <v>3085</v>
      </c>
      <c r="F479" s="680">
        <v>1</v>
      </c>
      <c r="G479" s="680">
        <v>254</v>
      </c>
      <c r="H479" s="680"/>
      <c r="I479" s="680">
        <v>254</v>
      </c>
      <c r="J479" s="680"/>
      <c r="K479" s="680"/>
      <c r="L479" s="680"/>
      <c r="M479" s="680"/>
      <c r="N479" s="680">
        <v>3</v>
      </c>
      <c r="O479" s="680">
        <v>789</v>
      </c>
      <c r="P479" s="702"/>
      <c r="Q479" s="681">
        <v>263</v>
      </c>
    </row>
    <row r="480" spans="1:17" ht="14.4" customHeight="1" x14ac:dyDescent="0.3">
      <c r="A480" s="675" t="s">
        <v>484</v>
      </c>
      <c r="B480" s="676" t="s">
        <v>3083</v>
      </c>
      <c r="C480" s="676" t="s">
        <v>2244</v>
      </c>
      <c r="D480" s="676" t="s">
        <v>3086</v>
      </c>
      <c r="E480" s="676" t="s">
        <v>3087</v>
      </c>
      <c r="F480" s="680"/>
      <c r="G480" s="680"/>
      <c r="H480" s="680"/>
      <c r="I480" s="680"/>
      <c r="J480" s="680"/>
      <c r="K480" s="680"/>
      <c r="L480" s="680"/>
      <c r="M480" s="680"/>
      <c r="N480" s="680">
        <v>1</v>
      </c>
      <c r="O480" s="680">
        <v>2282</v>
      </c>
      <c r="P480" s="702"/>
      <c r="Q480" s="681">
        <v>2282</v>
      </c>
    </row>
    <row r="481" spans="1:17" ht="14.4" customHeight="1" x14ac:dyDescent="0.3">
      <c r="A481" s="675" t="s">
        <v>484</v>
      </c>
      <c r="B481" s="676" t="s">
        <v>3083</v>
      </c>
      <c r="C481" s="676" t="s">
        <v>2244</v>
      </c>
      <c r="D481" s="676" t="s">
        <v>2280</v>
      </c>
      <c r="E481" s="676" t="s">
        <v>2281</v>
      </c>
      <c r="F481" s="680"/>
      <c r="G481" s="680"/>
      <c r="H481" s="680"/>
      <c r="I481" s="680"/>
      <c r="J481" s="680">
        <v>6</v>
      </c>
      <c r="K481" s="680">
        <v>5016</v>
      </c>
      <c r="L481" s="680">
        <v>1</v>
      </c>
      <c r="M481" s="680">
        <v>836</v>
      </c>
      <c r="N481" s="680">
        <v>7</v>
      </c>
      <c r="O481" s="680">
        <v>5859</v>
      </c>
      <c r="P481" s="702">
        <v>1.1680622009569377</v>
      </c>
      <c r="Q481" s="681">
        <v>837</v>
      </c>
    </row>
    <row r="482" spans="1:17" ht="14.4" customHeight="1" x14ac:dyDescent="0.3">
      <c r="A482" s="675" t="s">
        <v>484</v>
      </c>
      <c r="B482" s="676" t="s">
        <v>3083</v>
      </c>
      <c r="C482" s="676" t="s">
        <v>2244</v>
      </c>
      <c r="D482" s="676" t="s">
        <v>3088</v>
      </c>
      <c r="E482" s="676" t="s">
        <v>3089</v>
      </c>
      <c r="F482" s="680"/>
      <c r="G482" s="680"/>
      <c r="H482" s="680"/>
      <c r="I482" s="680"/>
      <c r="J482" s="680">
        <v>1</v>
      </c>
      <c r="K482" s="680">
        <v>2500</v>
      </c>
      <c r="L482" s="680">
        <v>1</v>
      </c>
      <c r="M482" s="680">
        <v>2500</v>
      </c>
      <c r="N482" s="680"/>
      <c r="O482" s="680"/>
      <c r="P482" s="702"/>
      <c r="Q482" s="681"/>
    </row>
    <row r="483" spans="1:17" ht="14.4" customHeight="1" x14ac:dyDescent="0.3">
      <c r="A483" s="675" t="s">
        <v>484</v>
      </c>
      <c r="B483" s="676" t="s">
        <v>3083</v>
      </c>
      <c r="C483" s="676" t="s">
        <v>2244</v>
      </c>
      <c r="D483" s="676" t="s">
        <v>3090</v>
      </c>
      <c r="E483" s="676" t="s">
        <v>3091</v>
      </c>
      <c r="F483" s="680"/>
      <c r="G483" s="680"/>
      <c r="H483" s="680"/>
      <c r="I483" s="680"/>
      <c r="J483" s="680">
        <v>1</v>
      </c>
      <c r="K483" s="680">
        <v>3544</v>
      </c>
      <c r="L483" s="680">
        <v>1</v>
      </c>
      <c r="M483" s="680">
        <v>3544</v>
      </c>
      <c r="N483" s="680"/>
      <c r="O483" s="680"/>
      <c r="P483" s="702"/>
      <c r="Q483" s="681"/>
    </row>
    <row r="484" spans="1:17" ht="14.4" customHeight="1" x14ac:dyDescent="0.3">
      <c r="A484" s="675" t="s">
        <v>484</v>
      </c>
      <c r="B484" s="676" t="s">
        <v>3083</v>
      </c>
      <c r="C484" s="676" t="s">
        <v>2244</v>
      </c>
      <c r="D484" s="676" t="s">
        <v>3092</v>
      </c>
      <c r="E484" s="676" t="s">
        <v>3093</v>
      </c>
      <c r="F484" s="680"/>
      <c r="G484" s="680"/>
      <c r="H484" s="680"/>
      <c r="I484" s="680"/>
      <c r="J484" s="680"/>
      <c r="K484" s="680"/>
      <c r="L484" s="680"/>
      <c r="M484" s="680"/>
      <c r="N484" s="680">
        <v>1</v>
      </c>
      <c r="O484" s="680">
        <v>406</v>
      </c>
      <c r="P484" s="702"/>
      <c r="Q484" s="681">
        <v>406</v>
      </c>
    </row>
    <row r="485" spans="1:17" ht="14.4" customHeight="1" x14ac:dyDescent="0.3">
      <c r="A485" s="675" t="s">
        <v>484</v>
      </c>
      <c r="B485" s="676" t="s">
        <v>3083</v>
      </c>
      <c r="C485" s="676" t="s">
        <v>2244</v>
      </c>
      <c r="D485" s="676" t="s">
        <v>3094</v>
      </c>
      <c r="E485" s="676" t="s">
        <v>3095</v>
      </c>
      <c r="F485" s="680"/>
      <c r="G485" s="680"/>
      <c r="H485" s="680"/>
      <c r="I485" s="680"/>
      <c r="J485" s="680">
        <v>1</v>
      </c>
      <c r="K485" s="680">
        <v>1641</v>
      </c>
      <c r="L485" s="680">
        <v>1</v>
      </c>
      <c r="M485" s="680">
        <v>1641</v>
      </c>
      <c r="N485" s="680"/>
      <c r="O485" s="680"/>
      <c r="P485" s="702"/>
      <c r="Q485" s="681"/>
    </row>
    <row r="486" spans="1:17" ht="14.4" customHeight="1" x14ac:dyDescent="0.3">
      <c r="A486" s="675" t="s">
        <v>484</v>
      </c>
      <c r="B486" s="676" t="s">
        <v>3083</v>
      </c>
      <c r="C486" s="676" t="s">
        <v>2244</v>
      </c>
      <c r="D486" s="676" t="s">
        <v>3096</v>
      </c>
      <c r="E486" s="676" t="s">
        <v>3097</v>
      </c>
      <c r="F486" s="680"/>
      <c r="G486" s="680"/>
      <c r="H486" s="680"/>
      <c r="I486" s="680"/>
      <c r="J486" s="680"/>
      <c r="K486" s="680"/>
      <c r="L486" s="680"/>
      <c r="M486" s="680"/>
      <c r="N486" s="680">
        <v>1</v>
      </c>
      <c r="O486" s="680">
        <v>66</v>
      </c>
      <c r="P486" s="702"/>
      <c r="Q486" s="681">
        <v>66</v>
      </c>
    </row>
    <row r="487" spans="1:17" ht="14.4" customHeight="1" x14ac:dyDescent="0.3">
      <c r="A487" s="675" t="s">
        <v>484</v>
      </c>
      <c r="B487" s="676" t="s">
        <v>3083</v>
      </c>
      <c r="C487" s="676" t="s">
        <v>2244</v>
      </c>
      <c r="D487" s="676" t="s">
        <v>3081</v>
      </c>
      <c r="E487" s="676" t="s">
        <v>3082</v>
      </c>
      <c r="F487" s="680"/>
      <c r="G487" s="680"/>
      <c r="H487" s="680"/>
      <c r="I487" s="680"/>
      <c r="J487" s="680"/>
      <c r="K487" s="680"/>
      <c r="L487" s="680"/>
      <c r="M487" s="680"/>
      <c r="N487" s="680">
        <v>1</v>
      </c>
      <c r="O487" s="680">
        <v>113</v>
      </c>
      <c r="P487" s="702"/>
      <c r="Q487" s="681">
        <v>113</v>
      </c>
    </row>
    <row r="488" spans="1:17" ht="14.4" customHeight="1" x14ac:dyDescent="0.3">
      <c r="A488" s="675" t="s">
        <v>484</v>
      </c>
      <c r="B488" s="676" t="s">
        <v>3083</v>
      </c>
      <c r="C488" s="676" t="s">
        <v>2244</v>
      </c>
      <c r="D488" s="676" t="s">
        <v>3098</v>
      </c>
      <c r="E488" s="676" t="s">
        <v>3099</v>
      </c>
      <c r="F488" s="680"/>
      <c r="G488" s="680"/>
      <c r="H488" s="680"/>
      <c r="I488" s="680"/>
      <c r="J488" s="680"/>
      <c r="K488" s="680"/>
      <c r="L488" s="680"/>
      <c r="M488" s="680"/>
      <c r="N488" s="680">
        <v>1</v>
      </c>
      <c r="O488" s="680">
        <v>43</v>
      </c>
      <c r="P488" s="702"/>
      <c r="Q488" s="681">
        <v>43</v>
      </c>
    </row>
    <row r="489" spans="1:17" ht="14.4" customHeight="1" x14ac:dyDescent="0.3">
      <c r="A489" s="675" t="s">
        <v>484</v>
      </c>
      <c r="B489" s="676" t="s">
        <v>3083</v>
      </c>
      <c r="C489" s="676" t="s">
        <v>2244</v>
      </c>
      <c r="D489" s="676" t="s">
        <v>3100</v>
      </c>
      <c r="E489" s="676" t="s">
        <v>3101</v>
      </c>
      <c r="F489" s="680"/>
      <c r="G489" s="680"/>
      <c r="H489" s="680"/>
      <c r="I489" s="680"/>
      <c r="J489" s="680"/>
      <c r="K489" s="680"/>
      <c r="L489" s="680"/>
      <c r="M489" s="680"/>
      <c r="N489" s="680">
        <v>1</v>
      </c>
      <c r="O489" s="680">
        <v>1498</v>
      </c>
      <c r="P489" s="702"/>
      <c r="Q489" s="681">
        <v>1498</v>
      </c>
    </row>
    <row r="490" spans="1:17" ht="14.4" customHeight="1" x14ac:dyDescent="0.3">
      <c r="A490" s="675" t="s">
        <v>484</v>
      </c>
      <c r="B490" s="676" t="s">
        <v>3083</v>
      </c>
      <c r="C490" s="676" t="s">
        <v>2244</v>
      </c>
      <c r="D490" s="676" t="s">
        <v>3102</v>
      </c>
      <c r="E490" s="676" t="s">
        <v>3103</v>
      </c>
      <c r="F490" s="680"/>
      <c r="G490" s="680"/>
      <c r="H490" s="680"/>
      <c r="I490" s="680"/>
      <c r="J490" s="680">
        <v>1</v>
      </c>
      <c r="K490" s="680">
        <v>394</v>
      </c>
      <c r="L490" s="680">
        <v>1</v>
      </c>
      <c r="M490" s="680">
        <v>394</v>
      </c>
      <c r="N490" s="680"/>
      <c r="O490" s="680"/>
      <c r="P490" s="702"/>
      <c r="Q490" s="681"/>
    </row>
    <row r="491" spans="1:17" ht="14.4" customHeight="1" x14ac:dyDescent="0.3">
      <c r="A491" s="675" t="s">
        <v>484</v>
      </c>
      <c r="B491" s="676" t="s">
        <v>3083</v>
      </c>
      <c r="C491" s="676" t="s">
        <v>2244</v>
      </c>
      <c r="D491" s="676" t="s">
        <v>3104</v>
      </c>
      <c r="E491" s="676" t="s">
        <v>3105</v>
      </c>
      <c r="F491" s="680"/>
      <c r="G491" s="680"/>
      <c r="H491" s="680"/>
      <c r="I491" s="680"/>
      <c r="J491" s="680"/>
      <c r="K491" s="680"/>
      <c r="L491" s="680"/>
      <c r="M491" s="680"/>
      <c r="N491" s="680">
        <v>1</v>
      </c>
      <c r="O491" s="680">
        <v>512</v>
      </c>
      <c r="P491" s="702"/>
      <c r="Q491" s="681">
        <v>512</v>
      </c>
    </row>
    <row r="492" spans="1:17" ht="14.4" customHeight="1" x14ac:dyDescent="0.3">
      <c r="A492" s="675" t="s">
        <v>484</v>
      </c>
      <c r="B492" s="676" t="s">
        <v>3083</v>
      </c>
      <c r="C492" s="676" t="s">
        <v>2244</v>
      </c>
      <c r="D492" s="676" t="s">
        <v>3106</v>
      </c>
      <c r="E492" s="676" t="s">
        <v>3107</v>
      </c>
      <c r="F492" s="680"/>
      <c r="G492" s="680"/>
      <c r="H492" s="680"/>
      <c r="I492" s="680"/>
      <c r="J492" s="680"/>
      <c r="K492" s="680"/>
      <c r="L492" s="680"/>
      <c r="M492" s="680"/>
      <c r="N492" s="680">
        <v>1</v>
      </c>
      <c r="O492" s="680">
        <v>255</v>
      </c>
      <c r="P492" s="702"/>
      <c r="Q492" s="681">
        <v>255</v>
      </c>
    </row>
    <row r="493" spans="1:17" ht="14.4" customHeight="1" x14ac:dyDescent="0.3">
      <c r="A493" s="675" t="s">
        <v>484</v>
      </c>
      <c r="B493" s="676" t="s">
        <v>3108</v>
      </c>
      <c r="C493" s="676" t="s">
        <v>2244</v>
      </c>
      <c r="D493" s="676" t="s">
        <v>2497</v>
      </c>
      <c r="E493" s="676" t="s">
        <v>2498</v>
      </c>
      <c r="F493" s="680"/>
      <c r="G493" s="680"/>
      <c r="H493" s="680"/>
      <c r="I493" s="680"/>
      <c r="J493" s="680"/>
      <c r="K493" s="680"/>
      <c r="L493" s="680"/>
      <c r="M493" s="680"/>
      <c r="N493" s="680">
        <v>4</v>
      </c>
      <c r="O493" s="680">
        <v>696</v>
      </c>
      <c r="P493" s="702"/>
      <c r="Q493" s="681">
        <v>174</v>
      </c>
    </row>
    <row r="494" spans="1:17" ht="14.4" customHeight="1" x14ac:dyDescent="0.3">
      <c r="A494" s="675" t="s">
        <v>484</v>
      </c>
      <c r="B494" s="676" t="s">
        <v>3108</v>
      </c>
      <c r="C494" s="676" t="s">
        <v>2244</v>
      </c>
      <c r="D494" s="676" t="s">
        <v>3109</v>
      </c>
      <c r="E494" s="676" t="s">
        <v>3110</v>
      </c>
      <c r="F494" s="680"/>
      <c r="G494" s="680"/>
      <c r="H494" s="680"/>
      <c r="I494" s="680"/>
      <c r="J494" s="680"/>
      <c r="K494" s="680"/>
      <c r="L494" s="680"/>
      <c r="M494" s="680"/>
      <c r="N494" s="680">
        <v>1</v>
      </c>
      <c r="O494" s="680">
        <v>5239</v>
      </c>
      <c r="P494" s="702"/>
      <c r="Q494" s="681">
        <v>5239</v>
      </c>
    </row>
    <row r="495" spans="1:17" ht="14.4" customHeight="1" x14ac:dyDescent="0.3">
      <c r="A495" s="675" t="s">
        <v>484</v>
      </c>
      <c r="B495" s="676" t="s">
        <v>3111</v>
      </c>
      <c r="C495" s="676" t="s">
        <v>2244</v>
      </c>
      <c r="D495" s="676" t="s">
        <v>2264</v>
      </c>
      <c r="E495" s="676" t="s">
        <v>2265</v>
      </c>
      <c r="F495" s="680">
        <v>1</v>
      </c>
      <c r="G495" s="680">
        <v>2073</v>
      </c>
      <c r="H495" s="680">
        <v>0.96643356643356648</v>
      </c>
      <c r="I495" s="680">
        <v>2073</v>
      </c>
      <c r="J495" s="680">
        <v>1</v>
      </c>
      <c r="K495" s="680">
        <v>2145</v>
      </c>
      <c r="L495" s="680">
        <v>1</v>
      </c>
      <c r="M495" s="680">
        <v>2145</v>
      </c>
      <c r="N495" s="680"/>
      <c r="O495" s="680"/>
      <c r="P495" s="702"/>
      <c r="Q495" s="681"/>
    </row>
    <row r="496" spans="1:17" ht="14.4" customHeight="1" x14ac:dyDescent="0.3">
      <c r="A496" s="675" t="s">
        <v>484</v>
      </c>
      <c r="B496" s="676" t="s">
        <v>3111</v>
      </c>
      <c r="C496" s="676" t="s">
        <v>2244</v>
      </c>
      <c r="D496" s="676" t="s">
        <v>3112</v>
      </c>
      <c r="E496" s="676" t="s">
        <v>3113</v>
      </c>
      <c r="F496" s="680"/>
      <c r="G496" s="680"/>
      <c r="H496" s="680"/>
      <c r="I496" s="680"/>
      <c r="J496" s="680">
        <v>1</v>
      </c>
      <c r="K496" s="680">
        <v>538</v>
      </c>
      <c r="L496" s="680">
        <v>1</v>
      </c>
      <c r="M496" s="680">
        <v>538</v>
      </c>
      <c r="N496" s="680"/>
      <c r="O496" s="680"/>
      <c r="P496" s="702"/>
      <c r="Q496" s="681"/>
    </row>
    <row r="497" spans="1:17" ht="14.4" customHeight="1" x14ac:dyDescent="0.3">
      <c r="A497" s="675" t="s">
        <v>484</v>
      </c>
      <c r="B497" s="676" t="s">
        <v>3111</v>
      </c>
      <c r="C497" s="676" t="s">
        <v>2244</v>
      </c>
      <c r="D497" s="676" t="s">
        <v>3114</v>
      </c>
      <c r="E497" s="676" t="s">
        <v>3115</v>
      </c>
      <c r="F497" s="680"/>
      <c r="G497" s="680"/>
      <c r="H497" s="680"/>
      <c r="I497" s="680"/>
      <c r="J497" s="680">
        <v>1</v>
      </c>
      <c r="K497" s="680">
        <v>362</v>
      </c>
      <c r="L497" s="680">
        <v>1</v>
      </c>
      <c r="M497" s="680">
        <v>362</v>
      </c>
      <c r="N497" s="680"/>
      <c r="O497" s="680"/>
      <c r="P497" s="702"/>
      <c r="Q497" s="681"/>
    </row>
    <row r="498" spans="1:17" ht="14.4" customHeight="1" x14ac:dyDescent="0.3">
      <c r="A498" s="675" t="s">
        <v>484</v>
      </c>
      <c r="B498" s="676" t="s">
        <v>3111</v>
      </c>
      <c r="C498" s="676" t="s">
        <v>2244</v>
      </c>
      <c r="D498" s="676" t="s">
        <v>3116</v>
      </c>
      <c r="E498" s="676" t="s">
        <v>3117</v>
      </c>
      <c r="F498" s="680"/>
      <c r="G498" s="680"/>
      <c r="H498" s="680"/>
      <c r="I498" s="680"/>
      <c r="J498" s="680"/>
      <c r="K498" s="680"/>
      <c r="L498" s="680"/>
      <c r="M498" s="680"/>
      <c r="N498" s="680">
        <v>1</v>
      </c>
      <c r="O498" s="680">
        <v>3130</v>
      </c>
      <c r="P498" s="702"/>
      <c r="Q498" s="681">
        <v>3130</v>
      </c>
    </row>
    <row r="499" spans="1:17" ht="14.4" customHeight="1" x14ac:dyDescent="0.3">
      <c r="A499" s="675" t="s">
        <v>484</v>
      </c>
      <c r="B499" s="676" t="s">
        <v>3111</v>
      </c>
      <c r="C499" s="676" t="s">
        <v>2244</v>
      </c>
      <c r="D499" s="676" t="s">
        <v>3118</v>
      </c>
      <c r="E499" s="676" t="s">
        <v>3119</v>
      </c>
      <c r="F499" s="680">
        <v>2</v>
      </c>
      <c r="G499" s="680">
        <v>7828</v>
      </c>
      <c r="H499" s="680"/>
      <c r="I499" s="680">
        <v>3914</v>
      </c>
      <c r="J499" s="680"/>
      <c r="K499" s="680"/>
      <c r="L499" s="680"/>
      <c r="M499" s="680"/>
      <c r="N499" s="680"/>
      <c r="O499" s="680"/>
      <c r="P499" s="702"/>
      <c r="Q499" s="681"/>
    </row>
    <row r="500" spans="1:17" ht="14.4" customHeight="1" x14ac:dyDescent="0.3">
      <c r="A500" s="675" t="s">
        <v>484</v>
      </c>
      <c r="B500" s="676" t="s">
        <v>3111</v>
      </c>
      <c r="C500" s="676" t="s">
        <v>2244</v>
      </c>
      <c r="D500" s="676" t="s">
        <v>3120</v>
      </c>
      <c r="E500" s="676" t="s">
        <v>3121</v>
      </c>
      <c r="F500" s="680"/>
      <c r="G500" s="680"/>
      <c r="H500" s="680"/>
      <c r="I500" s="680"/>
      <c r="J500" s="680">
        <v>1</v>
      </c>
      <c r="K500" s="680">
        <v>6333</v>
      </c>
      <c r="L500" s="680">
        <v>1</v>
      </c>
      <c r="M500" s="680">
        <v>6333</v>
      </c>
      <c r="N500" s="680"/>
      <c r="O500" s="680"/>
      <c r="P500" s="702"/>
      <c r="Q500" s="681"/>
    </row>
    <row r="501" spans="1:17" ht="14.4" customHeight="1" x14ac:dyDescent="0.3">
      <c r="A501" s="675" t="s">
        <v>484</v>
      </c>
      <c r="B501" s="676" t="s">
        <v>3111</v>
      </c>
      <c r="C501" s="676" t="s">
        <v>2244</v>
      </c>
      <c r="D501" s="676" t="s">
        <v>3122</v>
      </c>
      <c r="E501" s="676" t="s">
        <v>3123</v>
      </c>
      <c r="F501" s="680"/>
      <c r="G501" s="680"/>
      <c r="H501" s="680"/>
      <c r="I501" s="680"/>
      <c r="J501" s="680">
        <v>2</v>
      </c>
      <c r="K501" s="680">
        <v>518</v>
      </c>
      <c r="L501" s="680">
        <v>1</v>
      </c>
      <c r="M501" s="680">
        <v>259</v>
      </c>
      <c r="N501" s="680"/>
      <c r="O501" s="680"/>
      <c r="P501" s="702"/>
      <c r="Q501" s="681"/>
    </row>
    <row r="502" spans="1:17" ht="14.4" customHeight="1" x14ac:dyDescent="0.3">
      <c r="A502" s="675" t="s">
        <v>484</v>
      </c>
      <c r="B502" s="676" t="s">
        <v>3111</v>
      </c>
      <c r="C502" s="676" t="s">
        <v>2244</v>
      </c>
      <c r="D502" s="676" t="s">
        <v>3124</v>
      </c>
      <c r="E502" s="676" t="s">
        <v>3125</v>
      </c>
      <c r="F502" s="680"/>
      <c r="G502" s="680"/>
      <c r="H502" s="680"/>
      <c r="I502" s="680"/>
      <c r="J502" s="680">
        <v>1</v>
      </c>
      <c r="K502" s="680">
        <v>591</v>
      </c>
      <c r="L502" s="680">
        <v>1</v>
      </c>
      <c r="M502" s="680">
        <v>591</v>
      </c>
      <c r="N502" s="680"/>
      <c r="O502" s="680"/>
      <c r="P502" s="702"/>
      <c r="Q502" s="681"/>
    </row>
    <row r="503" spans="1:17" ht="14.4" customHeight="1" x14ac:dyDescent="0.3">
      <c r="A503" s="675" t="s">
        <v>484</v>
      </c>
      <c r="B503" s="676" t="s">
        <v>3111</v>
      </c>
      <c r="C503" s="676" t="s">
        <v>2244</v>
      </c>
      <c r="D503" s="676" t="s">
        <v>2322</v>
      </c>
      <c r="E503" s="676" t="s">
        <v>2323</v>
      </c>
      <c r="F503" s="680"/>
      <c r="G503" s="680"/>
      <c r="H503" s="680"/>
      <c r="I503" s="680"/>
      <c r="J503" s="680"/>
      <c r="K503" s="680"/>
      <c r="L503" s="680"/>
      <c r="M503" s="680"/>
      <c r="N503" s="680">
        <v>1</v>
      </c>
      <c r="O503" s="680">
        <v>445</v>
      </c>
      <c r="P503" s="702"/>
      <c r="Q503" s="681">
        <v>445</v>
      </c>
    </row>
    <row r="504" spans="1:17" ht="14.4" customHeight="1" x14ac:dyDescent="0.3">
      <c r="A504" s="675" t="s">
        <v>484</v>
      </c>
      <c r="B504" s="676" t="s">
        <v>3111</v>
      </c>
      <c r="C504" s="676" t="s">
        <v>2244</v>
      </c>
      <c r="D504" s="676" t="s">
        <v>3126</v>
      </c>
      <c r="E504" s="676" t="s">
        <v>3127</v>
      </c>
      <c r="F504" s="680">
        <v>2</v>
      </c>
      <c r="G504" s="680">
        <v>1518</v>
      </c>
      <c r="H504" s="680"/>
      <c r="I504" s="680">
        <v>759</v>
      </c>
      <c r="J504" s="680"/>
      <c r="K504" s="680"/>
      <c r="L504" s="680"/>
      <c r="M504" s="680"/>
      <c r="N504" s="680">
        <v>1</v>
      </c>
      <c r="O504" s="680">
        <v>767</v>
      </c>
      <c r="P504" s="702"/>
      <c r="Q504" s="681">
        <v>767</v>
      </c>
    </row>
    <row r="505" spans="1:17" ht="14.4" customHeight="1" x14ac:dyDescent="0.3">
      <c r="A505" s="675" t="s">
        <v>484</v>
      </c>
      <c r="B505" s="676" t="s">
        <v>3111</v>
      </c>
      <c r="C505" s="676" t="s">
        <v>2244</v>
      </c>
      <c r="D505" s="676" t="s">
        <v>3128</v>
      </c>
      <c r="E505" s="676" t="s">
        <v>3129</v>
      </c>
      <c r="F505" s="680"/>
      <c r="G505" s="680"/>
      <c r="H505" s="680"/>
      <c r="I505" s="680"/>
      <c r="J505" s="680">
        <v>3</v>
      </c>
      <c r="K505" s="680">
        <v>1086</v>
      </c>
      <c r="L505" s="680">
        <v>1</v>
      </c>
      <c r="M505" s="680">
        <v>362</v>
      </c>
      <c r="N505" s="680"/>
      <c r="O505" s="680"/>
      <c r="P505" s="702"/>
      <c r="Q505" s="681"/>
    </row>
    <row r="506" spans="1:17" ht="14.4" customHeight="1" x14ac:dyDescent="0.3">
      <c r="A506" s="675" t="s">
        <v>484</v>
      </c>
      <c r="B506" s="676" t="s">
        <v>3111</v>
      </c>
      <c r="C506" s="676" t="s">
        <v>2244</v>
      </c>
      <c r="D506" s="676" t="s">
        <v>3130</v>
      </c>
      <c r="E506" s="676" t="s">
        <v>3131</v>
      </c>
      <c r="F506" s="680"/>
      <c r="G506" s="680"/>
      <c r="H506" s="680"/>
      <c r="I506" s="680"/>
      <c r="J506" s="680">
        <v>1</v>
      </c>
      <c r="K506" s="680">
        <v>3141</v>
      </c>
      <c r="L506" s="680">
        <v>1</v>
      </c>
      <c r="M506" s="680">
        <v>3141</v>
      </c>
      <c r="N506" s="680"/>
      <c r="O506" s="680"/>
      <c r="P506" s="702"/>
      <c r="Q506" s="681"/>
    </row>
    <row r="507" spans="1:17" ht="14.4" customHeight="1" x14ac:dyDescent="0.3">
      <c r="A507" s="675" t="s">
        <v>484</v>
      </c>
      <c r="B507" s="676" t="s">
        <v>3132</v>
      </c>
      <c r="C507" s="676" t="s">
        <v>2244</v>
      </c>
      <c r="D507" s="676" t="s">
        <v>3018</v>
      </c>
      <c r="E507" s="676" t="s">
        <v>3019</v>
      </c>
      <c r="F507" s="680"/>
      <c r="G507" s="680"/>
      <c r="H507" s="680"/>
      <c r="I507" s="680"/>
      <c r="J507" s="680"/>
      <c r="K507" s="680"/>
      <c r="L507" s="680"/>
      <c r="M507" s="680"/>
      <c r="N507" s="680">
        <v>1</v>
      </c>
      <c r="O507" s="680">
        <v>624</v>
      </c>
      <c r="P507" s="702"/>
      <c r="Q507" s="681">
        <v>624</v>
      </c>
    </row>
    <row r="508" spans="1:17" ht="14.4" customHeight="1" x14ac:dyDescent="0.3">
      <c r="A508" s="675" t="s">
        <v>484</v>
      </c>
      <c r="B508" s="676" t="s">
        <v>3133</v>
      </c>
      <c r="C508" s="676" t="s">
        <v>2244</v>
      </c>
      <c r="D508" s="676" t="s">
        <v>3134</v>
      </c>
      <c r="E508" s="676" t="s">
        <v>3135</v>
      </c>
      <c r="F508" s="680">
        <v>1</v>
      </c>
      <c r="G508" s="680">
        <v>259</v>
      </c>
      <c r="H508" s="680"/>
      <c r="I508" s="680">
        <v>259</v>
      </c>
      <c r="J508" s="680"/>
      <c r="K508" s="680"/>
      <c r="L508" s="680"/>
      <c r="M508" s="680"/>
      <c r="N508" s="680"/>
      <c r="O508" s="680"/>
      <c r="P508" s="702"/>
      <c r="Q508" s="681"/>
    </row>
    <row r="509" spans="1:17" ht="14.4" customHeight="1" x14ac:dyDescent="0.3">
      <c r="A509" s="675" t="s">
        <v>484</v>
      </c>
      <c r="B509" s="676" t="s">
        <v>3133</v>
      </c>
      <c r="C509" s="676" t="s">
        <v>2244</v>
      </c>
      <c r="D509" s="676" t="s">
        <v>3136</v>
      </c>
      <c r="E509" s="676" t="s">
        <v>3137</v>
      </c>
      <c r="F509" s="680"/>
      <c r="G509" s="680"/>
      <c r="H509" s="680"/>
      <c r="I509" s="680"/>
      <c r="J509" s="680">
        <v>2</v>
      </c>
      <c r="K509" s="680">
        <v>698</v>
      </c>
      <c r="L509" s="680">
        <v>1</v>
      </c>
      <c r="M509" s="680">
        <v>349</v>
      </c>
      <c r="N509" s="680"/>
      <c r="O509" s="680"/>
      <c r="P509" s="702"/>
      <c r="Q509" s="681"/>
    </row>
    <row r="510" spans="1:17" ht="14.4" customHeight="1" x14ac:dyDescent="0.3">
      <c r="A510" s="675" t="s">
        <v>484</v>
      </c>
      <c r="B510" s="676" t="s">
        <v>3133</v>
      </c>
      <c r="C510" s="676" t="s">
        <v>2244</v>
      </c>
      <c r="D510" s="676" t="s">
        <v>3138</v>
      </c>
      <c r="E510" s="676" t="s">
        <v>3139</v>
      </c>
      <c r="F510" s="680"/>
      <c r="G510" s="680"/>
      <c r="H510" s="680"/>
      <c r="I510" s="680"/>
      <c r="J510" s="680">
        <v>2</v>
      </c>
      <c r="K510" s="680">
        <v>566</v>
      </c>
      <c r="L510" s="680">
        <v>1</v>
      </c>
      <c r="M510" s="680">
        <v>283</v>
      </c>
      <c r="N510" s="680"/>
      <c r="O510" s="680"/>
      <c r="P510" s="702"/>
      <c r="Q510" s="681"/>
    </row>
    <row r="511" spans="1:17" ht="14.4" customHeight="1" thickBot="1" x14ac:dyDescent="0.35">
      <c r="A511" s="682" t="s">
        <v>484</v>
      </c>
      <c r="B511" s="683" t="s">
        <v>3133</v>
      </c>
      <c r="C511" s="683" t="s">
        <v>2244</v>
      </c>
      <c r="D511" s="683" t="s">
        <v>3140</v>
      </c>
      <c r="E511" s="683" t="s">
        <v>3141</v>
      </c>
      <c r="F511" s="687"/>
      <c r="G511" s="687"/>
      <c r="H511" s="687"/>
      <c r="I511" s="687"/>
      <c r="J511" s="687">
        <v>2</v>
      </c>
      <c r="K511" s="687">
        <v>11194</v>
      </c>
      <c r="L511" s="687">
        <v>1</v>
      </c>
      <c r="M511" s="687">
        <v>5597</v>
      </c>
      <c r="N511" s="687"/>
      <c r="O511" s="687"/>
      <c r="P511" s="695"/>
      <c r="Q511" s="688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30" customWidth="1"/>
    <col min="2" max="2" width="7.88671875" style="330" hidden="1" customWidth="1" outlineLevel="1"/>
    <col min="3" max="3" width="7.88671875" style="330" customWidth="1" collapsed="1"/>
    <col min="4" max="4" width="7.88671875" style="330" customWidth="1"/>
    <col min="5" max="5" width="7.88671875" style="330" hidden="1" customWidth="1" outlineLevel="1"/>
    <col min="6" max="6" width="7.88671875" style="338" customWidth="1" collapsed="1"/>
    <col min="7" max="7" width="7.88671875" style="330" hidden="1" customWidth="1" outlineLevel="1"/>
    <col min="8" max="8" width="7.88671875" style="330" customWidth="1" collapsed="1"/>
    <col min="9" max="9" width="7.88671875" style="330" customWidth="1"/>
    <col min="10" max="10" width="7.88671875" style="330" hidden="1" customWidth="1" outlineLevel="1"/>
    <col min="11" max="11" width="7.88671875" style="339" customWidth="1" collapsed="1"/>
    <col min="12" max="13" width="7.88671875" style="330" hidden="1" customWidth="1"/>
    <col min="14" max="15" width="7.88671875" style="330" customWidth="1"/>
    <col min="16" max="16" width="0" style="330" hidden="1" customWidth="1" outlineLevel="1"/>
    <col min="17" max="17" width="9.5546875" style="330" hidden="1" customWidth="1" outlineLevel="1"/>
    <col min="18" max="18" width="9.33203125" style="330" collapsed="1"/>
    <col min="19" max="16384" width="9.33203125" style="330"/>
  </cols>
  <sheetData>
    <row r="1" spans="1:17" ht="18.600000000000001" customHeight="1" thickBot="1" x14ac:dyDescent="0.4">
      <c r="A1" s="569" t="s">
        <v>122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</row>
    <row r="2" spans="1:17" ht="14.4" customHeight="1" thickBot="1" x14ac:dyDescent="0.35">
      <c r="A2" s="351" t="s">
        <v>288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</row>
    <row r="3" spans="1:17" ht="14.4" customHeight="1" thickBot="1" x14ac:dyDescent="0.35">
      <c r="A3" s="591" t="s">
        <v>57</v>
      </c>
      <c r="B3" s="557" t="s">
        <v>58</v>
      </c>
      <c r="C3" s="558"/>
      <c r="D3" s="558"/>
      <c r="E3" s="559"/>
      <c r="F3" s="560"/>
      <c r="G3" s="557" t="s">
        <v>225</v>
      </c>
      <c r="H3" s="558"/>
      <c r="I3" s="558"/>
      <c r="J3" s="559"/>
      <c r="K3" s="560"/>
      <c r="L3" s="106"/>
      <c r="M3" s="107"/>
      <c r="N3" s="106"/>
      <c r="O3" s="108"/>
    </row>
    <row r="4" spans="1:17" ht="14.4" customHeight="1" thickBot="1" x14ac:dyDescent="0.35">
      <c r="A4" s="592"/>
      <c r="B4" s="109">
        <v>2015</v>
      </c>
      <c r="C4" s="110">
        <v>2016</v>
      </c>
      <c r="D4" s="110">
        <v>2017</v>
      </c>
      <c r="E4" s="434" t="s">
        <v>268</v>
      </c>
      <c r="F4" s="435" t="s">
        <v>2</v>
      </c>
      <c r="G4" s="109">
        <v>2015</v>
      </c>
      <c r="H4" s="110">
        <v>2016</v>
      </c>
      <c r="I4" s="110">
        <v>2017</v>
      </c>
      <c r="J4" s="110" t="s">
        <v>268</v>
      </c>
      <c r="K4" s="111" t="s">
        <v>2</v>
      </c>
      <c r="L4" s="106"/>
      <c r="M4" s="106"/>
      <c r="N4" s="112" t="s">
        <v>59</v>
      </c>
      <c r="O4" s="113" t="s">
        <v>60</v>
      </c>
      <c r="P4" s="112" t="s">
        <v>277</v>
      </c>
      <c r="Q4" s="113" t="s">
        <v>278</v>
      </c>
    </row>
    <row r="5" spans="1:17" ht="14.4" hidden="1" customHeight="1" outlineLevel="1" x14ac:dyDescent="0.3">
      <c r="A5" s="453" t="s">
        <v>150</v>
      </c>
      <c r="B5" s="104">
        <v>110.934</v>
      </c>
      <c r="C5" s="99">
        <v>140.047</v>
      </c>
      <c r="D5" s="99">
        <v>184.239</v>
      </c>
      <c r="E5" s="440">
        <f>IF(OR(D5=0,B5=0),"",D5/B5)</f>
        <v>1.6607983125101413</v>
      </c>
      <c r="F5" s="114">
        <f>IF(OR(D5=0,C5=0),"",D5/C5)</f>
        <v>1.3155512078088072</v>
      </c>
      <c r="G5" s="115">
        <v>16</v>
      </c>
      <c r="H5" s="99">
        <v>20</v>
      </c>
      <c r="I5" s="99">
        <v>22</v>
      </c>
      <c r="J5" s="440">
        <f>IF(OR(I5=0,G5=0),"",I5/G5)</f>
        <v>1.375</v>
      </c>
      <c r="K5" s="116">
        <f>IF(OR(I5=0,H5=0),"",I5/H5)</f>
        <v>1.1000000000000001</v>
      </c>
      <c r="L5" s="106"/>
      <c r="M5" s="106"/>
      <c r="N5" s="7">
        <f>D5-C5</f>
        <v>44.192000000000007</v>
      </c>
      <c r="O5" s="8">
        <f>I5-H5</f>
        <v>2</v>
      </c>
      <c r="P5" s="7">
        <f>D5-B5</f>
        <v>73.305000000000007</v>
      </c>
      <c r="Q5" s="8">
        <f>I5-G5</f>
        <v>6</v>
      </c>
    </row>
    <row r="6" spans="1:17" ht="14.4" hidden="1" customHeight="1" outlineLevel="1" x14ac:dyDescent="0.3">
      <c r="A6" s="454" t="s">
        <v>151</v>
      </c>
      <c r="B6" s="105">
        <v>18.143000000000001</v>
      </c>
      <c r="C6" s="98">
        <v>35.753999999999998</v>
      </c>
      <c r="D6" s="98">
        <v>4.6109999999999998</v>
      </c>
      <c r="E6" s="440">
        <f t="shared" ref="E6:E12" si="0">IF(OR(D6=0,B6=0),"",D6/B6)</f>
        <v>0.25414760513696738</v>
      </c>
      <c r="F6" s="114">
        <f t="shared" ref="F6:F12" si="1">IF(OR(D6=0,C6=0),"",D6/C6)</f>
        <v>0.12896459137439167</v>
      </c>
      <c r="G6" s="118">
        <v>4</v>
      </c>
      <c r="H6" s="98">
        <v>5</v>
      </c>
      <c r="I6" s="98">
        <v>1</v>
      </c>
      <c r="J6" s="441">
        <f t="shared" ref="J6:J12" si="2">IF(OR(I6=0,G6=0),"",I6/G6)</f>
        <v>0.25</v>
      </c>
      <c r="K6" s="119">
        <f t="shared" ref="K6:K12" si="3">IF(OR(I6=0,H6=0),"",I6/H6)</f>
        <v>0.2</v>
      </c>
      <c r="L6" s="106"/>
      <c r="M6" s="106"/>
      <c r="N6" s="5">
        <f t="shared" ref="N6:N13" si="4">D6-C6</f>
        <v>-31.142999999999997</v>
      </c>
      <c r="O6" s="6">
        <f t="shared" ref="O6:O13" si="5">I6-H6</f>
        <v>-4</v>
      </c>
      <c r="P6" s="5">
        <f t="shared" ref="P6:P13" si="6">D6-B6</f>
        <v>-13.532</v>
      </c>
      <c r="Q6" s="6">
        <f t="shared" ref="Q6:Q13" si="7">I6-G6</f>
        <v>-3</v>
      </c>
    </row>
    <row r="7" spans="1:17" ht="14.4" hidden="1" customHeight="1" outlineLevel="1" x14ac:dyDescent="0.3">
      <c r="A7" s="454" t="s">
        <v>152</v>
      </c>
      <c r="B7" s="105">
        <v>74.811999999999998</v>
      </c>
      <c r="C7" s="98">
        <v>78.400999999999996</v>
      </c>
      <c r="D7" s="98">
        <v>26.035</v>
      </c>
      <c r="E7" s="440">
        <f t="shared" si="0"/>
        <v>0.34800566753996687</v>
      </c>
      <c r="F7" s="114">
        <f t="shared" si="1"/>
        <v>0.33207484598410736</v>
      </c>
      <c r="G7" s="118">
        <v>9</v>
      </c>
      <c r="H7" s="98">
        <v>9</v>
      </c>
      <c r="I7" s="98">
        <v>4</v>
      </c>
      <c r="J7" s="441">
        <f t="shared" si="2"/>
        <v>0.44444444444444442</v>
      </c>
      <c r="K7" s="119">
        <f t="shared" si="3"/>
        <v>0.44444444444444442</v>
      </c>
      <c r="L7" s="106"/>
      <c r="M7" s="106"/>
      <c r="N7" s="5">
        <f t="shared" si="4"/>
        <v>-52.366</v>
      </c>
      <c r="O7" s="6">
        <f t="shared" si="5"/>
        <v>-5</v>
      </c>
      <c r="P7" s="5">
        <f t="shared" si="6"/>
        <v>-48.777000000000001</v>
      </c>
      <c r="Q7" s="6">
        <f t="shared" si="7"/>
        <v>-5</v>
      </c>
    </row>
    <row r="8" spans="1:17" ht="14.4" hidden="1" customHeight="1" outlineLevel="1" x14ac:dyDescent="0.3">
      <c r="A8" s="454" t="s">
        <v>153</v>
      </c>
      <c r="B8" s="105">
        <v>3.3860000000000001</v>
      </c>
      <c r="C8" s="98">
        <v>18.574999999999999</v>
      </c>
      <c r="D8" s="98">
        <v>29.562000000000001</v>
      </c>
      <c r="E8" s="440">
        <f t="shared" si="0"/>
        <v>8.730655640874188</v>
      </c>
      <c r="F8" s="114">
        <f t="shared" si="1"/>
        <v>1.5914939434724094</v>
      </c>
      <c r="G8" s="118">
        <v>2</v>
      </c>
      <c r="H8" s="98">
        <v>2</v>
      </c>
      <c r="I8" s="98">
        <v>3</v>
      </c>
      <c r="J8" s="441">
        <f t="shared" si="2"/>
        <v>1.5</v>
      </c>
      <c r="K8" s="119">
        <f t="shared" si="3"/>
        <v>1.5</v>
      </c>
      <c r="L8" s="106"/>
      <c r="M8" s="106"/>
      <c r="N8" s="5">
        <f t="shared" si="4"/>
        <v>10.987000000000002</v>
      </c>
      <c r="O8" s="6">
        <f t="shared" si="5"/>
        <v>1</v>
      </c>
      <c r="P8" s="5">
        <f t="shared" si="6"/>
        <v>26.176000000000002</v>
      </c>
      <c r="Q8" s="6">
        <f t="shared" si="7"/>
        <v>1</v>
      </c>
    </row>
    <row r="9" spans="1:17" ht="14.4" hidden="1" customHeight="1" outlineLevel="1" x14ac:dyDescent="0.3">
      <c r="A9" s="454" t="s">
        <v>154</v>
      </c>
      <c r="B9" s="105">
        <v>0</v>
      </c>
      <c r="C9" s="98">
        <v>0</v>
      </c>
      <c r="D9" s="98">
        <v>0</v>
      </c>
      <c r="E9" s="440" t="str">
        <f t="shared" si="0"/>
        <v/>
      </c>
      <c r="F9" s="114" t="str">
        <f t="shared" si="1"/>
        <v/>
      </c>
      <c r="G9" s="118">
        <v>0</v>
      </c>
      <c r="H9" s="98">
        <v>0</v>
      </c>
      <c r="I9" s="98">
        <v>0</v>
      </c>
      <c r="J9" s="441" t="str">
        <f t="shared" si="2"/>
        <v/>
      </c>
      <c r="K9" s="119" t="str">
        <f t="shared" si="3"/>
        <v/>
      </c>
      <c r="L9" s="106"/>
      <c r="M9" s="106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54" t="s">
        <v>155</v>
      </c>
      <c r="B10" s="105">
        <v>2.8460000000000001</v>
      </c>
      <c r="C10" s="98">
        <v>5.2880000000000003</v>
      </c>
      <c r="D10" s="98">
        <v>10.500999999999999</v>
      </c>
      <c r="E10" s="440">
        <f t="shared" si="0"/>
        <v>3.6897399859451858</v>
      </c>
      <c r="F10" s="114">
        <f t="shared" si="1"/>
        <v>1.9858169440242055</v>
      </c>
      <c r="G10" s="118">
        <v>3</v>
      </c>
      <c r="H10" s="98">
        <v>3</v>
      </c>
      <c r="I10" s="98">
        <v>3</v>
      </c>
      <c r="J10" s="441">
        <f t="shared" si="2"/>
        <v>1</v>
      </c>
      <c r="K10" s="119">
        <f t="shared" si="3"/>
        <v>1</v>
      </c>
      <c r="L10" s="106"/>
      <c r="M10" s="106"/>
      <c r="N10" s="5">
        <f t="shared" si="4"/>
        <v>5.2129999999999992</v>
      </c>
      <c r="O10" s="6">
        <f t="shared" si="5"/>
        <v>0</v>
      </c>
      <c r="P10" s="5">
        <f t="shared" si="6"/>
        <v>7.6549999999999994</v>
      </c>
      <c r="Q10" s="6">
        <f t="shared" si="7"/>
        <v>0</v>
      </c>
    </row>
    <row r="11" spans="1:17" ht="14.4" hidden="1" customHeight="1" outlineLevel="1" x14ac:dyDescent="0.3">
      <c r="A11" s="454" t="s">
        <v>156</v>
      </c>
      <c r="B11" s="105">
        <v>0</v>
      </c>
      <c r="C11" s="98">
        <v>0</v>
      </c>
      <c r="D11" s="98">
        <v>12.648</v>
      </c>
      <c r="E11" s="440" t="str">
        <f t="shared" si="0"/>
        <v/>
      </c>
      <c r="F11" s="114" t="str">
        <f t="shared" si="1"/>
        <v/>
      </c>
      <c r="G11" s="118">
        <v>0</v>
      </c>
      <c r="H11" s="98">
        <v>0</v>
      </c>
      <c r="I11" s="98">
        <v>1</v>
      </c>
      <c r="J11" s="441" t="str">
        <f t="shared" si="2"/>
        <v/>
      </c>
      <c r="K11" s="119" t="str">
        <f t="shared" si="3"/>
        <v/>
      </c>
      <c r="L11" s="106"/>
      <c r="M11" s="106"/>
      <c r="N11" s="5">
        <f t="shared" si="4"/>
        <v>12.648</v>
      </c>
      <c r="O11" s="6">
        <f t="shared" si="5"/>
        <v>1</v>
      </c>
      <c r="P11" s="5">
        <f t="shared" si="6"/>
        <v>12.648</v>
      </c>
      <c r="Q11" s="6">
        <f t="shared" si="7"/>
        <v>1</v>
      </c>
    </row>
    <row r="12" spans="1:17" ht="14.4" hidden="1" customHeight="1" outlineLevel="1" thickBot="1" x14ac:dyDescent="0.35">
      <c r="A12" s="455" t="s">
        <v>184</v>
      </c>
      <c r="B12" s="222">
        <v>0</v>
      </c>
      <c r="C12" s="223">
        <v>1.907</v>
      </c>
      <c r="D12" s="223">
        <v>0</v>
      </c>
      <c r="E12" s="440" t="str">
        <f t="shared" si="0"/>
        <v/>
      </c>
      <c r="F12" s="114" t="str">
        <f t="shared" si="1"/>
        <v/>
      </c>
      <c r="G12" s="225">
        <v>0</v>
      </c>
      <c r="H12" s="223">
        <v>1</v>
      </c>
      <c r="I12" s="223">
        <v>0</v>
      </c>
      <c r="J12" s="442" t="str">
        <f t="shared" si="2"/>
        <v/>
      </c>
      <c r="K12" s="226" t="str">
        <f t="shared" si="3"/>
        <v/>
      </c>
      <c r="L12" s="106"/>
      <c r="M12" s="106"/>
      <c r="N12" s="227">
        <f t="shared" si="4"/>
        <v>-1.907</v>
      </c>
      <c r="O12" s="228">
        <f t="shared" si="5"/>
        <v>-1</v>
      </c>
      <c r="P12" s="227">
        <f t="shared" si="6"/>
        <v>0</v>
      </c>
      <c r="Q12" s="228">
        <f t="shared" si="7"/>
        <v>0</v>
      </c>
    </row>
    <row r="13" spans="1:17" ht="14.4" customHeight="1" collapsed="1" thickBot="1" x14ac:dyDescent="0.35">
      <c r="A13" s="102" t="s">
        <v>3</v>
      </c>
      <c r="B13" s="100">
        <f>SUM(B5:B12)</f>
        <v>210.12100000000001</v>
      </c>
      <c r="C13" s="101">
        <f>SUM(C5:C12)</f>
        <v>279.97199999999998</v>
      </c>
      <c r="D13" s="101">
        <f>SUM(D5:D12)</f>
        <v>267.596</v>
      </c>
      <c r="E13" s="436">
        <f>IF(OR(D13=0,B13=0),0,D13/B13)</f>
        <v>1.2735328691563432</v>
      </c>
      <c r="F13" s="120">
        <f>IF(OR(D13=0,C13=0),0,D13/C13)</f>
        <v>0.95579557955795591</v>
      </c>
      <c r="G13" s="121">
        <f>SUM(G5:G12)</f>
        <v>34</v>
      </c>
      <c r="H13" s="101">
        <f>SUM(H5:H12)</f>
        <v>40</v>
      </c>
      <c r="I13" s="101">
        <f>SUM(I5:I12)</f>
        <v>34</v>
      </c>
      <c r="J13" s="436">
        <f>IF(OR(I13=0,G13=0),0,I13/G13)</f>
        <v>1</v>
      </c>
      <c r="K13" s="122">
        <f>IF(OR(I13=0,H13=0),0,I13/H13)</f>
        <v>0.85</v>
      </c>
      <c r="L13" s="106"/>
      <c r="M13" s="106"/>
      <c r="N13" s="112">
        <f t="shared" si="4"/>
        <v>-12.375999999999976</v>
      </c>
      <c r="O13" s="123">
        <f t="shared" si="5"/>
        <v>-6</v>
      </c>
      <c r="P13" s="112">
        <f t="shared" si="6"/>
        <v>57.474999999999994</v>
      </c>
      <c r="Q13" s="123">
        <f t="shared" si="7"/>
        <v>0</v>
      </c>
    </row>
    <row r="14" spans="1:17" ht="14.4" customHeight="1" x14ac:dyDescent="0.3">
      <c r="A14" s="124"/>
      <c r="B14" s="570"/>
      <c r="C14" s="570"/>
      <c r="D14" s="570"/>
      <c r="E14" s="593"/>
      <c r="F14" s="570"/>
      <c r="G14" s="570"/>
      <c r="H14" s="570"/>
      <c r="I14" s="570"/>
      <c r="J14" s="593"/>
      <c r="K14" s="570"/>
      <c r="L14" s="106"/>
      <c r="M14" s="106"/>
      <c r="N14" s="106"/>
      <c r="O14" s="108"/>
      <c r="P14" s="106"/>
      <c r="Q14" s="108"/>
    </row>
    <row r="15" spans="1:17" ht="14.4" customHeight="1" thickBot="1" x14ac:dyDescent="0.35">
      <c r="A15" s="124"/>
      <c r="B15" s="331"/>
      <c r="C15" s="332"/>
      <c r="D15" s="332"/>
      <c r="E15" s="332"/>
      <c r="F15" s="332"/>
      <c r="G15" s="331"/>
      <c r="H15" s="332"/>
      <c r="I15" s="332"/>
      <c r="J15" s="332"/>
      <c r="K15" s="332"/>
      <c r="L15" s="106"/>
      <c r="M15" s="106"/>
      <c r="N15" s="106"/>
      <c r="O15" s="108"/>
      <c r="P15" s="106"/>
      <c r="Q15" s="108"/>
    </row>
    <row r="16" spans="1:17" ht="14.4" customHeight="1" thickBot="1" x14ac:dyDescent="0.35">
      <c r="A16" s="594" t="s">
        <v>269</v>
      </c>
      <c r="B16" s="596" t="s">
        <v>58</v>
      </c>
      <c r="C16" s="597"/>
      <c r="D16" s="597"/>
      <c r="E16" s="598"/>
      <c r="F16" s="599"/>
      <c r="G16" s="596" t="s">
        <v>225</v>
      </c>
      <c r="H16" s="597"/>
      <c r="I16" s="597"/>
      <c r="J16" s="598"/>
      <c r="K16" s="599"/>
      <c r="L16" s="587" t="s">
        <v>160</v>
      </c>
      <c r="M16" s="588"/>
      <c r="N16" s="140"/>
      <c r="O16" s="140"/>
      <c r="P16" s="140"/>
      <c r="Q16" s="140"/>
    </row>
    <row r="17" spans="1:17" ht="14.4" customHeight="1" thickBot="1" x14ac:dyDescent="0.35">
      <c r="A17" s="595"/>
      <c r="B17" s="125">
        <v>2015</v>
      </c>
      <c r="C17" s="126">
        <v>2016</v>
      </c>
      <c r="D17" s="126">
        <v>2017</v>
      </c>
      <c r="E17" s="126" t="s">
        <v>268</v>
      </c>
      <c r="F17" s="127" t="s">
        <v>2</v>
      </c>
      <c r="G17" s="125">
        <v>2015</v>
      </c>
      <c r="H17" s="126">
        <v>2016</v>
      </c>
      <c r="I17" s="126">
        <v>2017</v>
      </c>
      <c r="J17" s="126" t="s">
        <v>268</v>
      </c>
      <c r="K17" s="127" t="s">
        <v>2</v>
      </c>
      <c r="L17" s="589" t="s">
        <v>161</v>
      </c>
      <c r="M17" s="590"/>
      <c r="N17" s="128" t="s">
        <v>59</v>
      </c>
      <c r="O17" s="129" t="s">
        <v>60</v>
      </c>
      <c r="P17" s="128" t="s">
        <v>277</v>
      </c>
      <c r="Q17" s="129" t="s">
        <v>278</v>
      </c>
    </row>
    <row r="18" spans="1:17" ht="14.4" hidden="1" customHeight="1" outlineLevel="1" x14ac:dyDescent="0.3">
      <c r="A18" s="453" t="s">
        <v>150</v>
      </c>
      <c r="B18" s="104">
        <v>110.934</v>
      </c>
      <c r="C18" s="99">
        <v>140.047</v>
      </c>
      <c r="D18" s="99">
        <v>179.518</v>
      </c>
      <c r="E18" s="440">
        <f>IF(OR(D18=0,B18=0),"",D18/B18)</f>
        <v>1.6182414769142013</v>
      </c>
      <c r="F18" s="114">
        <f>IF(OR(D18=0,C18=0),"",D18/C18)</f>
        <v>1.2818410962034175</v>
      </c>
      <c r="G18" s="104">
        <v>16</v>
      </c>
      <c r="H18" s="99">
        <v>20</v>
      </c>
      <c r="I18" s="99">
        <v>21</v>
      </c>
      <c r="J18" s="440">
        <f>IF(OR(I18=0,G18=0),"",I18/G18)</f>
        <v>1.3125</v>
      </c>
      <c r="K18" s="116">
        <f>IF(OR(I18=0,H18=0),"",I18/H18)</f>
        <v>1.05</v>
      </c>
      <c r="L18" s="585">
        <v>0.91871999999999998</v>
      </c>
      <c r="M18" s="586"/>
      <c r="N18" s="130">
        <f t="shared" ref="N18:N26" si="8">D18-C18</f>
        <v>39.471000000000004</v>
      </c>
      <c r="O18" s="131">
        <f t="shared" ref="O18:O26" si="9">I18-H18</f>
        <v>1</v>
      </c>
      <c r="P18" s="130">
        <f t="shared" ref="P18:P26" si="10">D18-B18</f>
        <v>68.584000000000003</v>
      </c>
      <c r="Q18" s="131">
        <f t="shared" ref="Q18:Q26" si="11">I18-G18</f>
        <v>5</v>
      </c>
    </row>
    <row r="19" spans="1:17" ht="14.4" hidden="1" customHeight="1" outlineLevel="1" x14ac:dyDescent="0.3">
      <c r="A19" s="454" t="s">
        <v>151</v>
      </c>
      <c r="B19" s="105">
        <v>18.143000000000001</v>
      </c>
      <c r="C19" s="98">
        <v>35.753999999999998</v>
      </c>
      <c r="D19" s="98">
        <v>4.6109999999999998</v>
      </c>
      <c r="E19" s="441">
        <f t="shared" ref="E19:E25" si="12">IF(OR(D19=0,B19=0),"",D19/B19)</f>
        <v>0.25414760513696738</v>
      </c>
      <c r="F19" s="117">
        <f t="shared" ref="F19:F25" si="13">IF(OR(D19=0,C19=0),"",D19/C19)</f>
        <v>0.12896459137439167</v>
      </c>
      <c r="G19" s="105">
        <v>4</v>
      </c>
      <c r="H19" s="98">
        <v>5</v>
      </c>
      <c r="I19" s="98">
        <v>1</v>
      </c>
      <c r="J19" s="441">
        <f t="shared" ref="J19:J25" si="14">IF(OR(I19=0,G19=0),"",I19/G19)</f>
        <v>0.25</v>
      </c>
      <c r="K19" s="119">
        <f t="shared" ref="K19:K25" si="15">IF(OR(I19=0,H19=0),"",I19/H19)</f>
        <v>0.2</v>
      </c>
      <c r="L19" s="585">
        <v>0.99456</v>
      </c>
      <c r="M19" s="586"/>
      <c r="N19" s="132">
        <f t="shared" si="8"/>
        <v>-31.142999999999997</v>
      </c>
      <c r="O19" s="133">
        <f t="shared" si="9"/>
        <v>-4</v>
      </c>
      <c r="P19" s="132">
        <f t="shared" si="10"/>
        <v>-13.532</v>
      </c>
      <c r="Q19" s="133">
        <f t="shared" si="11"/>
        <v>-3</v>
      </c>
    </row>
    <row r="20" spans="1:17" ht="14.4" hidden="1" customHeight="1" outlineLevel="1" x14ac:dyDescent="0.3">
      <c r="A20" s="454" t="s">
        <v>152</v>
      </c>
      <c r="B20" s="105">
        <v>74.811999999999998</v>
      </c>
      <c r="C20" s="98">
        <v>78.400999999999996</v>
      </c>
      <c r="D20" s="98">
        <v>26.035</v>
      </c>
      <c r="E20" s="441">
        <f t="shared" si="12"/>
        <v>0.34800566753996687</v>
      </c>
      <c r="F20" s="117">
        <f t="shared" si="13"/>
        <v>0.33207484598410736</v>
      </c>
      <c r="G20" s="105">
        <v>9</v>
      </c>
      <c r="H20" s="98">
        <v>9</v>
      </c>
      <c r="I20" s="98">
        <v>4</v>
      </c>
      <c r="J20" s="441">
        <f t="shared" si="14"/>
        <v>0.44444444444444442</v>
      </c>
      <c r="K20" s="119">
        <f t="shared" si="15"/>
        <v>0.44444444444444442</v>
      </c>
      <c r="L20" s="585">
        <v>0.96671999999999991</v>
      </c>
      <c r="M20" s="586"/>
      <c r="N20" s="132">
        <f t="shared" si="8"/>
        <v>-52.366</v>
      </c>
      <c r="O20" s="133">
        <f t="shared" si="9"/>
        <v>-5</v>
      </c>
      <c r="P20" s="132">
        <f t="shared" si="10"/>
        <v>-48.777000000000001</v>
      </c>
      <c r="Q20" s="133">
        <f t="shared" si="11"/>
        <v>-5</v>
      </c>
    </row>
    <row r="21" spans="1:17" ht="14.4" hidden="1" customHeight="1" outlineLevel="1" x14ac:dyDescent="0.3">
      <c r="A21" s="454" t="s">
        <v>153</v>
      </c>
      <c r="B21" s="105">
        <v>3.3860000000000001</v>
      </c>
      <c r="C21" s="98">
        <v>18.574999999999999</v>
      </c>
      <c r="D21" s="98">
        <v>29.562000000000001</v>
      </c>
      <c r="E21" s="441">
        <f t="shared" si="12"/>
        <v>8.730655640874188</v>
      </c>
      <c r="F21" s="117">
        <f t="shared" si="13"/>
        <v>1.5914939434724094</v>
      </c>
      <c r="G21" s="105">
        <v>2</v>
      </c>
      <c r="H21" s="98">
        <v>2</v>
      </c>
      <c r="I21" s="98">
        <v>3</v>
      </c>
      <c r="J21" s="441">
        <f t="shared" si="14"/>
        <v>1.5</v>
      </c>
      <c r="K21" s="119">
        <f t="shared" si="15"/>
        <v>1.5</v>
      </c>
      <c r="L21" s="585">
        <v>1.11744</v>
      </c>
      <c r="M21" s="586"/>
      <c r="N21" s="132">
        <f t="shared" si="8"/>
        <v>10.987000000000002</v>
      </c>
      <c r="O21" s="133">
        <f t="shared" si="9"/>
        <v>1</v>
      </c>
      <c r="P21" s="132">
        <f t="shared" si="10"/>
        <v>26.176000000000002</v>
      </c>
      <c r="Q21" s="133">
        <f t="shared" si="11"/>
        <v>1</v>
      </c>
    </row>
    <row r="22" spans="1:17" ht="14.4" hidden="1" customHeight="1" outlineLevel="1" x14ac:dyDescent="0.3">
      <c r="A22" s="454" t="s">
        <v>154</v>
      </c>
      <c r="B22" s="105">
        <v>0</v>
      </c>
      <c r="C22" s="98">
        <v>0</v>
      </c>
      <c r="D22" s="98">
        <v>0</v>
      </c>
      <c r="E22" s="441" t="str">
        <f t="shared" si="12"/>
        <v/>
      </c>
      <c r="F22" s="117" t="str">
        <f t="shared" si="13"/>
        <v/>
      </c>
      <c r="G22" s="105">
        <v>0</v>
      </c>
      <c r="H22" s="98">
        <v>0</v>
      </c>
      <c r="I22" s="98">
        <v>0</v>
      </c>
      <c r="J22" s="441" t="str">
        <f t="shared" si="14"/>
        <v/>
      </c>
      <c r="K22" s="119" t="str">
        <f t="shared" si="15"/>
        <v/>
      </c>
      <c r="L22" s="585">
        <v>0.96</v>
      </c>
      <c r="M22" s="586"/>
      <c r="N22" s="132">
        <f t="shared" si="8"/>
        <v>0</v>
      </c>
      <c r="O22" s="133">
        <f t="shared" si="9"/>
        <v>0</v>
      </c>
      <c r="P22" s="132">
        <f t="shared" si="10"/>
        <v>0</v>
      </c>
      <c r="Q22" s="133">
        <f t="shared" si="11"/>
        <v>0</v>
      </c>
    </row>
    <row r="23" spans="1:17" ht="14.4" hidden="1" customHeight="1" outlineLevel="1" x14ac:dyDescent="0.3">
      <c r="A23" s="454" t="s">
        <v>155</v>
      </c>
      <c r="B23" s="105">
        <v>2.8460000000000001</v>
      </c>
      <c r="C23" s="98">
        <v>5.2880000000000003</v>
      </c>
      <c r="D23" s="98">
        <v>10.500999999999999</v>
      </c>
      <c r="E23" s="441">
        <f t="shared" si="12"/>
        <v>3.6897399859451858</v>
      </c>
      <c r="F23" s="117">
        <f t="shared" si="13"/>
        <v>1.9858169440242055</v>
      </c>
      <c r="G23" s="105">
        <v>3</v>
      </c>
      <c r="H23" s="98">
        <v>3</v>
      </c>
      <c r="I23" s="98">
        <v>3</v>
      </c>
      <c r="J23" s="441">
        <f t="shared" si="14"/>
        <v>1</v>
      </c>
      <c r="K23" s="119">
        <f t="shared" si="15"/>
        <v>1</v>
      </c>
      <c r="L23" s="585">
        <v>0.98495999999999995</v>
      </c>
      <c r="M23" s="586"/>
      <c r="N23" s="132">
        <f t="shared" si="8"/>
        <v>5.2129999999999992</v>
      </c>
      <c r="O23" s="133">
        <f t="shared" si="9"/>
        <v>0</v>
      </c>
      <c r="P23" s="132">
        <f t="shared" si="10"/>
        <v>7.6549999999999994</v>
      </c>
      <c r="Q23" s="133">
        <f t="shared" si="11"/>
        <v>0</v>
      </c>
    </row>
    <row r="24" spans="1:17" ht="14.4" hidden="1" customHeight="1" outlineLevel="1" x14ac:dyDescent="0.3">
      <c r="A24" s="454" t="s">
        <v>156</v>
      </c>
      <c r="B24" s="105">
        <v>0</v>
      </c>
      <c r="C24" s="98">
        <v>0</v>
      </c>
      <c r="D24" s="98">
        <v>12.648</v>
      </c>
      <c r="E24" s="441" t="str">
        <f t="shared" si="12"/>
        <v/>
      </c>
      <c r="F24" s="117" t="str">
        <f t="shared" si="13"/>
        <v/>
      </c>
      <c r="G24" s="105">
        <v>0</v>
      </c>
      <c r="H24" s="98">
        <v>0</v>
      </c>
      <c r="I24" s="98">
        <v>1</v>
      </c>
      <c r="J24" s="441" t="str">
        <f t="shared" si="14"/>
        <v/>
      </c>
      <c r="K24" s="119" t="str">
        <f t="shared" si="15"/>
        <v/>
      </c>
      <c r="L24" s="585">
        <v>1.0147199999999998</v>
      </c>
      <c r="M24" s="586"/>
      <c r="N24" s="132">
        <f t="shared" si="8"/>
        <v>12.648</v>
      </c>
      <c r="O24" s="133">
        <f t="shared" si="9"/>
        <v>1</v>
      </c>
      <c r="P24" s="132">
        <f t="shared" si="10"/>
        <v>12.648</v>
      </c>
      <c r="Q24" s="133">
        <f t="shared" si="11"/>
        <v>1</v>
      </c>
    </row>
    <row r="25" spans="1:17" ht="14.4" hidden="1" customHeight="1" outlineLevel="1" thickBot="1" x14ac:dyDescent="0.35">
      <c r="A25" s="455" t="s">
        <v>184</v>
      </c>
      <c r="B25" s="222">
        <v>0</v>
      </c>
      <c r="C25" s="223">
        <v>1.907</v>
      </c>
      <c r="D25" s="223">
        <v>0</v>
      </c>
      <c r="E25" s="442" t="str">
        <f t="shared" si="12"/>
        <v/>
      </c>
      <c r="F25" s="224" t="str">
        <f t="shared" si="13"/>
        <v/>
      </c>
      <c r="G25" s="222">
        <v>0</v>
      </c>
      <c r="H25" s="223">
        <v>1</v>
      </c>
      <c r="I25" s="223">
        <v>0</v>
      </c>
      <c r="J25" s="442" t="str">
        <f t="shared" si="14"/>
        <v/>
      </c>
      <c r="K25" s="226" t="str">
        <f t="shared" si="15"/>
        <v/>
      </c>
      <c r="L25" s="333"/>
      <c r="M25" s="334"/>
      <c r="N25" s="229">
        <f t="shared" si="8"/>
        <v>-1.907</v>
      </c>
      <c r="O25" s="230">
        <f t="shared" si="9"/>
        <v>-1</v>
      </c>
      <c r="P25" s="229">
        <f t="shared" si="10"/>
        <v>0</v>
      </c>
      <c r="Q25" s="230">
        <f t="shared" si="11"/>
        <v>0</v>
      </c>
    </row>
    <row r="26" spans="1:17" ht="14.4" customHeight="1" collapsed="1" thickBot="1" x14ac:dyDescent="0.35">
      <c r="A26" s="458" t="s">
        <v>3</v>
      </c>
      <c r="B26" s="134">
        <f>SUM(B18:B25)</f>
        <v>210.12100000000001</v>
      </c>
      <c r="C26" s="135">
        <f>SUM(C18:C25)</f>
        <v>279.97199999999998</v>
      </c>
      <c r="D26" s="135">
        <f>SUM(D18:D25)</f>
        <v>262.875</v>
      </c>
      <c r="E26" s="437">
        <f>IF(OR(D26=0,B26=0),0,D26/B26)</f>
        <v>1.2510648626267722</v>
      </c>
      <c r="F26" s="136">
        <f>IF(OR(D26=0,C26=0),0,D26/C26)</f>
        <v>0.93893317903218898</v>
      </c>
      <c r="G26" s="134">
        <f>SUM(G18:G25)</f>
        <v>34</v>
      </c>
      <c r="H26" s="135">
        <f>SUM(H18:H25)</f>
        <v>40</v>
      </c>
      <c r="I26" s="135">
        <f>SUM(I18:I25)</f>
        <v>33</v>
      </c>
      <c r="J26" s="437">
        <f>IF(OR(I26=0,G26=0),0,I26/G26)</f>
        <v>0.97058823529411764</v>
      </c>
      <c r="K26" s="137">
        <f>IF(OR(I26=0,H26=0),0,I26/H26)</f>
        <v>0.82499999999999996</v>
      </c>
      <c r="L26" s="106"/>
      <c r="M26" s="106"/>
      <c r="N26" s="128">
        <f t="shared" si="8"/>
        <v>-17.09699999999998</v>
      </c>
      <c r="O26" s="138">
        <f t="shared" si="9"/>
        <v>-7</v>
      </c>
      <c r="P26" s="128">
        <f t="shared" si="10"/>
        <v>52.753999999999991</v>
      </c>
      <c r="Q26" s="138">
        <f t="shared" si="11"/>
        <v>-1</v>
      </c>
    </row>
    <row r="27" spans="1:17" ht="14.4" customHeight="1" x14ac:dyDescent="0.3">
      <c r="A27" s="139"/>
      <c r="B27" s="570" t="s">
        <v>182</v>
      </c>
      <c r="C27" s="571"/>
      <c r="D27" s="571"/>
      <c r="E27" s="572"/>
      <c r="F27" s="571"/>
      <c r="G27" s="570" t="s">
        <v>183</v>
      </c>
      <c r="H27" s="571"/>
      <c r="I27" s="571"/>
      <c r="J27" s="572"/>
      <c r="K27" s="571"/>
      <c r="L27" s="140"/>
      <c r="M27" s="140"/>
      <c r="N27" s="140"/>
      <c r="O27" s="141"/>
      <c r="P27" s="140"/>
      <c r="Q27" s="141"/>
    </row>
    <row r="28" spans="1:17" ht="14.4" customHeight="1" thickBot="1" x14ac:dyDescent="0.35">
      <c r="A28" s="139"/>
      <c r="B28" s="331"/>
      <c r="C28" s="332"/>
      <c r="D28" s="332"/>
      <c r="E28" s="332"/>
      <c r="F28" s="332"/>
      <c r="G28" s="331"/>
      <c r="H28" s="332"/>
      <c r="I28" s="332"/>
      <c r="J28" s="332"/>
      <c r="K28" s="332"/>
      <c r="L28" s="140"/>
      <c r="M28" s="140"/>
      <c r="N28" s="140"/>
      <c r="O28" s="141"/>
      <c r="P28" s="140"/>
      <c r="Q28" s="141"/>
    </row>
    <row r="29" spans="1:17" ht="14.4" customHeight="1" thickBot="1" x14ac:dyDescent="0.35">
      <c r="A29" s="579" t="s">
        <v>270</v>
      </c>
      <c r="B29" s="581" t="s">
        <v>58</v>
      </c>
      <c r="C29" s="582"/>
      <c r="D29" s="582"/>
      <c r="E29" s="583"/>
      <c r="F29" s="584"/>
      <c r="G29" s="582" t="s">
        <v>225</v>
      </c>
      <c r="H29" s="582"/>
      <c r="I29" s="582"/>
      <c r="J29" s="583"/>
      <c r="K29" s="584"/>
      <c r="L29" s="140"/>
      <c r="M29" s="140"/>
      <c r="N29" s="140"/>
      <c r="O29" s="141"/>
      <c r="P29" s="140"/>
      <c r="Q29" s="141"/>
    </row>
    <row r="30" spans="1:17" ht="14.4" customHeight="1" thickBot="1" x14ac:dyDescent="0.35">
      <c r="A30" s="580"/>
      <c r="B30" s="142">
        <v>2015</v>
      </c>
      <c r="C30" s="143">
        <v>2016</v>
      </c>
      <c r="D30" s="143">
        <v>2017</v>
      </c>
      <c r="E30" s="143" t="s">
        <v>268</v>
      </c>
      <c r="F30" s="144" t="s">
        <v>2</v>
      </c>
      <c r="G30" s="143">
        <v>2015</v>
      </c>
      <c r="H30" s="143">
        <v>2016</v>
      </c>
      <c r="I30" s="143">
        <v>2017</v>
      </c>
      <c r="J30" s="143" t="s">
        <v>268</v>
      </c>
      <c r="K30" s="144" t="s">
        <v>2</v>
      </c>
      <c r="L30" s="140"/>
      <c r="M30" s="140"/>
      <c r="N30" s="145" t="s">
        <v>59</v>
      </c>
      <c r="O30" s="146" t="s">
        <v>60</v>
      </c>
      <c r="P30" s="145" t="s">
        <v>277</v>
      </c>
      <c r="Q30" s="146" t="s">
        <v>278</v>
      </c>
    </row>
    <row r="31" spans="1:17" ht="14.4" hidden="1" customHeight="1" outlineLevel="1" x14ac:dyDescent="0.3">
      <c r="A31" s="453" t="s">
        <v>150</v>
      </c>
      <c r="B31" s="104">
        <v>0</v>
      </c>
      <c r="C31" s="99">
        <v>0</v>
      </c>
      <c r="D31" s="99">
        <v>4.7210000000000001</v>
      </c>
      <c r="E31" s="440" t="str">
        <f>IF(OR(D31=0,B31=0),"",D31/B31)</f>
        <v/>
      </c>
      <c r="F31" s="114" t="str">
        <f>IF(OR(D31=0,C31=0),"",D31/C31)</f>
        <v/>
      </c>
      <c r="G31" s="115">
        <v>0</v>
      </c>
      <c r="H31" s="99">
        <v>0</v>
      </c>
      <c r="I31" s="99">
        <v>1</v>
      </c>
      <c r="J31" s="440" t="str">
        <f>IF(OR(I31=0,G31=0),"",I31/G31)</f>
        <v/>
      </c>
      <c r="K31" s="116" t="str">
        <f>IF(OR(I31=0,H31=0),"",I31/H31)</f>
        <v/>
      </c>
      <c r="L31" s="140"/>
      <c r="M31" s="140"/>
      <c r="N31" s="130">
        <f t="shared" ref="N31:N39" si="16">D31-C31</f>
        <v>4.7210000000000001</v>
      </c>
      <c r="O31" s="131">
        <f t="shared" ref="O31:O39" si="17">I31-H31</f>
        <v>1</v>
      </c>
      <c r="P31" s="130">
        <f t="shared" ref="P31:P39" si="18">D31-B31</f>
        <v>4.7210000000000001</v>
      </c>
      <c r="Q31" s="131">
        <f t="shared" ref="Q31:Q39" si="19">I31-G31</f>
        <v>1</v>
      </c>
    </row>
    <row r="32" spans="1:17" ht="14.4" hidden="1" customHeight="1" outlineLevel="1" x14ac:dyDescent="0.3">
      <c r="A32" s="454" t="s">
        <v>151</v>
      </c>
      <c r="B32" s="105">
        <v>0</v>
      </c>
      <c r="C32" s="98">
        <v>0</v>
      </c>
      <c r="D32" s="98">
        <v>0</v>
      </c>
      <c r="E32" s="441" t="str">
        <f t="shared" ref="E32:E38" si="20">IF(OR(D32=0,B32=0),"",D32/B32)</f>
        <v/>
      </c>
      <c r="F32" s="117" t="str">
        <f t="shared" ref="F32:F38" si="21">IF(OR(D32=0,C32=0),"",D32/C32)</f>
        <v/>
      </c>
      <c r="G32" s="118">
        <v>0</v>
      </c>
      <c r="H32" s="98">
        <v>0</v>
      </c>
      <c r="I32" s="98">
        <v>0</v>
      </c>
      <c r="J32" s="441" t="str">
        <f t="shared" ref="J32:J38" si="22">IF(OR(I32=0,G32=0),"",I32/G32)</f>
        <v/>
      </c>
      <c r="K32" s="119" t="str">
        <f t="shared" ref="K32:K38" si="23">IF(OR(I32=0,H32=0),"",I32/H32)</f>
        <v/>
      </c>
      <c r="L32" s="140"/>
      <c r="M32" s="140"/>
      <c r="N32" s="132">
        <f t="shared" si="16"/>
        <v>0</v>
      </c>
      <c r="O32" s="133">
        <f t="shared" si="17"/>
        <v>0</v>
      </c>
      <c r="P32" s="132">
        <f t="shared" si="18"/>
        <v>0</v>
      </c>
      <c r="Q32" s="133">
        <f t="shared" si="19"/>
        <v>0</v>
      </c>
    </row>
    <row r="33" spans="1:17" ht="14.4" hidden="1" customHeight="1" outlineLevel="1" x14ac:dyDescent="0.3">
      <c r="A33" s="454" t="s">
        <v>152</v>
      </c>
      <c r="B33" s="105">
        <v>0</v>
      </c>
      <c r="C33" s="98">
        <v>0</v>
      </c>
      <c r="D33" s="98">
        <v>0</v>
      </c>
      <c r="E33" s="441" t="str">
        <f t="shared" si="20"/>
        <v/>
      </c>
      <c r="F33" s="117" t="str">
        <f t="shared" si="21"/>
        <v/>
      </c>
      <c r="G33" s="118">
        <v>0</v>
      </c>
      <c r="H33" s="98">
        <v>0</v>
      </c>
      <c r="I33" s="98">
        <v>0</v>
      </c>
      <c r="J33" s="441" t="str">
        <f t="shared" si="22"/>
        <v/>
      </c>
      <c r="K33" s="119" t="str">
        <f t="shared" si="23"/>
        <v/>
      </c>
      <c r="L33" s="140"/>
      <c r="M33" s="140"/>
      <c r="N33" s="132">
        <f t="shared" si="16"/>
        <v>0</v>
      </c>
      <c r="O33" s="133">
        <f t="shared" si="17"/>
        <v>0</v>
      </c>
      <c r="P33" s="132">
        <f t="shared" si="18"/>
        <v>0</v>
      </c>
      <c r="Q33" s="133">
        <f t="shared" si="19"/>
        <v>0</v>
      </c>
    </row>
    <row r="34" spans="1:17" ht="14.4" hidden="1" customHeight="1" outlineLevel="1" x14ac:dyDescent="0.3">
      <c r="A34" s="454" t="s">
        <v>153</v>
      </c>
      <c r="B34" s="105">
        <v>0</v>
      </c>
      <c r="C34" s="98">
        <v>0</v>
      </c>
      <c r="D34" s="98">
        <v>0</v>
      </c>
      <c r="E34" s="441" t="str">
        <f t="shared" si="20"/>
        <v/>
      </c>
      <c r="F34" s="117" t="str">
        <f t="shared" si="21"/>
        <v/>
      </c>
      <c r="G34" s="118">
        <v>0</v>
      </c>
      <c r="H34" s="98">
        <v>0</v>
      </c>
      <c r="I34" s="98">
        <v>0</v>
      </c>
      <c r="J34" s="441" t="str">
        <f t="shared" si="22"/>
        <v/>
      </c>
      <c r="K34" s="119" t="str">
        <f t="shared" si="23"/>
        <v/>
      </c>
      <c r="L34" s="140"/>
      <c r="M34" s="140"/>
      <c r="N34" s="132">
        <f t="shared" si="16"/>
        <v>0</v>
      </c>
      <c r="O34" s="133">
        <f t="shared" si="17"/>
        <v>0</v>
      </c>
      <c r="P34" s="132">
        <f t="shared" si="18"/>
        <v>0</v>
      </c>
      <c r="Q34" s="133">
        <f t="shared" si="19"/>
        <v>0</v>
      </c>
    </row>
    <row r="35" spans="1:17" ht="14.4" hidden="1" customHeight="1" outlineLevel="1" x14ac:dyDescent="0.3">
      <c r="A35" s="454" t="s">
        <v>154</v>
      </c>
      <c r="B35" s="105">
        <v>0</v>
      </c>
      <c r="C35" s="98">
        <v>0</v>
      </c>
      <c r="D35" s="98">
        <v>0</v>
      </c>
      <c r="E35" s="441" t="str">
        <f t="shared" si="20"/>
        <v/>
      </c>
      <c r="F35" s="117" t="str">
        <f t="shared" si="21"/>
        <v/>
      </c>
      <c r="G35" s="118">
        <v>0</v>
      </c>
      <c r="H35" s="98">
        <v>0</v>
      </c>
      <c r="I35" s="98">
        <v>0</v>
      </c>
      <c r="J35" s="441" t="str">
        <f t="shared" si="22"/>
        <v/>
      </c>
      <c r="K35" s="119" t="str">
        <f t="shared" si="23"/>
        <v/>
      </c>
      <c r="L35" s="140"/>
      <c r="M35" s="140"/>
      <c r="N35" s="132">
        <f t="shared" si="16"/>
        <v>0</v>
      </c>
      <c r="O35" s="133">
        <f t="shared" si="17"/>
        <v>0</v>
      </c>
      <c r="P35" s="132">
        <f t="shared" si="18"/>
        <v>0</v>
      </c>
      <c r="Q35" s="133">
        <f t="shared" si="19"/>
        <v>0</v>
      </c>
    </row>
    <row r="36" spans="1:17" ht="14.4" hidden="1" customHeight="1" outlineLevel="1" x14ac:dyDescent="0.3">
      <c r="A36" s="454" t="s">
        <v>155</v>
      </c>
      <c r="B36" s="105">
        <v>0</v>
      </c>
      <c r="C36" s="98">
        <v>0</v>
      </c>
      <c r="D36" s="98">
        <v>0</v>
      </c>
      <c r="E36" s="441" t="str">
        <f t="shared" si="20"/>
        <v/>
      </c>
      <c r="F36" s="117" t="str">
        <f t="shared" si="21"/>
        <v/>
      </c>
      <c r="G36" s="118">
        <v>0</v>
      </c>
      <c r="H36" s="98">
        <v>0</v>
      </c>
      <c r="I36" s="98">
        <v>0</v>
      </c>
      <c r="J36" s="441" t="str">
        <f t="shared" si="22"/>
        <v/>
      </c>
      <c r="K36" s="119" t="str">
        <f t="shared" si="23"/>
        <v/>
      </c>
      <c r="L36" s="140"/>
      <c r="M36" s="140"/>
      <c r="N36" s="132">
        <f t="shared" si="16"/>
        <v>0</v>
      </c>
      <c r="O36" s="133">
        <f t="shared" si="17"/>
        <v>0</v>
      </c>
      <c r="P36" s="132">
        <f t="shared" si="18"/>
        <v>0</v>
      </c>
      <c r="Q36" s="133">
        <f t="shared" si="19"/>
        <v>0</v>
      </c>
    </row>
    <row r="37" spans="1:17" ht="14.4" hidden="1" customHeight="1" outlineLevel="1" x14ac:dyDescent="0.3">
      <c r="A37" s="454" t="s">
        <v>156</v>
      </c>
      <c r="B37" s="105">
        <v>0</v>
      </c>
      <c r="C37" s="98">
        <v>0</v>
      </c>
      <c r="D37" s="98">
        <v>0</v>
      </c>
      <c r="E37" s="441" t="str">
        <f t="shared" si="20"/>
        <v/>
      </c>
      <c r="F37" s="117" t="str">
        <f t="shared" si="21"/>
        <v/>
      </c>
      <c r="G37" s="118">
        <v>0</v>
      </c>
      <c r="H37" s="98">
        <v>0</v>
      </c>
      <c r="I37" s="98">
        <v>0</v>
      </c>
      <c r="J37" s="441" t="str">
        <f t="shared" si="22"/>
        <v/>
      </c>
      <c r="K37" s="119" t="str">
        <f t="shared" si="23"/>
        <v/>
      </c>
      <c r="L37" s="140"/>
      <c r="M37" s="140"/>
      <c r="N37" s="132">
        <f t="shared" si="16"/>
        <v>0</v>
      </c>
      <c r="O37" s="133">
        <f t="shared" si="17"/>
        <v>0</v>
      </c>
      <c r="P37" s="132">
        <f t="shared" si="18"/>
        <v>0</v>
      </c>
      <c r="Q37" s="133">
        <f t="shared" si="19"/>
        <v>0</v>
      </c>
    </row>
    <row r="38" spans="1:17" ht="14.4" hidden="1" customHeight="1" outlineLevel="1" thickBot="1" x14ac:dyDescent="0.35">
      <c r="A38" s="455" t="s">
        <v>184</v>
      </c>
      <c r="B38" s="222">
        <v>0</v>
      </c>
      <c r="C38" s="223">
        <v>0</v>
      </c>
      <c r="D38" s="223">
        <v>0</v>
      </c>
      <c r="E38" s="442" t="str">
        <f t="shared" si="20"/>
        <v/>
      </c>
      <c r="F38" s="224" t="str">
        <f t="shared" si="21"/>
        <v/>
      </c>
      <c r="G38" s="225">
        <v>0</v>
      </c>
      <c r="H38" s="223">
        <v>0</v>
      </c>
      <c r="I38" s="223">
        <v>0</v>
      </c>
      <c r="J38" s="442" t="str">
        <f t="shared" si="22"/>
        <v/>
      </c>
      <c r="K38" s="226" t="str">
        <f t="shared" si="23"/>
        <v/>
      </c>
      <c r="L38" s="140"/>
      <c r="M38" s="140"/>
      <c r="N38" s="229">
        <f t="shared" si="16"/>
        <v>0</v>
      </c>
      <c r="O38" s="230">
        <f t="shared" si="17"/>
        <v>0</v>
      </c>
      <c r="P38" s="229">
        <f t="shared" si="18"/>
        <v>0</v>
      </c>
      <c r="Q38" s="230">
        <f t="shared" si="19"/>
        <v>0</v>
      </c>
    </row>
    <row r="39" spans="1:17" ht="14.4" customHeight="1" collapsed="1" thickBot="1" x14ac:dyDescent="0.35">
      <c r="A39" s="457" t="s">
        <v>3</v>
      </c>
      <c r="B39" s="103">
        <f>SUM(B31:B38)</f>
        <v>0</v>
      </c>
      <c r="C39" s="147">
        <f>SUM(C31:C38)</f>
        <v>0</v>
      </c>
      <c r="D39" s="147">
        <f>SUM(D31:D38)</f>
        <v>4.7210000000000001</v>
      </c>
      <c r="E39" s="438">
        <f>IF(OR(D39=0,B39=0),0,D39/B39)</f>
        <v>0</v>
      </c>
      <c r="F39" s="148">
        <f>IF(OR(D39=0,C39=0),0,D39/C39)</f>
        <v>0</v>
      </c>
      <c r="G39" s="149">
        <f>SUM(G31:G38)</f>
        <v>0</v>
      </c>
      <c r="H39" s="147">
        <f>SUM(H31:H38)</f>
        <v>0</v>
      </c>
      <c r="I39" s="147">
        <f>SUM(I31:I38)</f>
        <v>1</v>
      </c>
      <c r="J39" s="438">
        <f>IF(OR(I39=0,G39=0),0,I39/G39)</f>
        <v>0</v>
      </c>
      <c r="K39" s="150">
        <f>IF(OR(I39=0,H39=0),0,I39/H39)</f>
        <v>0</v>
      </c>
      <c r="L39" s="140"/>
      <c r="M39" s="140"/>
      <c r="N39" s="145">
        <f t="shared" si="16"/>
        <v>4.7210000000000001</v>
      </c>
      <c r="O39" s="151">
        <f t="shared" si="17"/>
        <v>1</v>
      </c>
      <c r="P39" s="145">
        <f t="shared" si="18"/>
        <v>4.7210000000000001</v>
      </c>
      <c r="Q39" s="151">
        <f t="shared" si="19"/>
        <v>1</v>
      </c>
    </row>
    <row r="40" spans="1:17" ht="14.4" customHeight="1" x14ac:dyDescent="0.25">
      <c r="A40" s="335"/>
      <c r="B40" s="335"/>
      <c r="C40" s="335"/>
      <c r="D40" s="335"/>
      <c r="E40" s="335"/>
      <c r="F40" s="336"/>
      <c r="G40" s="335"/>
      <c r="H40" s="335"/>
      <c r="I40" s="335"/>
      <c r="J40" s="335"/>
      <c r="K40" s="337"/>
      <c r="L40" s="335"/>
      <c r="M40" s="335"/>
      <c r="N40" s="335"/>
      <c r="O40" s="335"/>
      <c r="P40" s="335"/>
      <c r="Q40" s="335"/>
    </row>
    <row r="41" spans="1:17" ht="14.4" customHeight="1" thickBot="1" x14ac:dyDescent="0.3">
      <c r="A41" s="335"/>
      <c r="B41" s="335"/>
      <c r="C41" s="335"/>
      <c r="D41" s="335"/>
      <c r="E41" s="335"/>
      <c r="F41" s="336"/>
      <c r="G41" s="335"/>
      <c r="H41" s="335"/>
      <c r="I41" s="335"/>
      <c r="J41" s="335"/>
      <c r="K41" s="337"/>
      <c r="L41" s="335"/>
      <c r="M41" s="335"/>
      <c r="N41" s="335"/>
      <c r="O41" s="335"/>
      <c r="P41" s="335"/>
      <c r="Q41" s="335"/>
    </row>
    <row r="42" spans="1:17" ht="14.4" customHeight="1" thickBot="1" x14ac:dyDescent="0.35">
      <c r="A42" s="573" t="s">
        <v>271</v>
      </c>
      <c r="B42" s="575" t="s">
        <v>58</v>
      </c>
      <c r="C42" s="576"/>
      <c r="D42" s="576"/>
      <c r="E42" s="577"/>
      <c r="F42" s="578"/>
      <c r="G42" s="576" t="s">
        <v>225</v>
      </c>
      <c r="H42" s="576"/>
      <c r="I42" s="576"/>
      <c r="J42" s="577"/>
      <c r="K42" s="578"/>
      <c r="L42" s="140"/>
      <c r="M42" s="140"/>
      <c r="N42" s="140"/>
      <c r="O42" s="141"/>
      <c r="P42" s="140"/>
      <c r="Q42" s="141"/>
    </row>
    <row r="43" spans="1:17" ht="14.4" customHeight="1" thickBot="1" x14ac:dyDescent="0.35">
      <c r="A43" s="574"/>
      <c r="B43" s="423">
        <v>2015</v>
      </c>
      <c r="C43" s="424">
        <v>2016</v>
      </c>
      <c r="D43" s="424">
        <v>2017</v>
      </c>
      <c r="E43" s="424" t="s">
        <v>268</v>
      </c>
      <c r="F43" s="425" t="s">
        <v>2</v>
      </c>
      <c r="G43" s="424">
        <v>2015</v>
      </c>
      <c r="H43" s="424">
        <v>2016</v>
      </c>
      <c r="I43" s="424">
        <v>2017</v>
      </c>
      <c r="J43" s="424" t="s">
        <v>268</v>
      </c>
      <c r="K43" s="425" t="s">
        <v>2</v>
      </c>
      <c r="L43" s="140"/>
      <c r="M43" s="140"/>
      <c r="N43" s="431" t="s">
        <v>59</v>
      </c>
      <c r="O43" s="433" t="s">
        <v>60</v>
      </c>
      <c r="P43" s="431" t="s">
        <v>277</v>
      </c>
      <c r="Q43" s="433" t="s">
        <v>278</v>
      </c>
    </row>
    <row r="44" spans="1:17" ht="14.4" hidden="1" customHeight="1" outlineLevel="1" x14ac:dyDescent="0.3">
      <c r="A44" s="453" t="s">
        <v>150</v>
      </c>
      <c r="B44" s="104">
        <v>0</v>
      </c>
      <c r="C44" s="99">
        <v>0</v>
      </c>
      <c r="D44" s="99">
        <v>0</v>
      </c>
      <c r="E44" s="440" t="str">
        <f>IF(OR(D44=0,B44=0),"",D44/B44)</f>
        <v/>
      </c>
      <c r="F44" s="114" t="str">
        <f>IF(OR(D44=0,C44=0),"",D44/C44)</f>
        <v/>
      </c>
      <c r="G44" s="115">
        <v>0</v>
      </c>
      <c r="H44" s="99">
        <v>0</v>
      </c>
      <c r="I44" s="99">
        <v>0</v>
      </c>
      <c r="J44" s="440" t="str">
        <f>IF(OR(I44=0,G44=0),"",I44/G44)</f>
        <v/>
      </c>
      <c r="K44" s="116" t="str">
        <f>IF(OR(I44=0,H44=0),"",I44/H44)</f>
        <v/>
      </c>
      <c r="L44" s="140"/>
      <c r="M44" s="140"/>
      <c r="N44" s="130">
        <f t="shared" ref="N44:N52" si="24">D44-C44</f>
        <v>0</v>
      </c>
      <c r="O44" s="131">
        <f t="shared" ref="O44:O52" si="25">I44-H44</f>
        <v>0</v>
      </c>
      <c r="P44" s="130">
        <f t="shared" ref="P44:P52" si="26">D44-B44</f>
        <v>0</v>
      </c>
      <c r="Q44" s="131">
        <f t="shared" ref="Q44:Q52" si="27">I44-G44</f>
        <v>0</v>
      </c>
    </row>
    <row r="45" spans="1:17" ht="14.4" hidden="1" customHeight="1" outlineLevel="1" x14ac:dyDescent="0.3">
      <c r="A45" s="454" t="s">
        <v>151</v>
      </c>
      <c r="B45" s="105">
        <v>0</v>
      </c>
      <c r="C45" s="98">
        <v>0</v>
      </c>
      <c r="D45" s="98">
        <v>0</v>
      </c>
      <c r="E45" s="441" t="str">
        <f t="shared" ref="E45:E51" si="28">IF(OR(D45=0,B45=0),"",D45/B45)</f>
        <v/>
      </c>
      <c r="F45" s="117" t="str">
        <f t="shared" ref="F45:F51" si="29">IF(OR(D45=0,C45=0),"",D45/C45)</f>
        <v/>
      </c>
      <c r="G45" s="118">
        <v>0</v>
      </c>
      <c r="H45" s="98">
        <v>0</v>
      </c>
      <c r="I45" s="98">
        <v>0</v>
      </c>
      <c r="J45" s="441" t="str">
        <f t="shared" ref="J45:J51" si="30">IF(OR(I45=0,G45=0),"",I45/G45)</f>
        <v/>
      </c>
      <c r="K45" s="119" t="str">
        <f t="shared" ref="K45:K51" si="31">IF(OR(I45=0,H45=0),"",I45/H45)</f>
        <v/>
      </c>
      <c r="L45" s="140"/>
      <c r="M45" s="140"/>
      <c r="N45" s="132">
        <f t="shared" si="24"/>
        <v>0</v>
      </c>
      <c r="O45" s="133">
        <f t="shared" si="25"/>
        <v>0</v>
      </c>
      <c r="P45" s="132">
        <f t="shared" si="26"/>
        <v>0</v>
      </c>
      <c r="Q45" s="133">
        <f t="shared" si="27"/>
        <v>0</v>
      </c>
    </row>
    <row r="46" spans="1:17" ht="14.4" hidden="1" customHeight="1" outlineLevel="1" x14ac:dyDescent="0.3">
      <c r="A46" s="454" t="s">
        <v>152</v>
      </c>
      <c r="B46" s="105">
        <v>0</v>
      </c>
      <c r="C46" s="98">
        <v>0</v>
      </c>
      <c r="D46" s="98">
        <v>0</v>
      </c>
      <c r="E46" s="441" t="str">
        <f t="shared" si="28"/>
        <v/>
      </c>
      <c r="F46" s="117" t="str">
        <f t="shared" si="29"/>
        <v/>
      </c>
      <c r="G46" s="118">
        <v>0</v>
      </c>
      <c r="H46" s="98">
        <v>0</v>
      </c>
      <c r="I46" s="98">
        <v>0</v>
      </c>
      <c r="J46" s="441" t="str">
        <f t="shared" si="30"/>
        <v/>
      </c>
      <c r="K46" s="119" t="str">
        <f t="shared" si="31"/>
        <v/>
      </c>
      <c r="L46" s="140"/>
      <c r="M46" s="140"/>
      <c r="N46" s="132">
        <f t="shared" si="24"/>
        <v>0</v>
      </c>
      <c r="O46" s="133">
        <f t="shared" si="25"/>
        <v>0</v>
      </c>
      <c r="P46" s="132">
        <f t="shared" si="26"/>
        <v>0</v>
      </c>
      <c r="Q46" s="133">
        <f t="shared" si="27"/>
        <v>0</v>
      </c>
    </row>
    <row r="47" spans="1:17" ht="14.4" hidden="1" customHeight="1" outlineLevel="1" x14ac:dyDescent="0.3">
      <c r="A47" s="454" t="s">
        <v>153</v>
      </c>
      <c r="B47" s="105">
        <v>0</v>
      </c>
      <c r="C47" s="98">
        <v>0</v>
      </c>
      <c r="D47" s="98">
        <v>0</v>
      </c>
      <c r="E47" s="441" t="str">
        <f t="shared" si="28"/>
        <v/>
      </c>
      <c r="F47" s="117" t="str">
        <f t="shared" si="29"/>
        <v/>
      </c>
      <c r="G47" s="118">
        <v>0</v>
      </c>
      <c r="H47" s="98">
        <v>0</v>
      </c>
      <c r="I47" s="98">
        <v>0</v>
      </c>
      <c r="J47" s="441" t="str">
        <f t="shared" si="30"/>
        <v/>
      </c>
      <c r="K47" s="119" t="str">
        <f t="shared" si="31"/>
        <v/>
      </c>
      <c r="L47" s="140"/>
      <c r="M47" s="140"/>
      <c r="N47" s="132">
        <f t="shared" si="24"/>
        <v>0</v>
      </c>
      <c r="O47" s="133">
        <f t="shared" si="25"/>
        <v>0</v>
      </c>
      <c r="P47" s="132">
        <f t="shared" si="26"/>
        <v>0</v>
      </c>
      <c r="Q47" s="133">
        <f t="shared" si="27"/>
        <v>0</v>
      </c>
    </row>
    <row r="48" spans="1:17" ht="14.4" hidden="1" customHeight="1" outlineLevel="1" x14ac:dyDescent="0.3">
      <c r="A48" s="454" t="s">
        <v>154</v>
      </c>
      <c r="B48" s="105">
        <v>0</v>
      </c>
      <c r="C48" s="98">
        <v>0</v>
      </c>
      <c r="D48" s="98">
        <v>0</v>
      </c>
      <c r="E48" s="441" t="str">
        <f t="shared" si="28"/>
        <v/>
      </c>
      <c r="F48" s="117" t="str">
        <f t="shared" si="29"/>
        <v/>
      </c>
      <c r="G48" s="118">
        <v>0</v>
      </c>
      <c r="H48" s="98">
        <v>0</v>
      </c>
      <c r="I48" s="98">
        <v>0</v>
      </c>
      <c r="J48" s="441" t="str">
        <f t="shared" si="30"/>
        <v/>
      </c>
      <c r="K48" s="119" t="str">
        <f t="shared" si="31"/>
        <v/>
      </c>
      <c r="L48" s="140"/>
      <c r="M48" s="140"/>
      <c r="N48" s="132">
        <f t="shared" si="24"/>
        <v>0</v>
      </c>
      <c r="O48" s="133">
        <f t="shared" si="25"/>
        <v>0</v>
      </c>
      <c r="P48" s="132">
        <f t="shared" si="26"/>
        <v>0</v>
      </c>
      <c r="Q48" s="133">
        <f t="shared" si="27"/>
        <v>0</v>
      </c>
    </row>
    <row r="49" spans="1:17" ht="14.4" hidden="1" customHeight="1" outlineLevel="1" x14ac:dyDescent="0.3">
      <c r="A49" s="454" t="s">
        <v>155</v>
      </c>
      <c r="B49" s="105">
        <v>0</v>
      </c>
      <c r="C49" s="98">
        <v>0</v>
      </c>
      <c r="D49" s="98">
        <v>0</v>
      </c>
      <c r="E49" s="441" t="str">
        <f t="shared" si="28"/>
        <v/>
      </c>
      <c r="F49" s="117" t="str">
        <f t="shared" si="29"/>
        <v/>
      </c>
      <c r="G49" s="118">
        <v>0</v>
      </c>
      <c r="H49" s="98">
        <v>0</v>
      </c>
      <c r="I49" s="98">
        <v>0</v>
      </c>
      <c r="J49" s="441" t="str">
        <f t="shared" si="30"/>
        <v/>
      </c>
      <c r="K49" s="119" t="str">
        <f t="shared" si="31"/>
        <v/>
      </c>
      <c r="L49" s="140"/>
      <c r="M49" s="140"/>
      <c r="N49" s="132">
        <f t="shared" si="24"/>
        <v>0</v>
      </c>
      <c r="O49" s="133">
        <f t="shared" si="25"/>
        <v>0</v>
      </c>
      <c r="P49" s="132">
        <f t="shared" si="26"/>
        <v>0</v>
      </c>
      <c r="Q49" s="133">
        <f t="shared" si="27"/>
        <v>0</v>
      </c>
    </row>
    <row r="50" spans="1:17" ht="14.4" hidden="1" customHeight="1" outlineLevel="1" x14ac:dyDescent="0.3">
      <c r="A50" s="454" t="s">
        <v>156</v>
      </c>
      <c r="B50" s="105">
        <v>0</v>
      </c>
      <c r="C50" s="98">
        <v>0</v>
      </c>
      <c r="D50" s="98">
        <v>0</v>
      </c>
      <c r="E50" s="441" t="str">
        <f t="shared" si="28"/>
        <v/>
      </c>
      <c r="F50" s="117" t="str">
        <f t="shared" si="29"/>
        <v/>
      </c>
      <c r="G50" s="118">
        <v>0</v>
      </c>
      <c r="H50" s="98">
        <v>0</v>
      </c>
      <c r="I50" s="98">
        <v>0</v>
      </c>
      <c r="J50" s="441" t="str">
        <f t="shared" si="30"/>
        <v/>
      </c>
      <c r="K50" s="119" t="str">
        <f t="shared" si="31"/>
        <v/>
      </c>
      <c r="L50" s="140"/>
      <c r="M50" s="140"/>
      <c r="N50" s="132">
        <f t="shared" si="24"/>
        <v>0</v>
      </c>
      <c r="O50" s="133">
        <f t="shared" si="25"/>
        <v>0</v>
      </c>
      <c r="P50" s="132">
        <f t="shared" si="26"/>
        <v>0</v>
      </c>
      <c r="Q50" s="133">
        <f t="shared" si="27"/>
        <v>0</v>
      </c>
    </row>
    <row r="51" spans="1:17" ht="14.4" hidden="1" customHeight="1" outlineLevel="1" thickBot="1" x14ac:dyDescent="0.35">
      <c r="A51" s="455" t="s">
        <v>184</v>
      </c>
      <c r="B51" s="222">
        <v>0</v>
      </c>
      <c r="C51" s="223">
        <v>0</v>
      </c>
      <c r="D51" s="223">
        <v>0</v>
      </c>
      <c r="E51" s="442" t="str">
        <f t="shared" si="28"/>
        <v/>
      </c>
      <c r="F51" s="224" t="str">
        <f t="shared" si="29"/>
        <v/>
      </c>
      <c r="G51" s="225">
        <v>0</v>
      </c>
      <c r="H51" s="223">
        <v>0</v>
      </c>
      <c r="I51" s="223">
        <v>0</v>
      </c>
      <c r="J51" s="442" t="str">
        <f t="shared" si="30"/>
        <v/>
      </c>
      <c r="K51" s="226" t="str">
        <f t="shared" si="31"/>
        <v/>
      </c>
      <c r="L51" s="140"/>
      <c r="M51" s="140"/>
      <c r="N51" s="229">
        <f t="shared" si="24"/>
        <v>0</v>
      </c>
      <c r="O51" s="230">
        <f t="shared" si="25"/>
        <v>0</v>
      </c>
      <c r="P51" s="229">
        <f t="shared" si="26"/>
        <v>0</v>
      </c>
      <c r="Q51" s="230">
        <f t="shared" si="27"/>
        <v>0</v>
      </c>
    </row>
    <row r="52" spans="1:17" ht="14.4" customHeight="1" collapsed="1" thickBot="1" x14ac:dyDescent="0.35">
      <c r="A52" s="456" t="s">
        <v>3</v>
      </c>
      <c r="B52" s="426">
        <f>SUM(B44:B51)</f>
        <v>0</v>
      </c>
      <c r="C52" s="427">
        <f>SUM(C44:C51)</f>
        <v>0</v>
      </c>
      <c r="D52" s="427">
        <f>SUM(D44:D51)</f>
        <v>0</v>
      </c>
      <c r="E52" s="439">
        <f>IF(OR(D52=0,B52=0),0,D52/B52)</f>
        <v>0</v>
      </c>
      <c r="F52" s="428">
        <f>IF(OR(D52=0,C52=0),0,D52/C52)</f>
        <v>0</v>
      </c>
      <c r="G52" s="429">
        <f>SUM(G44:G51)</f>
        <v>0</v>
      </c>
      <c r="H52" s="427">
        <f>SUM(H44:H51)</f>
        <v>0</v>
      </c>
      <c r="I52" s="427">
        <f>SUM(I44:I51)</f>
        <v>0</v>
      </c>
      <c r="J52" s="439">
        <f>IF(OR(I52=0,G52=0),0,I52/G52)</f>
        <v>0</v>
      </c>
      <c r="K52" s="430">
        <f>IF(OR(I52=0,H52=0),0,I52/H52)</f>
        <v>0</v>
      </c>
      <c r="L52" s="140"/>
      <c r="M52" s="140"/>
      <c r="N52" s="431">
        <f t="shared" si="24"/>
        <v>0</v>
      </c>
      <c r="O52" s="432">
        <f t="shared" si="25"/>
        <v>0</v>
      </c>
      <c r="P52" s="431">
        <f t="shared" si="26"/>
        <v>0</v>
      </c>
      <c r="Q52" s="432">
        <f t="shared" si="27"/>
        <v>0</v>
      </c>
    </row>
    <row r="53" spans="1:17" ht="14.4" customHeight="1" x14ac:dyDescent="0.25">
      <c r="A53" s="335"/>
      <c r="B53" s="335"/>
      <c r="C53" s="335"/>
      <c r="D53" s="335"/>
      <c r="E53" s="335"/>
      <c r="F53" s="336"/>
      <c r="G53" s="335"/>
      <c r="H53" s="335"/>
      <c r="I53" s="335"/>
      <c r="J53" s="335"/>
      <c r="K53" s="337"/>
      <c r="L53" s="335"/>
      <c r="M53" s="335"/>
      <c r="N53" s="335"/>
      <c r="O53" s="335"/>
    </row>
    <row r="54" spans="1:17" ht="14.4" customHeight="1" x14ac:dyDescent="0.3">
      <c r="A54" s="239" t="s">
        <v>267</v>
      </c>
      <c r="B54" s="335"/>
      <c r="C54" s="335"/>
      <c r="D54" s="335"/>
      <c r="E54" s="335"/>
      <c r="F54" s="336"/>
      <c r="G54" s="335"/>
      <c r="H54" s="335"/>
      <c r="I54" s="335"/>
      <c r="J54" s="335"/>
      <c r="K54" s="337"/>
      <c r="L54" s="335"/>
      <c r="M54" s="335"/>
      <c r="N54" s="335"/>
      <c r="O54" s="335"/>
    </row>
    <row r="55" spans="1:17" ht="14.4" customHeight="1" x14ac:dyDescent="0.25">
      <c r="A55" s="403" t="s">
        <v>263</v>
      </c>
    </row>
    <row r="56" spans="1:17" ht="14.4" customHeight="1" x14ac:dyDescent="0.25">
      <c r="A56" s="404" t="s">
        <v>264</v>
      </c>
    </row>
    <row r="57" spans="1:17" ht="14.4" customHeight="1" x14ac:dyDescent="0.25">
      <c r="A57" s="403" t="s">
        <v>265</v>
      </c>
    </row>
    <row r="58" spans="1:17" ht="14.4" customHeight="1" x14ac:dyDescent="0.25">
      <c r="A58" s="404" t="s">
        <v>272</v>
      </c>
    </row>
    <row r="59" spans="1:17" ht="14.4" customHeight="1" x14ac:dyDescent="0.25">
      <c r="A59" s="404" t="s">
        <v>273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19" priority="22" stopIfTrue="1" operator="lessThan">
      <formula>1</formula>
    </cfRule>
  </conditionalFormatting>
  <conditionalFormatting sqref="J18:K26">
    <cfRule type="cellIs" dxfId="18" priority="21" stopIfTrue="1" operator="lessThan">
      <formula>0.95</formula>
    </cfRule>
  </conditionalFormatting>
  <conditionalFormatting sqref="N5:O13 N18:O26 N31:O39 N44:O52">
    <cfRule type="cellIs" dxfId="17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6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87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527" t="s">
        <v>102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</row>
    <row r="2" spans="1:13" ht="14.4" customHeight="1" x14ac:dyDescent="0.3">
      <c r="A2" s="351" t="s">
        <v>288</v>
      </c>
      <c r="B2" s="183"/>
      <c r="C2" s="18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40"/>
      <c r="C3" s="34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40"/>
      <c r="C4" s="34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40"/>
      <c r="C5" s="34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40"/>
      <c r="C6" s="34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40"/>
      <c r="C7" s="34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40"/>
      <c r="C8" s="34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40"/>
      <c r="C9" s="34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40"/>
      <c r="C10" s="34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40"/>
      <c r="C11" s="34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40"/>
      <c r="C12" s="34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40"/>
      <c r="C13" s="34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40"/>
      <c r="C14" s="34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40"/>
      <c r="C15" s="34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40"/>
      <c r="C16" s="34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40"/>
      <c r="C17" s="34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40"/>
      <c r="C18" s="34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40"/>
      <c r="C19" s="34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40"/>
      <c r="C20" s="34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40"/>
      <c r="C21" s="34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40"/>
      <c r="C22" s="34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40"/>
      <c r="C23" s="34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40"/>
      <c r="C24" s="34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40"/>
      <c r="C25" s="34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40"/>
      <c r="C26" s="34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40"/>
      <c r="C27" s="34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40"/>
      <c r="C28" s="34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40"/>
      <c r="C29" s="34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40"/>
      <c r="C30" s="34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0"/>
      <c r="B31" s="600" t="s">
        <v>70</v>
      </c>
      <c r="C31" s="601"/>
      <c r="D31" s="601"/>
      <c r="E31" s="602"/>
      <c r="F31" s="152" t="s">
        <v>70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1" t="s">
        <v>54</v>
      </c>
      <c r="B32" s="153" t="s">
        <v>73</v>
      </c>
      <c r="C32" s="154" t="s">
        <v>74</v>
      </c>
      <c r="D32" s="154" t="s">
        <v>75</v>
      </c>
      <c r="E32" s="155" t="s">
        <v>2</v>
      </c>
      <c r="F32" s="156" t="s">
        <v>76</v>
      </c>
      <c r="G32" s="341"/>
      <c r="H32" s="341" t="s">
        <v>103</v>
      </c>
      <c r="I32" s="71"/>
      <c r="J32" s="71"/>
      <c r="K32" s="71"/>
      <c r="L32" s="71"/>
      <c r="M32" s="71"/>
    </row>
    <row r="33" spans="1:13" ht="14.4" customHeight="1" x14ac:dyDescent="0.3">
      <c r="A33" s="157" t="s">
        <v>90</v>
      </c>
      <c r="B33" s="184">
        <v>73</v>
      </c>
      <c r="C33" s="184">
        <v>53</v>
      </c>
      <c r="D33" s="75">
        <f>IF(C33="","",C33-B33)</f>
        <v>-20</v>
      </c>
      <c r="E33" s="76">
        <f>IF(C33="","",C33/B33)</f>
        <v>0.72602739726027399</v>
      </c>
      <c r="F33" s="77">
        <v>3</v>
      </c>
      <c r="G33" s="341">
        <v>0</v>
      </c>
      <c r="H33" s="342">
        <v>1</v>
      </c>
      <c r="I33" s="71"/>
      <c r="J33" s="71"/>
      <c r="K33" s="71"/>
      <c r="L33" s="71"/>
      <c r="M33" s="71"/>
    </row>
    <row r="34" spans="1:13" ht="14.4" customHeight="1" x14ac:dyDescent="0.3">
      <c r="A34" s="158" t="s">
        <v>91</v>
      </c>
      <c r="B34" s="185">
        <v>132</v>
      </c>
      <c r="C34" s="185">
        <v>96</v>
      </c>
      <c r="D34" s="78">
        <f t="shared" ref="D34:D45" si="0">IF(C34="","",C34-B34)</f>
        <v>-36</v>
      </c>
      <c r="E34" s="79">
        <f t="shared" ref="E34:E45" si="1">IF(C34="","",C34/B34)</f>
        <v>0.72727272727272729</v>
      </c>
      <c r="F34" s="80">
        <v>3</v>
      </c>
      <c r="G34" s="341">
        <v>1</v>
      </c>
      <c r="H34" s="342">
        <v>1</v>
      </c>
      <c r="I34" s="71"/>
      <c r="J34" s="71"/>
      <c r="K34" s="71"/>
      <c r="L34" s="71"/>
      <c r="M34" s="71"/>
    </row>
    <row r="35" spans="1:13" ht="14.4" customHeight="1" x14ac:dyDescent="0.3">
      <c r="A35" s="158" t="s">
        <v>92</v>
      </c>
      <c r="B35" s="185">
        <v>282</v>
      </c>
      <c r="C35" s="185">
        <v>159</v>
      </c>
      <c r="D35" s="78">
        <f t="shared" si="0"/>
        <v>-123</v>
      </c>
      <c r="E35" s="79">
        <f t="shared" si="1"/>
        <v>0.56382978723404253</v>
      </c>
      <c r="F35" s="80">
        <v>3</v>
      </c>
      <c r="G35" s="343"/>
      <c r="H35" s="343"/>
      <c r="I35" s="71"/>
      <c r="J35" s="71"/>
      <c r="K35" s="71"/>
      <c r="L35" s="71"/>
      <c r="M35" s="71"/>
    </row>
    <row r="36" spans="1:13" ht="14.4" customHeight="1" x14ac:dyDescent="0.3">
      <c r="A36" s="158" t="s">
        <v>93</v>
      </c>
      <c r="B36" s="185">
        <v>337</v>
      </c>
      <c r="C36" s="185">
        <v>230</v>
      </c>
      <c r="D36" s="78">
        <f t="shared" si="0"/>
        <v>-107</v>
      </c>
      <c r="E36" s="79">
        <f t="shared" si="1"/>
        <v>0.68249258160237392</v>
      </c>
      <c r="F36" s="80">
        <v>38</v>
      </c>
      <c r="G36" s="343"/>
      <c r="H36" s="343"/>
      <c r="I36" s="71"/>
      <c r="J36" s="71"/>
      <c r="K36" s="71"/>
      <c r="L36" s="71"/>
      <c r="M36" s="71"/>
    </row>
    <row r="37" spans="1:13" ht="14.4" customHeight="1" x14ac:dyDescent="0.3">
      <c r="A37" s="158" t="s">
        <v>94</v>
      </c>
      <c r="B37" s="185">
        <v>488</v>
      </c>
      <c r="C37" s="185">
        <v>304</v>
      </c>
      <c r="D37" s="78">
        <f t="shared" si="0"/>
        <v>-184</v>
      </c>
      <c r="E37" s="79">
        <f t="shared" si="1"/>
        <v>0.62295081967213117</v>
      </c>
      <c r="F37" s="80">
        <v>38</v>
      </c>
      <c r="G37" s="343"/>
      <c r="H37" s="343"/>
      <c r="I37" s="71"/>
      <c r="J37" s="71"/>
      <c r="K37" s="71"/>
      <c r="L37" s="71"/>
      <c r="M37" s="71"/>
    </row>
    <row r="38" spans="1:13" ht="14.4" customHeight="1" x14ac:dyDescent="0.3">
      <c r="A38" s="158" t="s">
        <v>95</v>
      </c>
      <c r="B38" s="185">
        <v>546</v>
      </c>
      <c r="C38" s="185">
        <v>325</v>
      </c>
      <c r="D38" s="78">
        <f t="shared" si="0"/>
        <v>-221</v>
      </c>
      <c r="E38" s="79">
        <f t="shared" si="1"/>
        <v>0.59523809523809523</v>
      </c>
      <c r="F38" s="80">
        <v>38</v>
      </c>
      <c r="G38" s="343"/>
      <c r="H38" s="343"/>
      <c r="I38" s="71"/>
      <c r="J38" s="71"/>
      <c r="K38" s="71"/>
      <c r="L38" s="71"/>
      <c r="M38" s="71"/>
    </row>
    <row r="39" spans="1:13" ht="14.4" customHeight="1" x14ac:dyDescent="0.3">
      <c r="A39" s="158" t="s">
        <v>96</v>
      </c>
      <c r="B39" s="185"/>
      <c r="C39" s="185"/>
      <c r="D39" s="78" t="str">
        <f t="shared" si="0"/>
        <v/>
      </c>
      <c r="E39" s="79" t="str">
        <f t="shared" si="1"/>
        <v/>
      </c>
      <c r="F39" s="80"/>
      <c r="G39" s="343"/>
      <c r="H39" s="343"/>
      <c r="I39" s="71"/>
      <c r="J39" s="71"/>
      <c r="K39" s="71"/>
      <c r="L39" s="71"/>
      <c r="M39" s="71"/>
    </row>
    <row r="40" spans="1:13" ht="14.4" customHeight="1" x14ac:dyDescent="0.3">
      <c r="A40" s="158" t="s">
        <v>97</v>
      </c>
      <c r="B40" s="185"/>
      <c r="C40" s="185"/>
      <c r="D40" s="78" t="str">
        <f t="shared" si="0"/>
        <v/>
      </c>
      <c r="E40" s="79" t="str">
        <f t="shared" si="1"/>
        <v/>
      </c>
      <c r="F40" s="80"/>
      <c r="G40" s="343"/>
      <c r="H40" s="343"/>
      <c r="I40" s="71"/>
      <c r="J40" s="71"/>
      <c r="K40" s="71"/>
      <c r="L40" s="71"/>
      <c r="M40" s="71"/>
    </row>
    <row r="41" spans="1:13" ht="14.4" customHeight="1" x14ac:dyDescent="0.3">
      <c r="A41" s="158" t="s">
        <v>98</v>
      </c>
      <c r="B41" s="185"/>
      <c r="C41" s="185"/>
      <c r="D41" s="78" t="str">
        <f t="shared" si="0"/>
        <v/>
      </c>
      <c r="E41" s="79" t="str">
        <f t="shared" si="1"/>
        <v/>
      </c>
      <c r="F41" s="80"/>
      <c r="G41" s="343"/>
      <c r="H41" s="343"/>
      <c r="I41" s="71"/>
      <c r="J41" s="71"/>
      <c r="K41" s="71"/>
      <c r="L41" s="71"/>
      <c r="M41" s="71"/>
    </row>
    <row r="42" spans="1:13" ht="14.4" customHeight="1" x14ac:dyDescent="0.3">
      <c r="A42" s="158" t="s">
        <v>99</v>
      </c>
      <c r="B42" s="185"/>
      <c r="C42" s="185"/>
      <c r="D42" s="78" t="str">
        <f t="shared" si="0"/>
        <v/>
      </c>
      <c r="E42" s="79" t="str">
        <f t="shared" si="1"/>
        <v/>
      </c>
      <c r="F42" s="80"/>
      <c r="G42" s="343"/>
      <c r="H42" s="343"/>
      <c r="I42" s="71"/>
      <c r="J42" s="71"/>
      <c r="K42" s="71"/>
      <c r="L42" s="71"/>
      <c r="M42" s="71"/>
    </row>
    <row r="43" spans="1:13" ht="14.4" customHeight="1" x14ac:dyDescent="0.3">
      <c r="A43" s="158" t="s">
        <v>100</v>
      </c>
      <c r="B43" s="185"/>
      <c r="C43" s="185"/>
      <c r="D43" s="78" t="str">
        <f t="shared" si="0"/>
        <v/>
      </c>
      <c r="E43" s="79" t="str">
        <f t="shared" si="1"/>
        <v/>
      </c>
      <c r="F43" s="80"/>
      <c r="G43" s="343"/>
      <c r="H43" s="343"/>
      <c r="I43" s="71"/>
      <c r="J43" s="71"/>
      <c r="K43" s="71"/>
      <c r="L43" s="71"/>
      <c r="M43" s="71"/>
    </row>
    <row r="44" spans="1:13" ht="14.4" customHeight="1" x14ac:dyDescent="0.3">
      <c r="A44" s="158" t="s">
        <v>101</v>
      </c>
      <c r="B44" s="185"/>
      <c r="C44" s="185"/>
      <c r="D44" s="78" t="str">
        <f t="shared" si="0"/>
        <v/>
      </c>
      <c r="E44" s="79" t="str">
        <f t="shared" si="1"/>
        <v/>
      </c>
      <c r="F44" s="80"/>
      <c r="G44" s="343"/>
      <c r="H44" s="343"/>
      <c r="I44" s="71"/>
      <c r="J44" s="71"/>
      <c r="K44" s="71"/>
      <c r="L44" s="71"/>
      <c r="M44" s="71"/>
    </row>
    <row r="45" spans="1:13" ht="14.4" customHeight="1" thickBot="1" x14ac:dyDescent="0.35">
      <c r="A45" s="159" t="s">
        <v>104</v>
      </c>
      <c r="B45" s="186"/>
      <c r="C45" s="186"/>
      <c r="D45" s="81" t="str">
        <f t="shared" si="0"/>
        <v/>
      </c>
      <c r="E45" s="82" t="str">
        <f t="shared" si="1"/>
        <v/>
      </c>
      <c r="F45" s="83"/>
      <c r="G45" s="343"/>
      <c r="H45" s="34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5" priority="2" operator="greaterThan">
      <formula>1</formula>
    </cfRule>
  </conditionalFormatting>
  <conditionalFormatting sqref="F33:F45">
    <cfRule type="cellIs" dxfId="14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2" bestFit="1" customWidth="1"/>
    <col min="2" max="2" width="11.6640625" style="252" hidden="1" customWidth="1"/>
    <col min="3" max="4" width="11" style="254" customWidth="1"/>
    <col min="5" max="5" width="11" style="255" customWidth="1"/>
    <col min="6" max="16384" width="8.88671875" style="252"/>
  </cols>
  <sheetData>
    <row r="1" spans="1:5" ht="18.600000000000001" thickBot="1" x14ac:dyDescent="0.4">
      <c r="A1" s="496" t="s">
        <v>136</v>
      </c>
      <c r="B1" s="496"/>
      <c r="C1" s="497"/>
      <c r="D1" s="497"/>
      <c r="E1" s="497"/>
    </row>
    <row r="2" spans="1:5" ht="14.4" customHeight="1" thickBot="1" x14ac:dyDescent="0.35">
      <c r="A2" s="351" t="s">
        <v>288</v>
      </c>
      <c r="B2" s="253"/>
    </row>
    <row r="3" spans="1:5" ht="14.4" customHeight="1" thickBot="1" x14ac:dyDescent="0.35">
      <c r="A3" s="256"/>
      <c r="C3" s="257" t="s">
        <v>118</v>
      </c>
      <c r="D3" s="258" t="s">
        <v>81</v>
      </c>
      <c r="E3" s="259" t="s">
        <v>83</v>
      </c>
    </row>
    <row r="4" spans="1:5" ht="14.4" customHeight="1" thickBot="1" x14ac:dyDescent="0.35">
      <c r="A4" s="260" t="str">
        <f>HYPERLINK("#HI!A1","NÁKLADY CELKEM (v tisících Kč)")</f>
        <v>NÁKLADY CELKEM (v tisících Kč)</v>
      </c>
      <c r="B4" s="261"/>
      <c r="C4" s="262">
        <f ca="1">IF(ISERROR(VLOOKUP("Náklady celkem",INDIRECT("HI!$A:$G"),6,0)),0,VLOOKUP("Náklady celkem",INDIRECT("HI!$A:$G"),6,0))</f>
        <v>35755.806387939454</v>
      </c>
      <c r="D4" s="262">
        <f ca="1">IF(ISERROR(VLOOKUP("Náklady celkem",INDIRECT("HI!$A:$G"),5,0)),0,VLOOKUP("Náklady celkem",INDIRECT("HI!$A:$G"),5,0))</f>
        <v>35451.715649999998</v>
      </c>
      <c r="E4" s="263">
        <f ca="1">IF(C4=0,0,D4/C4)</f>
        <v>0.99149534666789041</v>
      </c>
    </row>
    <row r="5" spans="1:5" ht="14.4" customHeight="1" x14ac:dyDescent="0.3">
      <c r="A5" s="264" t="s">
        <v>169</v>
      </c>
      <c r="B5" s="265"/>
      <c r="C5" s="266"/>
      <c r="D5" s="266"/>
      <c r="E5" s="267"/>
    </row>
    <row r="6" spans="1:5" ht="14.4" customHeight="1" x14ac:dyDescent="0.3">
      <c r="A6" s="268" t="s">
        <v>174</v>
      </c>
      <c r="B6" s="269"/>
      <c r="C6" s="270"/>
      <c r="D6" s="270"/>
      <c r="E6" s="267"/>
    </row>
    <row r="7" spans="1:5" ht="14.4" customHeight="1" x14ac:dyDescent="0.3">
      <c r="A7" s="41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69" t="s">
        <v>123</v>
      </c>
      <c r="C7" s="270">
        <f>IF(ISERROR(HI!F5),"",HI!F5)</f>
        <v>5921.0361562500002</v>
      </c>
      <c r="D7" s="270">
        <f>IF(ISERROR(HI!E5),"",HI!E5)</f>
        <v>6587.9047500000006</v>
      </c>
      <c r="E7" s="267">
        <f t="shared" ref="E7:E13" si="0">IF(C7=0,0,D7/C7)</f>
        <v>1.1126270092179866</v>
      </c>
    </row>
    <row r="8" spans="1:5" ht="14.4" customHeight="1" x14ac:dyDescent="0.3">
      <c r="A8" s="419" t="str">
        <f>HYPERLINK("#'LŽ PL'!A1","Plnění pozitivního listu (min. 90%)")</f>
        <v>Plnění pozitivního listu (min. 90%)</v>
      </c>
      <c r="B8" s="269" t="s">
        <v>167</v>
      </c>
      <c r="C8" s="271">
        <v>0.9</v>
      </c>
      <c r="D8" s="271">
        <f>IF(ISERROR(VLOOKUP("celkem",'LŽ PL'!$A:$F,5,0)),0,VLOOKUP("celkem",'LŽ PL'!$A:$F,5,0))</f>
        <v>0.98474392324636861</v>
      </c>
      <c r="E8" s="267">
        <f t="shared" si="0"/>
        <v>1.0941599147181873</v>
      </c>
    </row>
    <row r="9" spans="1:5" ht="14.4" customHeight="1" x14ac:dyDescent="0.3">
      <c r="A9" s="419" t="str">
        <f>HYPERLINK("#'LŽ Statim'!A1","Podíl statimových žádanek (max. 30%)")</f>
        <v>Podíl statimových žádanek (max. 30%)</v>
      </c>
      <c r="B9" s="417" t="s">
        <v>236</v>
      </c>
      <c r="C9" s="418">
        <v>0.3</v>
      </c>
      <c r="D9" s="418">
        <f>IF('LŽ Statim'!G3="",0,'LŽ Statim'!G3)</f>
        <v>0.18541601745091929</v>
      </c>
      <c r="E9" s="267">
        <f>IF(C9=0,0,D9/C9)</f>
        <v>0.61805339150306438</v>
      </c>
    </row>
    <row r="10" spans="1:5" ht="14.4" customHeight="1" x14ac:dyDescent="0.3">
      <c r="A10" s="272" t="s">
        <v>170</v>
      </c>
      <c r="B10" s="269"/>
      <c r="C10" s="270"/>
      <c r="D10" s="270"/>
      <c r="E10" s="267"/>
    </row>
    <row r="11" spans="1:5" ht="14.4" customHeight="1" x14ac:dyDescent="0.3">
      <c r="A11" s="272" t="s">
        <v>171</v>
      </c>
      <c r="B11" s="269"/>
      <c r="C11" s="270"/>
      <c r="D11" s="270"/>
      <c r="E11" s="267"/>
    </row>
    <row r="12" spans="1:5" ht="14.4" customHeight="1" x14ac:dyDescent="0.3">
      <c r="A12" s="273" t="s">
        <v>175</v>
      </c>
      <c r="B12" s="269"/>
      <c r="C12" s="266"/>
      <c r="D12" s="266"/>
      <c r="E12" s="267"/>
    </row>
    <row r="13" spans="1:5" ht="14.4" customHeight="1" x14ac:dyDescent="0.3">
      <c r="A13" s="2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69" t="s">
        <v>123</v>
      </c>
      <c r="C13" s="270">
        <f>IF(ISERROR(HI!F6),"",HI!F6)</f>
        <v>2348.8649936523439</v>
      </c>
      <c r="D13" s="270">
        <f>IF(ISERROR(HI!E6),"",HI!E6)</f>
        <v>2355.9636800000003</v>
      </c>
      <c r="E13" s="267">
        <f t="shared" si="0"/>
        <v>1.003022177250221</v>
      </c>
    </row>
    <row r="14" spans="1:5" ht="14.4" customHeight="1" thickBot="1" x14ac:dyDescent="0.35">
      <c r="A14" s="275" t="str">
        <f>HYPERLINK("#HI!A1","Osobní náklady")</f>
        <v>Osobní náklady</v>
      </c>
      <c r="B14" s="269"/>
      <c r="C14" s="266">
        <f ca="1">IF(ISERROR(VLOOKUP("Osobní náklady (Kč) *",INDIRECT("HI!$A:$G"),6,0)),0,VLOOKUP("Osobní náklady (Kč) *",INDIRECT("HI!$A:$G"),6,0))</f>
        <v>21965.5</v>
      </c>
      <c r="D14" s="266">
        <f ca="1">IF(ISERROR(VLOOKUP("Osobní náklady (Kč) *",INDIRECT("HI!$A:$G"),5,0)),0,VLOOKUP("Osobní náklady (Kč) *",INDIRECT("HI!$A:$G"),5,0))</f>
        <v>22134.033520000001</v>
      </c>
      <c r="E14" s="267">
        <f ca="1">IF(C14=0,0,D14/C14)</f>
        <v>1.0076726466504291</v>
      </c>
    </row>
    <row r="15" spans="1:5" ht="14.4" customHeight="1" thickBot="1" x14ac:dyDescent="0.35">
      <c r="A15" s="279"/>
      <c r="B15" s="280"/>
      <c r="C15" s="281"/>
      <c r="D15" s="281"/>
      <c r="E15" s="282"/>
    </row>
    <row r="16" spans="1:5" ht="14.4" customHeight="1" thickBot="1" x14ac:dyDescent="0.35">
      <c r="A16" s="283" t="str">
        <f>HYPERLINK("#HI!A1","VÝNOSY CELKEM (v tisících)")</f>
        <v>VÝNOSY CELKEM (v tisících)</v>
      </c>
      <c r="B16" s="284"/>
      <c r="C16" s="285">
        <f ca="1">IF(ISERROR(VLOOKUP("Výnosy celkem",INDIRECT("HI!$A:$G"),6,0)),0,VLOOKUP("Výnosy celkem",INDIRECT("HI!$A:$G"),6,0))</f>
        <v>8399.16</v>
      </c>
      <c r="D16" s="285">
        <f ca="1">IF(ISERROR(VLOOKUP("Výnosy celkem",INDIRECT("HI!$A:$G"),5,0)),0,VLOOKUP("Výnosy celkem",INDIRECT("HI!$A:$G"),5,0))</f>
        <v>8027.88</v>
      </c>
      <c r="E16" s="286">
        <f t="shared" ref="E16:E26" ca="1" si="1">IF(C16=0,0,D16/C16)</f>
        <v>0.9557955795579558</v>
      </c>
    </row>
    <row r="17" spans="1:5" ht="14.4" customHeight="1" x14ac:dyDescent="0.3">
      <c r="A17" s="287" t="str">
        <f>HYPERLINK("#HI!A1","Ambulance (body za výkony + Kč za ZUM a ZULP)")</f>
        <v>Ambulance (body za výkony + Kč za ZUM a ZULP)</v>
      </c>
      <c r="B17" s="265"/>
      <c r="C17" s="266">
        <f ca="1">IF(ISERROR(VLOOKUP("Ambulance *",INDIRECT("HI!$A:$G"),6,0)),0,VLOOKUP("Ambulance *",INDIRECT("HI!$A:$G"),6,0))</f>
        <v>0</v>
      </c>
      <c r="D17" s="266">
        <f ca="1">IF(ISERROR(VLOOKUP("Ambulance *",INDIRECT("HI!$A:$G"),5,0)),0,VLOOKUP("Ambulance *",INDIRECT("HI!$A:$G"),5,0))</f>
        <v>0</v>
      </c>
      <c r="E17" s="267">
        <f t="shared" ca="1" si="1"/>
        <v>0</v>
      </c>
    </row>
    <row r="18" spans="1:5" ht="14.4" customHeight="1" x14ac:dyDescent="0.3">
      <c r="A18" s="288" t="str">
        <f>HYPERLINK("#'ZV Vykáz.-H'!A1","Zdravotní výkony vykázané u hospitalizovaných pacientů (max. 85 %)")</f>
        <v>Zdravotní výkony vykázané u hospitalizovaných pacientů (max. 85 %)</v>
      </c>
      <c r="B18" s="446" t="s">
        <v>138</v>
      </c>
      <c r="C18" s="271">
        <v>0.85</v>
      </c>
      <c r="D18" s="271">
        <f>IF(ISERROR(VLOOKUP("Celkem:",'ZV Vykáz.-H'!$A:$S,7,0)),"",VLOOKUP("Celkem:",'ZV Vykáz.-H'!$A:$S,7,0))</f>
        <v>1.0798601919776398</v>
      </c>
      <c r="E18" s="267">
        <f t="shared" si="1"/>
        <v>1.2704237552678117</v>
      </c>
    </row>
    <row r="19" spans="1:5" ht="14.4" customHeight="1" x14ac:dyDescent="0.3">
      <c r="A19" s="289" t="str">
        <f>HYPERLINK("#HI!A1","Hospitalizace (casemix * 30000)")</f>
        <v>Hospitalizace (casemix * 30000)</v>
      </c>
      <c r="B19" s="269"/>
      <c r="C19" s="266">
        <f ca="1">IF(ISERROR(VLOOKUP("Hospitalizace *",INDIRECT("HI!$A:$G"),6,0)),0,VLOOKUP("Hospitalizace *",INDIRECT("HI!$A:$G"),6,0))</f>
        <v>8399.16</v>
      </c>
      <c r="D19" s="266">
        <f ca="1">IF(ISERROR(VLOOKUP("Hospitalizace *",INDIRECT("HI!$A:$G"),5,0)),0,VLOOKUP("Hospitalizace *",INDIRECT("HI!$A:$G"),5,0))</f>
        <v>8027.88</v>
      </c>
      <c r="E19" s="267">
        <f ca="1">IF(C19=0,0,D19/C19)</f>
        <v>0.9557955795579558</v>
      </c>
    </row>
    <row r="20" spans="1:5" ht="14.4" customHeight="1" x14ac:dyDescent="0.3">
      <c r="A20" s="445" t="str">
        <f>HYPERLINK("#'CaseMix'!A1","Casemix (min. 100 % 2016)")</f>
        <v>Casemix (min. 100 % 2016)</v>
      </c>
      <c r="B20" s="269" t="s">
        <v>58</v>
      </c>
      <c r="C20" s="271">
        <v>1</v>
      </c>
      <c r="D20" s="271">
        <f>IF(ISERROR(VLOOKUP("Celkem",CaseMix!A:O,6,0)),0,VLOOKUP("Celkem",CaseMix!A:O,6,0))</f>
        <v>0.95579557955795591</v>
      </c>
      <c r="E20" s="267">
        <f t="shared" si="1"/>
        <v>0.95579557955795591</v>
      </c>
    </row>
    <row r="21" spans="1:5" ht="14.4" customHeight="1" x14ac:dyDescent="0.3">
      <c r="A21" s="444" t="str">
        <f>HYPERLINK("#'CaseMix'!A1","DRG - Úhrada formou případového paušálu")</f>
        <v>DRG - Úhrada formou případového paušálu</v>
      </c>
      <c r="B21" s="269" t="s">
        <v>58</v>
      </c>
      <c r="C21" s="271">
        <v>1</v>
      </c>
      <c r="D21" s="271">
        <f>IF(ISERROR(CaseMix!F26),"",CaseMix!F26)</f>
        <v>0.93893317903218898</v>
      </c>
      <c r="E21" s="267">
        <f t="shared" si="1"/>
        <v>0.93893317903218898</v>
      </c>
    </row>
    <row r="22" spans="1:5" ht="14.4" customHeight="1" x14ac:dyDescent="0.3">
      <c r="A22" s="444" t="str">
        <f>HYPERLINK("#'CaseMix'!A1","DRG - Individuálně smluvně sjednaná složka úhrady")</f>
        <v>DRG - Individuálně smluvně sjednaná složka úhrady</v>
      </c>
      <c r="B22" s="269" t="s">
        <v>58</v>
      </c>
      <c r="C22" s="271">
        <v>1</v>
      </c>
      <c r="D22" s="271">
        <f>IF(ISERROR(CaseMix!F39),"",CaseMix!F39)</f>
        <v>0</v>
      </c>
      <c r="E22" s="267">
        <f t="shared" si="1"/>
        <v>0</v>
      </c>
    </row>
    <row r="23" spans="1:5" ht="14.4" customHeight="1" x14ac:dyDescent="0.3">
      <c r="A23" s="443" t="str">
        <f>HYPERLINK("#'CaseMix'!A1","DRG - Úhrada vyčleněná z úhrady formou případového paušálu")</f>
        <v>DRG - Úhrada vyčleněná z úhrady formou případového paušálu</v>
      </c>
      <c r="B23" s="269" t="s">
        <v>58</v>
      </c>
      <c r="C23" s="271">
        <v>1</v>
      </c>
      <c r="D23" s="271">
        <f>IF(ISERROR(CaseMix!F52),"",CaseMix!F52)</f>
        <v>0</v>
      </c>
      <c r="E23" s="267">
        <f t="shared" ref="E23" si="2">IF(C23=0,0,D23/C23)</f>
        <v>0</v>
      </c>
    </row>
    <row r="24" spans="1:5" ht="14.4" customHeight="1" x14ac:dyDescent="0.3">
      <c r="A24" s="288" t="str">
        <f>HYPERLINK("#'CaseMix'!A1","Počet hospitalizací ukončených na pracovišti (min. 95 %)")</f>
        <v>Počet hospitalizací ukončených na pracovišti (min. 95 %)</v>
      </c>
      <c r="B24" s="269" t="s">
        <v>58</v>
      </c>
      <c r="C24" s="271">
        <v>0.95</v>
      </c>
      <c r="D24" s="271">
        <f>IF(ISERROR(CaseMix!K13),"",CaseMix!K13)</f>
        <v>0.85</v>
      </c>
      <c r="E24" s="267">
        <f t="shared" si="1"/>
        <v>0.89473684210526316</v>
      </c>
    </row>
    <row r="25" spans="1:5" ht="14.4" customHeight="1" x14ac:dyDescent="0.3">
      <c r="A25" s="288" t="str">
        <f>HYPERLINK("#'ALOS'!A1","Průměrná délka hospitalizace (max. 100 % republikového průměru)")</f>
        <v>Průměrná délka hospitalizace (max. 100 % republikového průměru)</v>
      </c>
      <c r="B25" s="269" t="s">
        <v>73</v>
      </c>
      <c r="C25" s="271">
        <v>1</v>
      </c>
      <c r="D25" s="290">
        <f>IF(ISERROR(INDEX(ALOS!$E:$E,COUNT(ALOS!$E:$E)+32)),0,INDEX(ALOS!$E:$E,COUNT(ALOS!$E:$E)+32))</f>
        <v>0.59523809523809523</v>
      </c>
      <c r="E25" s="267">
        <f t="shared" si="1"/>
        <v>0.59523809523809523</v>
      </c>
    </row>
    <row r="26" spans="1:5" ht="27.6" x14ac:dyDescent="0.3">
      <c r="A26" s="29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6" s="269" t="s">
        <v>135</v>
      </c>
      <c r="C26" s="271">
        <f>IF(E20&gt;1,95%,95%-2*ABS(C20-D20))</f>
        <v>0.86159115911591178</v>
      </c>
      <c r="D26" s="271">
        <f>IF(ISERROR(VLOOKUP("Celkem:",'ZV Vyžád.'!$A:$M,7,0)),"",VLOOKUP("Celkem:",'ZV Vyžád.'!$A:$M,7,0))</f>
        <v>0.93801106008644319</v>
      </c>
      <c r="E26" s="267">
        <f t="shared" si="1"/>
        <v>1.0886962455011107</v>
      </c>
    </row>
    <row r="27" spans="1:5" ht="14.4" customHeight="1" thickBot="1" x14ac:dyDescent="0.35">
      <c r="A27" s="292" t="s">
        <v>172</v>
      </c>
      <c r="B27" s="276"/>
      <c r="C27" s="277"/>
      <c r="D27" s="277"/>
      <c r="E27" s="278"/>
    </row>
    <row r="28" spans="1:5" ht="14.4" customHeight="1" thickBot="1" x14ac:dyDescent="0.35">
      <c r="A28" s="293"/>
      <c r="B28" s="294"/>
      <c r="C28" s="295"/>
      <c r="D28" s="295"/>
      <c r="E28" s="296"/>
    </row>
    <row r="29" spans="1:5" ht="14.4" customHeight="1" thickBot="1" x14ac:dyDescent="0.35">
      <c r="A29" s="297" t="s">
        <v>173</v>
      </c>
      <c r="B29" s="298"/>
      <c r="C29" s="299"/>
      <c r="D29" s="299"/>
      <c r="E29" s="300"/>
    </row>
  </sheetData>
  <mergeCells count="1">
    <mergeCell ref="A1:E1"/>
  </mergeCells>
  <conditionalFormatting sqref="E5">
    <cfRule type="cellIs" dxfId="8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9">
    <cfRule type="cellIs" dxfId="7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0:E22 E16 E8 E24">
    <cfRule type="cellIs" dxfId="74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7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3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3">
    <cfRule type="cellIs" dxfId="72" priority="5" operator="lessThan">
      <formula>1</formula>
    </cfRule>
  </conditionalFormatting>
  <conditionalFormatting sqref="E25:E26 E4 E7 E13 E18">
    <cfRule type="cellIs" dxfId="71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69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87" customWidth="1"/>
    <col min="2" max="2" width="6.5546875" style="197" hidden="1" customWidth="1" outlineLevel="1"/>
    <col min="3" max="3" width="5.88671875" style="197" hidden="1" customWidth="1" outlineLevel="1"/>
    <col min="4" max="4" width="7.6640625" style="197" hidden="1" customWidth="1" outlineLevel="1"/>
    <col min="5" max="5" width="6.5546875" style="90" customWidth="1" collapsed="1"/>
    <col min="6" max="6" width="5.88671875" style="90" customWidth="1"/>
    <col min="7" max="7" width="7.6640625" style="90" customWidth="1"/>
    <col min="8" max="8" width="6.5546875" style="90" customWidth="1"/>
    <col min="9" max="9" width="5.88671875" style="90" customWidth="1"/>
    <col min="10" max="10" width="7.6640625" style="90" customWidth="1"/>
    <col min="11" max="11" width="9.109375" style="90" customWidth="1"/>
    <col min="12" max="12" width="3.88671875" style="90" customWidth="1"/>
    <col min="13" max="13" width="4.33203125" style="90" customWidth="1"/>
    <col min="14" max="14" width="5.44140625" style="90" customWidth="1"/>
    <col min="15" max="15" width="4" style="90" customWidth="1"/>
    <col min="16" max="16" width="55.5546875" style="84" customWidth="1"/>
    <col min="17" max="17" width="7.77734375" style="88" hidden="1" customWidth="1" outlineLevel="1"/>
    <col min="18" max="18" width="5.88671875" style="88" hidden="1" customWidth="1" outlineLevel="1"/>
    <col min="19" max="19" width="7.77734375" style="88" customWidth="1" collapsed="1"/>
    <col min="20" max="20" width="6" style="88" customWidth="1"/>
    <col min="21" max="22" width="9.6640625" style="197" customWidth="1"/>
    <col min="23" max="23" width="7.6640625" style="197" customWidth="1"/>
    <col min="24" max="24" width="6.109375" style="91" customWidth="1"/>
    <col min="25" max="25" width="17.109375" style="89" bestFit="1" customWidth="1"/>
    <col min="26" max="16384" width="8.88671875" style="84"/>
  </cols>
  <sheetData>
    <row r="1" spans="1:25" s="294" customFormat="1" ht="18.600000000000001" customHeight="1" thickBot="1" x14ac:dyDescent="0.4">
      <c r="A1" s="554" t="s">
        <v>3271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</row>
    <row r="2" spans="1:25" ht="14.4" customHeight="1" thickBot="1" x14ac:dyDescent="0.35">
      <c r="A2" s="351" t="s">
        <v>288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4"/>
      <c r="Q2" s="344"/>
      <c r="R2" s="344"/>
      <c r="S2" s="344"/>
      <c r="T2" s="344"/>
      <c r="U2" s="345"/>
      <c r="V2" s="345"/>
      <c r="W2" s="345"/>
      <c r="X2" s="344"/>
      <c r="Y2" s="346"/>
    </row>
    <row r="3" spans="1:25" s="85" customFormat="1" ht="14.4" customHeight="1" x14ac:dyDescent="0.3">
      <c r="A3" s="611" t="s">
        <v>62</v>
      </c>
      <c r="B3" s="613">
        <v>2015</v>
      </c>
      <c r="C3" s="614"/>
      <c r="D3" s="615"/>
      <c r="E3" s="613">
        <v>2016</v>
      </c>
      <c r="F3" s="614"/>
      <c r="G3" s="615"/>
      <c r="H3" s="613">
        <v>2017</v>
      </c>
      <c r="I3" s="614"/>
      <c r="J3" s="615"/>
      <c r="K3" s="616" t="s">
        <v>63</v>
      </c>
      <c r="L3" s="605" t="s">
        <v>64</v>
      </c>
      <c r="M3" s="605" t="s">
        <v>65</v>
      </c>
      <c r="N3" s="605" t="s">
        <v>66</v>
      </c>
      <c r="O3" s="245" t="s">
        <v>67</v>
      </c>
      <c r="P3" s="607" t="s">
        <v>68</v>
      </c>
      <c r="Q3" s="609" t="s">
        <v>286</v>
      </c>
      <c r="R3" s="610"/>
      <c r="S3" s="609" t="s">
        <v>69</v>
      </c>
      <c r="T3" s="610"/>
      <c r="U3" s="603" t="s">
        <v>70</v>
      </c>
      <c r="V3" s="604"/>
      <c r="W3" s="604"/>
      <c r="X3" s="604"/>
      <c r="Y3" s="198" t="s">
        <v>70</v>
      </c>
    </row>
    <row r="4" spans="1:25" s="86" customFormat="1" ht="14.4" customHeight="1" thickBot="1" x14ac:dyDescent="0.35">
      <c r="A4" s="612"/>
      <c r="B4" s="461" t="s">
        <v>71</v>
      </c>
      <c r="C4" s="459" t="s">
        <v>59</v>
      </c>
      <c r="D4" s="462" t="s">
        <v>72</v>
      </c>
      <c r="E4" s="461" t="s">
        <v>71</v>
      </c>
      <c r="F4" s="459" t="s">
        <v>59</v>
      </c>
      <c r="G4" s="462" t="s">
        <v>72</v>
      </c>
      <c r="H4" s="461" t="s">
        <v>71</v>
      </c>
      <c r="I4" s="459" t="s">
        <v>59</v>
      </c>
      <c r="J4" s="462" t="s">
        <v>72</v>
      </c>
      <c r="K4" s="617"/>
      <c r="L4" s="606"/>
      <c r="M4" s="606"/>
      <c r="N4" s="606"/>
      <c r="O4" s="463"/>
      <c r="P4" s="608"/>
      <c r="Q4" s="464" t="s">
        <v>60</v>
      </c>
      <c r="R4" s="465" t="s">
        <v>59</v>
      </c>
      <c r="S4" s="464" t="s">
        <v>60</v>
      </c>
      <c r="T4" s="465" t="s">
        <v>59</v>
      </c>
      <c r="U4" s="466" t="s">
        <v>73</v>
      </c>
      <c r="V4" s="460" t="s">
        <v>74</v>
      </c>
      <c r="W4" s="460" t="s">
        <v>75</v>
      </c>
      <c r="X4" s="467" t="s">
        <v>2</v>
      </c>
      <c r="Y4" s="468" t="s">
        <v>76</v>
      </c>
    </row>
    <row r="5" spans="1:25" s="469" customFormat="1" ht="14.4" customHeight="1" x14ac:dyDescent="0.3">
      <c r="A5" s="780" t="s">
        <v>3143</v>
      </c>
      <c r="B5" s="367">
        <v>1</v>
      </c>
      <c r="C5" s="781">
        <v>7.77</v>
      </c>
      <c r="D5" s="782">
        <v>21</v>
      </c>
      <c r="E5" s="783">
        <v>3</v>
      </c>
      <c r="F5" s="784">
        <v>27.42</v>
      </c>
      <c r="G5" s="785">
        <v>10.3</v>
      </c>
      <c r="H5" s="786"/>
      <c r="I5" s="787"/>
      <c r="J5" s="788"/>
      <c r="K5" s="789">
        <v>7.77</v>
      </c>
      <c r="L5" s="786">
        <v>5</v>
      </c>
      <c r="M5" s="786">
        <v>45</v>
      </c>
      <c r="N5" s="790">
        <v>15</v>
      </c>
      <c r="O5" s="786" t="s">
        <v>3144</v>
      </c>
      <c r="P5" s="791" t="s">
        <v>3145</v>
      </c>
      <c r="Q5" s="792">
        <f>H5-B5</f>
        <v>-1</v>
      </c>
      <c r="R5" s="805">
        <f>I5-C5</f>
        <v>-7.77</v>
      </c>
      <c r="S5" s="792">
        <f>H5-E5</f>
        <v>-3</v>
      </c>
      <c r="T5" s="805">
        <f>I5-F5</f>
        <v>-27.42</v>
      </c>
      <c r="U5" s="815" t="s">
        <v>486</v>
      </c>
      <c r="V5" s="367" t="s">
        <v>486</v>
      </c>
      <c r="W5" s="367" t="s">
        <v>486</v>
      </c>
      <c r="X5" s="816" t="s">
        <v>486</v>
      </c>
      <c r="Y5" s="817"/>
    </row>
    <row r="6" spans="1:25" ht="14.4" customHeight="1" x14ac:dyDescent="0.3">
      <c r="A6" s="778" t="s">
        <v>3146</v>
      </c>
      <c r="B6" s="760">
        <v>1</v>
      </c>
      <c r="C6" s="761">
        <v>37.18</v>
      </c>
      <c r="D6" s="762">
        <v>64</v>
      </c>
      <c r="E6" s="744">
        <v>2</v>
      </c>
      <c r="F6" s="745">
        <v>70.12</v>
      </c>
      <c r="G6" s="746">
        <v>50</v>
      </c>
      <c r="H6" s="747"/>
      <c r="I6" s="748"/>
      <c r="J6" s="749"/>
      <c r="K6" s="750">
        <v>33.15</v>
      </c>
      <c r="L6" s="747">
        <v>22</v>
      </c>
      <c r="M6" s="747">
        <v>135</v>
      </c>
      <c r="N6" s="751">
        <v>45</v>
      </c>
      <c r="O6" s="747" t="s">
        <v>3144</v>
      </c>
      <c r="P6" s="763" t="s">
        <v>3147</v>
      </c>
      <c r="Q6" s="752">
        <f t="shared" ref="Q6:R69" si="0">H6-B6</f>
        <v>-1</v>
      </c>
      <c r="R6" s="806">
        <f t="shared" si="0"/>
        <v>-37.18</v>
      </c>
      <c r="S6" s="752">
        <f t="shared" ref="S6:S69" si="1">H6-E6</f>
        <v>-2</v>
      </c>
      <c r="T6" s="806">
        <f t="shared" ref="T6:T69" si="2">I6-F6</f>
        <v>-70.12</v>
      </c>
      <c r="U6" s="813" t="s">
        <v>486</v>
      </c>
      <c r="V6" s="760" t="s">
        <v>486</v>
      </c>
      <c r="W6" s="760" t="s">
        <v>486</v>
      </c>
      <c r="X6" s="811" t="s">
        <v>486</v>
      </c>
      <c r="Y6" s="809"/>
    </row>
    <row r="7" spans="1:25" ht="14.4" customHeight="1" x14ac:dyDescent="0.3">
      <c r="A7" s="778" t="s">
        <v>3148</v>
      </c>
      <c r="B7" s="753"/>
      <c r="C7" s="754"/>
      <c r="D7" s="755"/>
      <c r="E7" s="764"/>
      <c r="F7" s="748"/>
      <c r="G7" s="749"/>
      <c r="H7" s="747">
        <v>1</v>
      </c>
      <c r="I7" s="748">
        <v>20.05</v>
      </c>
      <c r="J7" s="749">
        <v>24</v>
      </c>
      <c r="K7" s="750">
        <v>20.05</v>
      </c>
      <c r="L7" s="747">
        <v>11</v>
      </c>
      <c r="M7" s="747">
        <v>90</v>
      </c>
      <c r="N7" s="751">
        <v>30</v>
      </c>
      <c r="O7" s="747" t="s">
        <v>3144</v>
      </c>
      <c r="P7" s="763" t="s">
        <v>3149</v>
      </c>
      <c r="Q7" s="752">
        <f t="shared" si="0"/>
        <v>1</v>
      </c>
      <c r="R7" s="806">
        <f t="shared" si="0"/>
        <v>20.05</v>
      </c>
      <c r="S7" s="752">
        <f t="shared" si="1"/>
        <v>1</v>
      </c>
      <c r="T7" s="806">
        <f t="shared" si="2"/>
        <v>20.05</v>
      </c>
      <c r="U7" s="813">
        <v>30</v>
      </c>
      <c r="V7" s="760">
        <v>24</v>
      </c>
      <c r="W7" s="760">
        <v>-6</v>
      </c>
      <c r="X7" s="811">
        <v>0.8</v>
      </c>
      <c r="Y7" s="809"/>
    </row>
    <row r="8" spans="1:25" ht="14.4" customHeight="1" x14ac:dyDescent="0.3">
      <c r="A8" s="779" t="s">
        <v>3150</v>
      </c>
      <c r="B8" s="766">
        <v>4</v>
      </c>
      <c r="C8" s="767">
        <v>81.36</v>
      </c>
      <c r="D8" s="756">
        <v>30.3</v>
      </c>
      <c r="E8" s="768"/>
      <c r="F8" s="769"/>
      <c r="G8" s="757"/>
      <c r="H8" s="770">
        <v>2</v>
      </c>
      <c r="I8" s="769">
        <v>40.68</v>
      </c>
      <c r="J8" s="757">
        <v>17</v>
      </c>
      <c r="K8" s="771">
        <v>20.34</v>
      </c>
      <c r="L8" s="770">
        <v>11</v>
      </c>
      <c r="M8" s="770">
        <v>87</v>
      </c>
      <c r="N8" s="772">
        <v>29</v>
      </c>
      <c r="O8" s="770" t="s">
        <v>3144</v>
      </c>
      <c r="P8" s="773" t="s">
        <v>3149</v>
      </c>
      <c r="Q8" s="774">
        <f t="shared" si="0"/>
        <v>-2</v>
      </c>
      <c r="R8" s="807">
        <f t="shared" si="0"/>
        <v>-40.68</v>
      </c>
      <c r="S8" s="774">
        <f t="shared" si="1"/>
        <v>2</v>
      </c>
      <c r="T8" s="807">
        <f t="shared" si="2"/>
        <v>40.68</v>
      </c>
      <c r="U8" s="814">
        <v>58</v>
      </c>
      <c r="V8" s="471">
        <v>34</v>
      </c>
      <c r="W8" s="471">
        <v>-24</v>
      </c>
      <c r="X8" s="812">
        <v>0.58620689655172409</v>
      </c>
      <c r="Y8" s="810"/>
    </row>
    <row r="9" spans="1:25" ht="14.4" customHeight="1" x14ac:dyDescent="0.3">
      <c r="A9" s="778" t="s">
        <v>3151</v>
      </c>
      <c r="B9" s="760"/>
      <c r="C9" s="761"/>
      <c r="D9" s="762"/>
      <c r="E9" s="744"/>
      <c r="F9" s="745"/>
      <c r="G9" s="746"/>
      <c r="H9" s="747">
        <v>1</v>
      </c>
      <c r="I9" s="748">
        <v>12.38</v>
      </c>
      <c r="J9" s="749">
        <v>12</v>
      </c>
      <c r="K9" s="750">
        <v>12.38</v>
      </c>
      <c r="L9" s="747">
        <v>5</v>
      </c>
      <c r="M9" s="747">
        <v>60</v>
      </c>
      <c r="N9" s="751">
        <v>20</v>
      </c>
      <c r="O9" s="747" t="s">
        <v>3144</v>
      </c>
      <c r="P9" s="763" t="s">
        <v>3152</v>
      </c>
      <c r="Q9" s="752">
        <f t="shared" si="0"/>
        <v>1</v>
      </c>
      <c r="R9" s="806">
        <f t="shared" si="0"/>
        <v>12.38</v>
      </c>
      <c r="S9" s="752">
        <f t="shared" si="1"/>
        <v>1</v>
      </c>
      <c r="T9" s="806">
        <f t="shared" si="2"/>
        <v>12.38</v>
      </c>
      <c r="U9" s="813">
        <v>20</v>
      </c>
      <c r="V9" s="760">
        <v>12</v>
      </c>
      <c r="W9" s="760">
        <v>-8</v>
      </c>
      <c r="X9" s="811">
        <v>0.6</v>
      </c>
      <c r="Y9" s="809"/>
    </row>
    <row r="10" spans="1:25" ht="14.4" customHeight="1" x14ac:dyDescent="0.3">
      <c r="A10" s="779" t="s">
        <v>3153</v>
      </c>
      <c r="B10" s="471"/>
      <c r="C10" s="775"/>
      <c r="D10" s="765"/>
      <c r="E10" s="776">
        <v>8</v>
      </c>
      <c r="F10" s="777">
        <v>113.9</v>
      </c>
      <c r="G10" s="758">
        <v>26.4</v>
      </c>
      <c r="H10" s="770">
        <v>4</v>
      </c>
      <c r="I10" s="769">
        <v>50.59</v>
      </c>
      <c r="J10" s="757">
        <v>8.5</v>
      </c>
      <c r="K10" s="771">
        <v>12.65</v>
      </c>
      <c r="L10" s="770">
        <v>5</v>
      </c>
      <c r="M10" s="770">
        <v>60</v>
      </c>
      <c r="N10" s="772">
        <v>20</v>
      </c>
      <c r="O10" s="770" t="s">
        <v>3144</v>
      </c>
      <c r="P10" s="773" t="s">
        <v>3152</v>
      </c>
      <c r="Q10" s="774">
        <f t="shared" si="0"/>
        <v>4</v>
      </c>
      <c r="R10" s="807">
        <f t="shared" si="0"/>
        <v>50.59</v>
      </c>
      <c r="S10" s="774">
        <f t="shared" si="1"/>
        <v>-4</v>
      </c>
      <c r="T10" s="807">
        <f t="shared" si="2"/>
        <v>-63.31</v>
      </c>
      <c r="U10" s="814">
        <v>80</v>
      </c>
      <c r="V10" s="471">
        <v>34</v>
      </c>
      <c r="W10" s="471">
        <v>-46</v>
      </c>
      <c r="X10" s="812">
        <v>0.42499999999999999</v>
      </c>
      <c r="Y10" s="810"/>
    </row>
    <row r="11" spans="1:25" ht="14.4" customHeight="1" x14ac:dyDescent="0.3">
      <c r="A11" s="778" t="s">
        <v>3154</v>
      </c>
      <c r="B11" s="760">
        <v>1</v>
      </c>
      <c r="C11" s="761">
        <v>3.57</v>
      </c>
      <c r="D11" s="762">
        <v>3</v>
      </c>
      <c r="E11" s="764"/>
      <c r="F11" s="748"/>
      <c r="G11" s="749"/>
      <c r="H11" s="744"/>
      <c r="I11" s="745"/>
      <c r="J11" s="746"/>
      <c r="K11" s="750">
        <v>4.5999999999999996</v>
      </c>
      <c r="L11" s="747">
        <v>4</v>
      </c>
      <c r="M11" s="747">
        <v>39</v>
      </c>
      <c r="N11" s="751">
        <v>13</v>
      </c>
      <c r="O11" s="747" t="s">
        <v>3144</v>
      </c>
      <c r="P11" s="763" t="s">
        <v>3155</v>
      </c>
      <c r="Q11" s="752">
        <f t="shared" si="0"/>
        <v>-1</v>
      </c>
      <c r="R11" s="806">
        <f t="shared" si="0"/>
        <v>-3.57</v>
      </c>
      <c r="S11" s="752">
        <f t="shared" si="1"/>
        <v>0</v>
      </c>
      <c r="T11" s="806">
        <f t="shared" si="2"/>
        <v>0</v>
      </c>
      <c r="U11" s="813" t="s">
        <v>486</v>
      </c>
      <c r="V11" s="760" t="s">
        <v>486</v>
      </c>
      <c r="W11" s="760" t="s">
        <v>486</v>
      </c>
      <c r="X11" s="811" t="s">
        <v>486</v>
      </c>
      <c r="Y11" s="809"/>
    </row>
    <row r="12" spans="1:25" ht="14.4" customHeight="1" x14ac:dyDescent="0.3">
      <c r="A12" s="779" t="s">
        <v>3156</v>
      </c>
      <c r="B12" s="471"/>
      <c r="C12" s="775"/>
      <c r="D12" s="765"/>
      <c r="E12" s="768"/>
      <c r="F12" s="769"/>
      <c r="G12" s="757"/>
      <c r="H12" s="776">
        <v>1</v>
      </c>
      <c r="I12" s="777">
        <v>5.05</v>
      </c>
      <c r="J12" s="758">
        <v>3</v>
      </c>
      <c r="K12" s="771">
        <v>6.5</v>
      </c>
      <c r="L12" s="770">
        <v>4</v>
      </c>
      <c r="M12" s="770">
        <v>39</v>
      </c>
      <c r="N12" s="772">
        <v>13</v>
      </c>
      <c r="O12" s="770" t="s">
        <v>3144</v>
      </c>
      <c r="P12" s="773" t="s">
        <v>3157</v>
      </c>
      <c r="Q12" s="774">
        <f t="shared" si="0"/>
        <v>1</v>
      </c>
      <c r="R12" s="807">
        <f t="shared" si="0"/>
        <v>5.05</v>
      </c>
      <c r="S12" s="774">
        <f t="shared" si="1"/>
        <v>1</v>
      </c>
      <c r="T12" s="807">
        <f t="shared" si="2"/>
        <v>5.05</v>
      </c>
      <c r="U12" s="814">
        <v>13</v>
      </c>
      <c r="V12" s="471">
        <v>3</v>
      </c>
      <c r="W12" s="471">
        <v>-10</v>
      </c>
      <c r="X12" s="812">
        <v>0.23076923076923078</v>
      </c>
      <c r="Y12" s="810"/>
    </row>
    <row r="13" spans="1:25" ht="14.4" customHeight="1" x14ac:dyDescent="0.3">
      <c r="A13" s="778" t="s">
        <v>3158</v>
      </c>
      <c r="B13" s="753">
        <v>1</v>
      </c>
      <c r="C13" s="754">
        <v>2.0099999999999998</v>
      </c>
      <c r="D13" s="755">
        <v>2</v>
      </c>
      <c r="E13" s="764"/>
      <c r="F13" s="748"/>
      <c r="G13" s="749"/>
      <c r="H13" s="747"/>
      <c r="I13" s="748"/>
      <c r="J13" s="749"/>
      <c r="K13" s="750">
        <v>2.2200000000000002</v>
      </c>
      <c r="L13" s="747">
        <v>3</v>
      </c>
      <c r="M13" s="747">
        <v>30</v>
      </c>
      <c r="N13" s="751">
        <v>10</v>
      </c>
      <c r="O13" s="747" t="s">
        <v>3144</v>
      </c>
      <c r="P13" s="763" t="s">
        <v>3159</v>
      </c>
      <c r="Q13" s="752">
        <f t="shared" si="0"/>
        <v>-1</v>
      </c>
      <c r="R13" s="806">
        <f t="shared" si="0"/>
        <v>-2.0099999999999998</v>
      </c>
      <c r="S13" s="752">
        <f t="shared" si="1"/>
        <v>0</v>
      </c>
      <c r="T13" s="806">
        <f t="shared" si="2"/>
        <v>0</v>
      </c>
      <c r="U13" s="813" t="s">
        <v>486</v>
      </c>
      <c r="V13" s="760" t="s">
        <v>486</v>
      </c>
      <c r="W13" s="760" t="s">
        <v>486</v>
      </c>
      <c r="X13" s="811" t="s">
        <v>486</v>
      </c>
      <c r="Y13" s="809"/>
    </row>
    <row r="14" spans="1:25" ht="14.4" customHeight="1" x14ac:dyDescent="0.3">
      <c r="A14" s="778" t="s">
        <v>3160</v>
      </c>
      <c r="B14" s="760"/>
      <c r="C14" s="761"/>
      <c r="D14" s="762"/>
      <c r="E14" s="744">
        <v>1</v>
      </c>
      <c r="F14" s="745">
        <v>2.2999999999999998</v>
      </c>
      <c r="G14" s="746">
        <v>36</v>
      </c>
      <c r="H14" s="747"/>
      <c r="I14" s="748"/>
      <c r="J14" s="749"/>
      <c r="K14" s="750">
        <v>1.0900000000000001</v>
      </c>
      <c r="L14" s="747">
        <v>3</v>
      </c>
      <c r="M14" s="747">
        <v>27</v>
      </c>
      <c r="N14" s="751">
        <v>9</v>
      </c>
      <c r="O14" s="747" t="s">
        <v>3144</v>
      </c>
      <c r="P14" s="763" t="s">
        <v>3161</v>
      </c>
      <c r="Q14" s="752">
        <f t="shared" si="0"/>
        <v>0</v>
      </c>
      <c r="R14" s="806">
        <f t="shared" si="0"/>
        <v>0</v>
      </c>
      <c r="S14" s="752">
        <f t="shared" si="1"/>
        <v>-1</v>
      </c>
      <c r="T14" s="806">
        <f t="shared" si="2"/>
        <v>-2.2999999999999998</v>
      </c>
      <c r="U14" s="813" t="s">
        <v>486</v>
      </c>
      <c r="V14" s="760" t="s">
        <v>486</v>
      </c>
      <c r="W14" s="760" t="s">
        <v>486</v>
      </c>
      <c r="X14" s="811" t="s">
        <v>486</v>
      </c>
      <c r="Y14" s="809"/>
    </row>
    <row r="15" spans="1:25" ht="14.4" customHeight="1" x14ac:dyDescent="0.3">
      <c r="A15" s="778" t="s">
        <v>3162</v>
      </c>
      <c r="B15" s="760"/>
      <c r="C15" s="761"/>
      <c r="D15" s="762"/>
      <c r="E15" s="764"/>
      <c r="F15" s="748"/>
      <c r="G15" s="749"/>
      <c r="H15" s="744">
        <v>1</v>
      </c>
      <c r="I15" s="745">
        <v>0.51</v>
      </c>
      <c r="J15" s="746">
        <v>2</v>
      </c>
      <c r="K15" s="750">
        <v>0.51</v>
      </c>
      <c r="L15" s="747">
        <v>2</v>
      </c>
      <c r="M15" s="747">
        <v>18</v>
      </c>
      <c r="N15" s="751">
        <v>6</v>
      </c>
      <c r="O15" s="747" t="s">
        <v>3144</v>
      </c>
      <c r="P15" s="763" t="s">
        <v>3163</v>
      </c>
      <c r="Q15" s="752">
        <f t="shared" si="0"/>
        <v>1</v>
      </c>
      <c r="R15" s="806">
        <f t="shared" si="0"/>
        <v>0.51</v>
      </c>
      <c r="S15" s="752">
        <f t="shared" si="1"/>
        <v>1</v>
      </c>
      <c r="T15" s="806">
        <f t="shared" si="2"/>
        <v>0.51</v>
      </c>
      <c r="U15" s="813">
        <v>6</v>
      </c>
      <c r="V15" s="760">
        <v>2</v>
      </c>
      <c r="W15" s="760">
        <v>-4</v>
      </c>
      <c r="X15" s="811">
        <v>0.33333333333333331</v>
      </c>
      <c r="Y15" s="809"/>
    </row>
    <row r="16" spans="1:25" ht="14.4" customHeight="1" x14ac:dyDescent="0.3">
      <c r="A16" s="778" t="s">
        <v>3164</v>
      </c>
      <c r="B16" s="760"/>
      <c r="C16" s="761"/>
      <c r="D16" s="762"/>
      <c r="E16" s="744">
        <v>1</v>
      </c>
      <c r="F16" s="745">
        <v>1.84</v>
      </c>
      <c r="G16" s="746">
        <v>13</v>
      </c>
      <c r="H16" s="747"/>
      <c r="I16" s="748"/>
      <c r="J16" s="749"/>
      <c r="K16" s="750">
        <v>1.67</v>
      </c>
      <c r="L16" s="747">
        <v>3</v>
      </c>
      <c r="M16" s="747">
        <v>27</v>
      </c>
      <c r="N16" s="751">
        <v>9</v>
      </c>
      <c r="O16" s="747" t="s">
        <v>3144</v>
      </c>
      <c r="P16" s="763" t="s">
        <v>3165</v>
      </c>
      <c r="Q16" s="752">
        <f t="shared" si="0"/>
        <v>0</v>
      </c>
      <c r="R16" s="806">
        <f t="shared" si="0"/>
        <v>0</v>
      </c>
      <c r="S16" s="752">
        <f t="shared" si="1"/>
        <v>-1</v>
      </c>
      <c r="T16" s="806">
        <f t="shared" si="2"/>
        <v>-1.84</v>
      </c>
      <c r="U16" s="813" t="s">
        <v>486</v>
      </c>
      <c r="V16" s="760" t="s">
        <v>486</v>
      </c>
      <c r="W16" s="760" t="s">
        <v>486</v>
      </c>
      <c r="X16" s="811" t="s">
        <v>486</v>
      </c>
      <c r="Y16" s="809"/>
    </row>
    <row r="17" spans="1:25" ht="14.4" customHeight="1" x14ac:dyDescent="0.3">
      <c r="A17" s="778" t="s">
        <v>3166</v>
      </c>
      <c r="B17" s="753">
        <v>1</v>
      </c>
      <c r="C17" s="754">
        <v>0.42</v>
      </c>
      <c r="D17" s="755">
        <v>2</v>
      </c>
      <c r="E17" s="764"/>
      <c r="F17" s="748"/>
      <c r="G17" s="749"/>
      <c r="H17" s="747"/>
      <c r="I17" s="748"/>
      <c r="J17" s="749"/>
      <c r="K17" s="750">
        <v>0.42</v>
      </c>
      <c r="L17" s="747">
        <v>1</v>
      </c>
      <c r="M17" s="747">
        <v>5</v>
      </c>
      <c r="N17" s="751">
        <v>2</v>
      </c>
      <c r="O17" s="747" t="s">
        <v>3144</v>
      </c>
      <c r="P17" s="763" t="s">
        <v>3167</v>
      </c>
      <c r="Q17" s="752">
        <f t="shared" si="0"/>
        <v>-1</v>
      </c>
      <c r="R17" s="806">
        <f t="shared" si="0"/>
        <v>-0.42</v>
      </c>
      <c r="S17" s="752">
        <f t="shared" si="1"/>
        <v>0</v>
      </c>
      <c r="T17" s="806">
        <f t="shared" si="2"/>
        <v>0</v>
      </c>
      <c r="U17" s="813" t="s">
        <v>486</v>
      </c>
      <c r="V17" s="760" t="s">
        <v>486</v>
      </c>
      <c r="W17" s="760" t="s">
        <v>486</v>
      </c>
      <c r="X17" s="811" t="s">
        <v>486</v>
      </c>
      <c r="Y17" s="809"/>
    </row>
    <row r="18" spans="1:25" ht="14.4" customHeight="1" x14ac:dyDescent="0.3">
      <c r="A18" s="778" t="s">
        <v>3168</v>
      </c>
      <c r="B18" s="760"/>
      <c r="C18" s="761"/>
      <c r="D18" s="762"/>
      <c r="E18" s="764">
        <v>1</v>
      </c>
      <c r="F18" s="748">
        <v>4.3600000000000003</v>
      </c>
      <c r="G18" s="749">
        <v>3</v>
      </c>
      <c r="H18" s="744">
        <v>2</v>
      </c>
      <c r="I18" s="745">
        <v>7.68</v>
      </c>
      <c r="J18" s="746">
        <v>3</v>
      </c>
      <c r="K18" s="750">
        <v>5.41</v>
      </c>
      <c r="L18" s="747">
        <v>4</v>
      </c>
      <c r="M18" s="747">
        <v>33</v>
      </c>
      <c r="N18" s="751">
        <v>11</v>
      </c>
      <c r="O18" s="747" t="s">
        <v>3144</v>
      </c>
      <c r="P18" s="763" t="s">
        <v>3169</v>
      </c>
      <c r="Q18" s="752">
        <f t="shared" si="0"/>
        <v>2</v>
      </c>
      <c r="R18" s="806">
        <f t="shared" si="0"/>
        <v>7.68</v>
      </c>
      <c r="S18" s="752">
        <f t="shared" si="1"/>
        <v>1</v>
      </c>
      <c r="T18" s="806">
        <f t="shared" si="2"/>
        <v>3.3199999999999994</v>
      </c>
      <c r="U18" s="813">
        <v>22</v>
      </c>
      <c r="V18" s="760">
        <v>6</v>
      </c>
      <c r="W18" s="760">
        <v>-16</v>
      </c>
      <c r="X18" s="811">
        <v>0.27272727272727271</v>
      </c>
      <c r="Y18" s="809"/>
    </row>
    <row r="19" spans="1:25" ht="14.4" customHeight="1" x14ac:dyDescent="0.3">
      <c r="A19" s="779" t="s">
        <v>3170</v>
      </c>
      <c r="B19" s="471">
        <v>1</v>
      </c>
      <c r="C19" s="775">
        <v>7.26</v>
      </c>
      <c r="D19" s="765">
        <v>6</v>
      </c>
      <c r="E19" s="768"/>
      <c r="F19" s="769"/>
      <c r="G19" s="757"/>
      <c r="H19" s="776"/>
      <c r="I19" s="777"/>
      <c r="J19" s="758"/>
      <c r="K19" s="771">
        <v>7.26</v>
      </c>
      <c r="L19" s="770">
        <v>4</v>
      </c>
      <c r="M19" s="770">
        <v>39</v>
      </c>
      <c r="N19" s="772">
        <v>13</v>
      </c>
      <c r="O19" s="770" t="s">
        <v>3144</v>
      </c>
      <c r="P19" s="773" t="s">
        <v>3171</v>
      </c>
      <c r="Q19" s="774">
        <f t="shared" si="0"/>
        <v>-1</v>
      </c>
      <c r="R19" s="807">
        <f t="shared" si="0"/>
        <v>-7.26</v>
      </c>
      <c r="S19" s="774">
        <f t="shared" si="1"/>
        <v>0</v>
      </c>
      <c r="T19" s="807">
        <f t="shared" si="2"/>
        <v>0</v>
      </c>
      <c r="U19" s="814" t="s">
        <v>486</v>
      </c>
      <c r="V19" s="471" t="s">
        <v>486</v>
      </c>
      <c r="W19" s="471" t="s">
        <v>486</v>
      </c>
      <c r="X19" s="812" t="s">
        <v>486</v>
      </c>
      <c r="Y19" s="810"/>
    </row>
    <row r="20" spans="1:25" ht="14.4" customHeight="1" x14ac:dyDescent="0.3">
      <c r="A20" s="779" t="s">
        <v>3172</v>
      </c>
      <c r="B20" s="471"/>
      <c r="C20" s="775"/>
      <c r="D20" s="765"/>
      <c r="E20" s="768">
        <v>2</v>
      </c>
      <c r="F20" s="769">
        <v>14.05</v>
      </c>
      <c r="G20" s="757">
        <v>3.5</v>
      </c>
      <c r="H20" s="776">
        <v>2</v>
      </c>
      <c r="I20" s="777">
        <v>21.59</v>
      </c>
      <c r="J20" s="759">
        <v>30.5</v>
      </c>
      <c r="K20" s="771">
        <v>9.31</v>
      </c>
      <c r="L20" s="770">
        <v>5</v>
      </c>
      <c r="M20" s="770">
        <v>48</v>
      </c>
      <c r="N20" s="772">
        <v>16</v>
      </c>
      <c r="O20" s="770" t="s">
        <v>3144</v>
      </c>
      <c r="P20" s="773" t="s">
        <v>3173</v>
      </c>
      <c r="Q20" s="774">
        <f t="shared" si="0"/>
        <v>2</v>
      </c>
      <c r="R20" s="807">
        <f t="shared" si="0"/>
        <v>21.59</v>
      </c>
      <c r="S20" s="774">
        <f t="shared" si="1"/>
        <v>0</v>
      </c>
      <c r="T20" s="807">
        <f t="shared" si="2"/>
        <v>7.5399999999999991</v>
      </c>
      <c r="U20" s="814">
        <v>32</v>
      </c>
      <c r="V20" s="471">
        <v>61</v>
      </c>
      <c r="W20" s="471">
        <v>29</v>
      </c>
      <c r="X20" s="812">
        <v>1.90625</v>
      </c>
      <c r="Y20" s="810">
        <v>35</v>
      </c>
    </row>
    <row r="21" spans="1:25" ht="14.4" customHeight="1" x14ac:dyDescent="0.3">
      <c r="A21" s="778" t="s">
        <v>3174</v>
      </c>
      <c r="B21" s="753">
        <v>1</v>
      </c>
      <c r="C21" s="754">
        <v>7.22</v>
      </c>
      <c r="D21" s="755">
        <v>40</v>
      </c>
      <c r="E21" s="764">
        <v>1</v>
      </c>
      <c r="F21" s="748">
        <v>1.49</v>
      </c>
      <c r="G21" s="749">
        <v>2</v>
      </c>
      <c r="H21" s="747"/>
      <c r="I21" s="748"/>
      <c r="J21" s="749"/>
      <c r="K21" s="750">
        <v>2.12</v>
      </c>
      <c r="L21" s="747">
        <v>3</v>
      </c>
      <c r="M21" s="747">
        <v>24</v>
      </c>
      <c r="N21" s="751">
        <v>8</v>
      </c>
      <c r="O21" s="747" t="s">
        <v>3144</v>
      </c>
      <c r="P21" s="763" t="s">
        <v>3175</v>
      </c>
      <c r="Q21" s="752">
        <f t="shared" si="0"/>
        <v>-1</v>
      </c>
      <c r="R21" s="806">
        <f t="shared" si="0"/>
        <v>-7.22</v>
      </c>
      <c r="S21" s="752">
        <f t="shared" si="1"/>
        <v>-1</v>
      </c>
      <c r="T21" s="806">
        <f t="shared" si="2"/>
        <v>-1.49</v>
      </c>
      <c r="U21" s="813" t="s">
        <v>486</v>
      </c>
      <c r="V21" s="760" t="s">
        <v>486</v>
      </c>
      <c r="W21" s="760" t="s">
        <v>486</v>
      </c>
      <c r="X21" s="811" t="s">
        <v>486</v>
      </c>
      <c r="Y21" s="809"/>
    </row>
    <row r="22" spans="1:25" ht="14.4" customHeight="1" x14ac:dyDescent="0.3">
      <c r="A22" s="779" t="s">
        <v>3176</v>
      </c>
      <c r="B22" s="766">
        <v>1</v>
      </c>
      <c r="C22" s="767">
        <v>1.58</v>
      </c>
      <c r="D22" s="756">
        <v>2</v>
      </c>
      <c r="E22" s="768">
        <v>1</v>
      </c>
      <c r="F22" s="769">
        <v>2.2200000000000002</v>
      </c>
      <c r="G22" s="757">
        <v>3</v>
      </c>
      <c r="H22" s="770"/>
      <c r="I22" s="769"/>
      <c r="J22" s="757"/>
      <c r="K22" s="771">
        <v>2.86</v>
      </c>
      <c r="L22" s="770">
        <v>4</v>
      </c>
      <c r="M22" s="770">
        <v>36</v>
      </c>
      <c r="N22" s="772">
        <v>12</v>
      </c>
      <c r="O22" s="770" t="s">
        <v>3144</v>
      </c>
      <c r="P22" s="773" t="s">
        <v>3177</v>
      </c>
      <c r="Q22" s="774">
        <f t="shared" si="0"/>
        <v>-1</v>
      </c>
      <c r="R22" s="807">
        <f t="shared" si="0"/>
        <v>-1.58</v>
      </c>
      <c r="S22" s="774">
        <f t="shared" si="1"/>
        <v>-1</v>
      </c>
      <c r="T22" s="807">
        <f t="shared" si="2"/>
        <v>-2.2200000000000002</v>
      </c>
      <c r="U22" s="814" t="s">
        <v>486</v>
      </c>
      <c r="V22" s="471" t="s">
        <v>486</v>
      </c>
      <c r="W22" s="471" t="s">
        <v>486</v>
      </c>
      <c r="X22" s="812" t="s">
        <v>486</v>
      </c>
      <c r="Y22" s="810"/>
    </row>
    <row r="23" spans="1:25" ht="14.4" customHeight="1" x14ac:dyDescent="0.3">
      <c r="A23" s="779" t="s">
        <v>3178</v>
      </c>
      <c r="B23" s="766">
        <v>1</v>
      </c>
      <c r="C23" s="767">
        <v>3.81</v>
      </c>
      <c r="D23" s="756">
        <v>6</v>
      </c>
      <c r="E23" s="768"/>
      <c r="F23" s="769"/>
      <c r="G23" s="757"/>
      <c r="H23" s="770"/>
      <c r="I23" s="769"/>
      <c r="J23" s="757"/>
      <c r="K23" s="771">
        <v>3.81</v>
      </c>
      <c r="L23" s="770">
        <v>4</v>
      </c>
      <c r="M23" s="770">
        <v>39</v>
      </c>
      <c r="N23" s="772">
        <v>13</v>
      </c>
      <c r="O23" s="770" t="s">
        <v>3144</v>
      </c>
      <c r="P23" s="773" t="s">
        <v>3179</v>
      </c>
      <c r="Q23" s="774">
        <f t="shared" si="0"/>
        <v>-1</v>
      </c>
      <c r="R23" s="807">
        <f t="shared" si="0"/>
        <v>-3.81</v>
      </c>
      <c r="S23" s="774">
        <f t="shared" si="1"/>
        <v>0</v>
      </c>
      <c r="T23" s="807">
        <f t="shared" si="2"/>
        <v>0</v>
      </c>
      <c r="U23" s="814" t="s">
        <v>486</v>
      </c>
      <c r="V23" s="471" t="s">
        <v>486</v>
      </c>
      <c r="W23" s="471" t="s">
        <v>486</v>
      </c>
      <c r="X23" s="812" t="s">
        <v>486</v>
      </c>
      <c r="Y23" s="810"/>
    </row>
    <row r="24" spans="1:25" ht="14.4" customHeight="1" x14ac:dyDescent="0.3">
      <c r="A24" s="778" t="s">
        <v>3180</v>
      </c>
      <c r="B24" s="753">
        <v>1</v>
      </c>
      <c r="C24" s="754">
        <v>2.66</v>
      </c>
      <c r="D24" s="755">
        <v>13</v>
      </c>
      <c r="E24" s="764"/>
      <c r="F24" s="748"/>
      <c r="G24" s="749"/>
      <c r="H24" s="747"/>
      <c r="I24" s="748"/>
      <c r="J24" s="749"/>
      <c r="K24" s="750">
        <v>2.5299999999999998</v>
      </c>
      <c r="L24" s="747">
        <v>6</v>
      </c>
      <c r="M24" s="747">
        <v>54</v>
      </c>
      <c r="N24" s="751">
        <v>18</v>
      </c>
      <c r="O24" s="747" t="s">
        <v>3144</v>
      </c>
      <c r="P24" s="763" t="s">
        <v>3181</v>
      </c>
      <c r="Q24" s="752">
        <f t="shared" si="0"/>
        <v>-1</v>
      </c>
      <c r="R24" s="806">
        <f t="shared" si="0"/>
        <v>-2.66</v>
      </c>
      <c r="S24" s="752">
        <f t="shared" si="1"/>
        <v>0</v>
      </c>
      <c r="T24" s="806">
        <f t="shared" si="2"/>
        <v>0</v>
      </c>
      <c r="U24" s="813" t="s">
        <v>486</v>
      </c>
      <c r="V24" s="760" t="s">
        <v>486</v>
      </c>
      <c r="W24" s="760" t="s">
        <v>486</v>
      </c>
      <c r="X24" s="811" t="s">
        <v>486</v>
      </c>
      <c r="Y24" s="809"/>
    </row>
    <row r="25" spans="1:25" ht="14.4" customHeight="1" x14ac:dyDescent="0.3">
      <c r="A25" s="778" t="s">
        <v>3182</v>
      </c>
      <c r="B25" s="760"/>
      <c r="C25" s="761"/>
      <c r="D25" s="762"/>
      <c r="E25" s="764"/>
      <c r="F25" s="748"/>
      <c r="G25" s="749"/>
      <c r="H25" s="744">
        <v>1</v>
      </c>
      <c r="I25" s="745">
        <v>4.72</v>
      </c>
      <c r="J25" s="746">
        <v>4</v>
      </c>
      <c r="K25" s="750">
        <v>4.72</v>
      </c>
      <c r="L25" s="747">
        <v>2</v>
      </c>
      <c r="M25" s="747">
        <v>21</v>
      </c>
      <c r="N25" s="751">
        <v>7</v>
      </c>
      <c r="O25" s="747" t="s">
        <v>2244</v>
      </c>
      <c r="P25" s="763" t="s">
        <v>3183</v>
      </c>
      <c r="Q25" s="752">
        <f t="shared" si="0"/>
        <v>1</v>
      </c>
      <c r="R25" s="806">
        <f t="shared" si="0"/>
        <v>4.72</v>
      </c>
      <c r="S25" s="752">
        <f t="shared" si="1"/>
        <v>1</v>
      </c>
      <c r="T25" s="806">
        <f t="shared" si="2"/>
        <v>4.72</v>
      </c>
      <c r="U25" s="813">
        <v>7</v>
      </c>
      <c r="V25" s="760">
        <v>4</v>
      </c>
      <c r="W25" s="760">
        <v>-3</v>
      </c>
      <c r="X25" s="811">
        <v>0.5714285714285714</v>
      </c>
      <c r="Y25" s="809"/>
    </row>
    <row r="26" spans="1:25" ht="14.4" customHeight="1" x14ac:dyDescent="0.3">
      <c r="A26" s="778" t="s">
        <v>3184</v>
      </c>
      <c r="B26" s="760"/>
      <c r="C26" s="761"/>
      <c r="D26" s="762"/>
      <c r="E26" s="744">
        <v>1</v>
      </c>
      <c r="F26" s="745">
        <v>1.23</v>
      </c>
      <c r="G26" s="746">
        <v>6</v>
      </c>
      <c r="H26" s="747"/>
      <c r="I26" s="748"/>
      <c r="J26" s="749"/>
      <c r="K26" s="750">
        <v>1.23</v>
      </c>
      <c r="L26" s="747">
        <v>2</v>
      </c>
      <c r="M26" s="747">
        <v>21</v>
      </c>
      <c r="N26" s="751">
        <v>7</v>
      </c>
      <c r="O26" s="747" t="s">
        <v>3144</v>
      </c>
      <c r="P26" s="763" t="s">
        <v>3185</v>
      </c>
      <c r="Q26" s="752">
        <f t="shared" si="0"/>
        <v>0</v>
      </c>
      <c r="R26" s="806">
        <f t="shared" si="0"/>
        <v>0</v>
      </c>
      <c r="S26" s="752">
        <f t="shared" si="1"/>
        <v>-1</v>
      </c>
      <c r="T26" s="806">
        <f t="shared" si="2"/>
        <v>-1.23</v>
      </c>
      <c r="U26" s="813" t="s">
        <v>486</v>
      </c>
      <c r="V26" s="760" t="s">
        <v>486</v>
      </c>
      <c r="W26" s="760" t="s">
        <v>486</v>
      </c>
      <c r="X26" s="811" t="s">
        <v>486</v>
      </c>
      <c r="Y26" s="809"/>
    </row>
    <row r="27" spans="1:25" ht="14.4" customHeight="1" x14ac:dyDescent="0.3">
      <c r="A27" s="778" t="s">
        <v>3186</v>
      </c>
      <c r="B27" s="760"/>
      <c r="C27" s="761"/>
      <c r="D27" s="762"/>
      <c r="E27" s="744">
        <v>1</v>
      </c>
      <c r="F27" s="745">
        <v>0.2</v>
      </c>
      <c r="G27" s="746">
        <v>1</v>
      </c>
      <c r="H27" s="747"/>
      <c r="I27" s="748"/>
      <c r="J27" s="749"/>
      <c r="K27" s="750">
        <v>0.54</v>
      </c>
      <c r="L27" s="747">
        <v>3</v>
      </c>
      <c r="M27" s="747">
        <v>24</v>
      </c>
      <c r="N27" s="751">
        <v>8</v>
      </c>
      <c r="O27" s="747" t="s">
        <v>3144</v>
      </c>
      <c r="P27" s="763" t="s">
        <v>3187</v>
      </c>
      <c r="Q27" s="752">
        <f t="shared" si="0"/>
        <v>0</v>
      </c>
      <c r="R27" s="806">
        <f t="shared" si="0"/>
        <v>0</v>
      </c>
      <c r="S27" s="752">
        <f t="shared" si="1"/>
        <v>-1</v>
      </c>
      <c r="T27" s="806">
        <f t="shared" si="2"/>
        <v>-0.2</v>
      </c>
      <c r="U27" s="813" t="s">
        <v>486</v>
      </c>
      <c r="V27" s="760" t="s">
        <v>486</v>
      </c>
      <c r="W27" s="760" t="s">
        <v>486</v>
      </c>
      <c r="X27" s="811" t="s">
        <v>486</v>
      </c>
      <c r="Y27" s="809"/>
    </row>
    <row r="28" spans="1:25" ht="14.4" customHeight="1" x14ac:dyDescent="0.3">
      <c r="A28" s="778" t="s">
        <v>3188</v>
      </c>
      <c r="B28" s="760"/>
      <c r="C28" s="761"/>
      <c r="D28" s="762"/>
      <c r="E28" s="764">
        <v>1</v>
      </c>
      <c r="F28" s="748">
        <v>4.2699999999999996</v>
      </c>
      <c r="G28" s="749">
        <v>2</v>
      </c>
      <c r="H28" s="744">
        <v>1</v>
      </c>
      <c r="I28" s="745">
        <v>4.2699999999999996</v>
      </c>
      <c r="J28" s="746">
        <v>4</v>
      </c>
      <c r="K28" s="750">
        <v>4.2699999999999996</v>
      </c>
      <c r="L28" s="747">
        <v>2</v>
      </c>
      <c r="M28" s="747">
        <v>21</v>
      </c>
      <c r="N28" s="751">
        <v>7</v>
      </c>
      <c r="O28" s="747" t="s">
        <v>3144</v>
      </c>
      <c r="P28" s="763" t="s">
        <v>3189</v>
      </c>
      <c r="Q28" s="752">
        <f t="shared" si="0"/>
        <v>1</v>
      </c>
      <c r="R28" s="806">
        <f t="shared" si="0"/>
        <v>4.2699999999999996</v>
      </c>
      <c r="S28" s="752">
        <f t="shared" si="1"/>
        <v>0</v>
      </c>
      <c r="T28" s="806">
        <f t="shared" si="2"/>
        <v>0</v>
      </c>
      <c r="U28" s="813">
        <v>7</v>
      </c>
      <c r="V28" s="760">
        <v>4</v>
      </c>
      <c r="W28" s="760">
        <v>-3</v>
      </c>
      <c r="X28" s="811">
        <v>0.5714285714285714</v>
      </c>
      <c r="Y28" s="809"/>
    </row>
    <row r="29" spans="1:25" ht="14.4" customHeight="1" x14ac:dyDescent="0.3">
      <c r="A29" s="779" t="s">
        <v>3190</v>
      </c>
      <c r="B29" s="471"/>
      <c r="C29" s="775"/>
      <c r="D29" s="765"/>
      <c r="E29" s="768"/>
      <c r="F29" s="769"/>
      <c r="G29" s="757"/>
      <c r="H29" s="776">
        <v>1</v>
      </c>
      <c r="I29" s="777">
        <v>4.6100000000000003</v>
      </c>
      <c r="J29" s="758">
        <v>3</v>
      </c>
      <c r="K29" s="771">
        <v>4.6100000000000003</v>
      </c>
      <c r="L29" s="770">
        <v>3</v>
      </c>
      <c r="M29" s="770">
        <v>27</v>
      </c>
      <c r="N29" s="772">
        <v>9</v>
      </c>
      <c r="O29" s="770" t="s">
        <v>3144</v>
      </c>
      <c r="P29" s="773" t="s">
        <v>3189</v>
      </c>
      <c r="Q29" s="774">
        <f t="shared" si="0"/>
        <v>1</v>
      </c>
      <c r="R29" s="807">
        <f t="shared" si="0"/>
        <v>4.6100000000000003</v>
      </c>
      <c r="S29" s="774">
        <f t="shared" si="1"/>
        <v>1</v>
      </c>
      <c r="T29" s="807">
        <f t="shared" si="2"/>
        <v>4.6100000000000003</v>
      </c>
      <c r="U29" s="814">
        <v>9</v>
      </c>
      <c r="V29" s="471">
        <v>3</v>
      </c>
      <c r="W29" s="471">
        <v>-6</v>
      </c>
      <c r="X29" s="812">
        <v>0.33333333333333331</v>
      </c>
      <c r="Y29" s="810"/>
    </row>
    <row r="30" spans="1:25" ht="14.4" customHeight="1" x14ac:dyDescent="0.3">
      <c r="A30" s="778" t="s">
        <v>3191</v>
      </c>
      <c r="B30" s="760"/>
      <c r="C30" s="761"/>
      <c r="D30" s="762"/>
      <c r="E30" s="764">
        <v>1</v>
      </c>
      <c r="F30" s="748">
        <v>4.09</v>
      </c>
      <c r="G30" s="749">
        <v>9</v>
      </c>
      <c r="H30" s="744"/>
      <c r="I30" s="745"/>
      <c r="J30" s="746"/>
      <c r="K30" s="750">
        <v>4.09</v>
      </c>
      <c r="L30" s="747">
        <v>5</v>
      </c>
      <c r="M30" s="747">
        <v>45</v>
      </c>
      <c r="N30" s="751">
        <v>15</v>
      </c>
      <c r="O30" s="747" t="s">
        <v>3144</v>
      </c>
      <c r="P30" s="763" t="s">
        <v>3192</v>
      </c>
      <c r="Q30" s="752">
        <f t="shared" si="0"/>
        <v>0</v>
      </c>
      <c r="R30" s="806">
        <f t="shared" si="0"/>
        <v>0</v>
      </c>
      <c r="S30" s="752">
        <f t="shared" si="1"/>
        <v>-1</v>
      </c>
      <c r="T30" s="806">
        <f t="shared" si="2"/>
        <v>-4.09</v>
      </c>
      <c r="U30" s="813" t="s">
        <v>486</v>
      </c>
      <c r="V30" s="760" t="s">
        <v>486</v>
      </c>
      <c r="W30" s="760" t="s">
        <v>486</v>
      </c>
      <c r="X30" s="811" t="s">
        <v>486</v>
      </c>
      <c r="Y30" s="809"/>
    </row>
    <row r="31" spans="1:25" ht="14.4" customHeight="1" x14ac:dyDescent="0.3">
      <c r="A31" s="779" t="s">
        <v>3193</v>
      </c>
      <c r="B31" s="471">
        <v>1</v>
      </c>
      <c r="C31" s="775">
        <v>3.02</v>
      </c>
      <c r="D31" s="765">
        <v>3</v>
      </c>
      <c r="E31" s="768">
        <v>1</v>
      </c>
      <c r="F31" s="769">
        <v>7.19</v>
      </c>
      <c r="G31" s="757">
        <v>9</v>
      </c>
      <c r="H31" s="776">
        <v>4</v>
      </c>
      <c r="I31" s="777">
        <v>14.69</v>
      </c>
      <c r="J31" s="758">
        <v>3.5</v>
      </c>
      <c r="K31" s="771">
        <v>6.37</v>
      </c>
      <c r="L31" s="770">
        <v>7</v>
      </c>
      <c r="M31" s="770">
        <v>60</v>
      </c>
      <c r="N31" s="772">
        <v>20</v>
      </c>
      <c r="O31" s="770" t="s">
        <v>3144</v>
      </c>
      <c r="P31" s="773" t="s">
        <v>3194</v>
      </c>
      <c r="Q31" s="774">
        <f t="shared" si="0"/>
        <v>3</v>
      </c>
      <c r="R31" s="807">
        <f t="shared" si="0"/>
        <v>11.67</v>
      </c>
      <c r="S31" s="774">
        <f t="shared" si="1"/>
        <v>3</v>
      </c>
      <c r="T31" s="807">
        <f t="shared" si="2"/>
        <v>7.4999999999999991</v>
      </c>
      <c r="U31" s="814">
        <v>80</v>
      </c>
      <c r="V31" s="471">
        <v>14</v>
      </c>
      <c r="W31" s="471">
        <v>-66</v>
      </c>
      <c r="X31" s="812">
        <v>0.17499999999999999</v>
      </c>
      <c r="Y31" s="810"/>
    </row>
    <row r="32" spans="1:25" ht="14.4" customHeight="1" x14ac:dyDescent="0.3">
      <c r="A32" s="778" t="s">
        <v>3195</v>
      </c>
      <c r="B32" s="760">
        <v>1</v>
      </c>
      <c r="C32" s="761">
        <v>1.23</v>
      </c>
      <c r="D32" s="762">
        <v>1</v>
      </c>
      <c r="E32" s="764"/>
      <c r="F32" s="748"/>
      <c r="G32" s="749"/>
      <c r="H32" s="744"/>
      <c r="I32" s="745"/>
      <c r="J32" s="746"/>
      <c r="K32" s="750">
        <v>4.6500000000000004</v>
      </c>
      <c r="L32" s="747">
        <v>5</v>
      </c>
      <c r="M32" s="747">
        <v>45</v>
      </c>
      <c r="N32" s="751">
        <v>15</v>
      </c>
      <c r="O32" s="747" t="s">
        <v>3144</v>
      </c>
      <c r="P32" s="763" t="s">
        <v>3196</v>
      </c>
      <c r="Q32" s="752">
        <f t="shared" si="0"/>
        <v>-1</v>
      </c>
      <c r="R32" s="806">
        <f t="shared" si="0"/>
        <v>-1.23</v>
      </c>
      <c r="S32" s="752">
        <f t="shared" si="1"/>
        <v>0</v>
      </c>
      <c r="T32" s="806">
        <f t="shared" si="2"/>
        <v>0</v>
      </c>
      <c r="U32" s="813" t="s">
        <v>486</v>
      </c>
      <c r="V32" s="760" t="s">
        <v>486</v>
      </c>
      <c r="W32" s="760" t="s">
        <v>486</v>
      </c>
      <c r="X32" s="811" t="s">
        <v>486</v>
      </c>
      <c r="Y32" s="809"/>
    </row>
    <row r="33" spans="1:25" ht="14.4" customHeight="1" x14ac:dyDescent="0.3">
      <c r="A33" s="779" t="s">
        <v>3197</v>
      </c>
      <c r="B33" s="471"/>
      <c r="C33" s="775"/>
      <c r="D33" s="765"/>
      <c r="E33" s="768">
        <v>1</v>
      </c>
      <c r="F33" s="769">
        <v>2.39</v>
      </c>
      <c r="G33" s="757">
        <v>2</v>
      </c>
      <c r="H33" s="776">
        <v>1</v>
      </c>
      <c r="I33" s="777">
        <v>4.33</v>
      </c>
      <c r="J33" s="758">
        <v>4</v>
      </c>
      <c r="K33" s="771">
        <v>5.3</v>
      </c>
      <c r="L33" s="770">
        <v>5</v>
      </c>
      <c r="M33" s="770">
        <v>45</v>
      </c>
      <c r="N33" s="772">
        <v>15</v>
      </c>
      <c r="O33" s="770" t="s">
        <v>3144</v>
      </c>
      <c r="P33" s="773" t="s">
        <v>3198</v>
      </c>
      <c r="Q33" s="774">
        <f t="shared" si="0"/>
        <v>1</v>
      </c>
      <c r="R33" s="807">
        <f t="shared" si="0"/>
        <v>4.33</v>
      </c>
      <c r="S33" s="774">
        <f t="shared" si="1"/>
        <v>0</v>
      </c>
      <c r="T33" s="807">
        <f t="shared" si="2"/>
        <v>1.94</v>
      </c>
      <c r="U33" s="814">
        <v>15</v>
      </c>
      <c r="V33" s="471">
        <v>4</v>
      </c>
      <c r="W33" s="471">
        <v>-11</v>
      </c>
      <c r="X33" s="812">
        <v>0.26666666666666666</v>
      </c>
      <c r="Y33" s="810"/>
    </row>
    <row r="34" spans="1:25" ht="14.4" customHeight="1" x14ac:dyDescent="0.3">
      <c r="A34" s="778" t="s">
        <v>3199</v>
      </c>
      <c r="B34" s="753">
        <v>1</v>
      </c>
      <c r="C34" s="754">
        <v>1.64</v>
      </c>
      <c r="D34" s="755">
        <v>3</v>
      </c>
      <c r="E34" s="764"/>
      <c r="F34" s="748"/>
      <c r="G34" s="749"/>
      <c r="H34" s="747"/>
      <c r="I34" s="748"/>
      <c r="J34" s="749"/>
      <c r="K34" s="750">
        <v>1.64</v>
      </c>
      <c r="L34" s="747">
        <v>3</v>
      </c>
      <c r="M34" s="747">
        <v>27</v>
      </c>
      <c r="N34" s="751">
        <v>9</v>
      </c>
      <c r="O34" s="747" t="s">
        <v>3144</v>
      </c>
      <c r="P34" s="763" t="s">
        <v>3200</v>
      </c>
      <c r="Q34" s="752">
        <f t="shared" si="0"/>
        <v>-1</v>
      </c>
      <c r="R34" s="806">
        <f t="shared" si="0"/>
        <v>-1.64</v>
      </c>
      <c r="S34" s="752">
        <f t="shared" si="1"/>
        <v>0</v>
      </c>
      <c r="T34" s="806">
        <f t="shared" si="2"/>
        <v>0</v>
      </c>
      <c r="U34" s="813" t="s">
        <v>486</v>
      </c>
      <c r="V34" s="760" t="s">
        <v>486</v>
      </c>
      <c r="W34" s="760" t="s">
        <v>486</v>
      </c>
      <c r="X34" s="811" t="s">
        <v>486</v>
      </c>
      <c r="Y34" s="809"/>
    </row>
    <row r="35" spans="1:25" ht="14.4" customHeight="1" x14ac:dyDescent="0.3">
      <c r="A35" s="779" t="s">
        <v>3201</v>
      </c>
      <c r="B35" s="766">
        <v>1</v>
      </c>
      <c r="C35" s="767">
        <v>1.97</v>
      </c>
      <c r="D35" s="756">
        <v>3</v>
      </c>
      <c r="E35" s="768">
        <v>1</v>
      </c>
      <c r="F35" s="769">
        <v>2.5499999999999998</v>
      </c>
      <c r="G35" s="757">
        <v>4</v>
      </c>
      <c r="H35" s="770"/>
      <c r="I35" s="769"/>
      <c r="J35" s="757"/>
      <c r="K35" s="771">
        <v>2.5499999999999998</v>
      </c>
      <c r="L35" s="770">
        <v>4</v>
      </c>
      <c r="M35" s="770">
        <v>36</v>
      </c>
      <c r="N35" s="772">
        <v>12</v>
      </c>
      <c r="O35" s="770" t="s">
        <v>3144</v>
      </c>
      <c r="P35" s="773" t="s">
        <v>3202</v>
      </c>
      <c r="Q35" s="774">
        <f t="shared" si="0"/>
        <v>-1</v>
      </c>
      <c r="R35" s="807">
        <f t="shared" si="0"/>
        <v>-1.97</v>
      </c>
      <c r="S35" s="774">
        <f t="shared" si="1"/>
        <v>-1</v>
      </c>
      <c r="T35" s="807">
        <f t="shared" si="2"/>
        <v>-2.5499999999999998</v>
      </c>
      <c r="U35" s="814" t="s">
        <v>486</v>
      </c>
      <c r="V35" s="471" t="s">
        <v>486</v>
      </c>
      <c r="W35" s="471" t="s">
        <v>486</v>
      </c>
      <c r="X35" s="812" t="s">
        <v>486</v>
      </c>
      <c r="Y35" s="810"/>
    </row>
    <row r="36" spans="1:25" ht="14.4" customHeight="1" x14ac:dyDescent="0.3">
      <c r="A36" s="778" t="s">
        <v>3203</v>
      </c>
      <c r="B36" s="753">
        <v>1</v>
      </c>
      <c r="C36" s="754">
        <v>1.5</v>
      </c>
      <c r="D36" s="755">
        <v>5</v>
      </c>
      <c r="E36" s="764"/>
      <c r="F36" s="748"/>
      <c r="G36" s="749"/>
      <c r="H36" s="747"/>
      <c r="I36" s="748"/>
      <c r="J36" s="749"/>
      <c r="K36" s="750">
        <v>1.5</v>
      </c>
      <c r="L36" s="747">
        <v>3</v>
      </c>
      <c r="M36" s="747">
        <v>27</v>
      </c>
      <c r="N36" s="751">
        <v>9</v>
      </c>
      <c r="O36" s="747" t="s">
        <v>3144</v>
      </c>
      <c r="P36" s="763" t="s">
        <v>3204</v>
      </c>
      <c r="Q36" s="752">
        <f t="shared" si="0"/>
        <v>-1</v>
      </c>
      <c r="R36" s="806">
        <f t="shared" si="0"/>
        <v>-1.5</v>
      </c>
      <c r="S36" s="752">
        <f t="shared" si="1"/>
        <v>0</v>
      </c>
      <c r="T36" s="806">
        <f t="shared" si="2"/>
        <v>0</v>
      </c>
      <c r="U36" s="813" t="s">
        <v>486</v>
      </c>
      <c r="V36" s="760" t="s">
        <v>486</v>
      </c>
      <c r="W36" s="760" t="s">
        <v>486</v>
      </c>
      <c r="X36" s="811" t="s">
        <v>486</v>
      </c>
      <c r="Y36" s="809"/>
    </row>
    <row r="37" spans="1:25" ht="14.4" customHeight="1" x14ac:dyDescent="0.3">
      <c r="A37" s="778" t="s">
        <v>3205</v>
      </c>
      <c r="B37" s="760"/>
      <c r="C37" s="761"/>
      <c r="D37" s="762"/>
      <c r="E37" s="744">
        <v>1</v>
      </c>
      <c r="F37" s="745">
        <v>2.85</v>
      </c>
      <c r="G37" s="746">
        <v>3</v>
      </c>
      <c r="H37" s="747"/>
      <c r="I37" s="748"/>
      <c r="J37" s="749"/>
      <c r="K37" s="750">
        <v>3.18</v>
      </c>
      <c r="L37" s="747">
        <v>4</v>
      </c>
      <c r="M37" s="747">
        <v>39</v>
      </c>
      <c r="N37" s="751">
        <v>13</v>
      </c>
      <c r="O37" s="747" t="s">
        <v>3144</v>
      </c>
      <c r="P37" s="763" t="s">
        <v>3206</v>
      </c>
      <c r="Q37" s="752">
        <f t="shared" si="0"/>
        <v>0</v>
      </c>
      <c r="R37" s="806">
        <f t="shared" si="0"/>
        <v>0</v>
      </c>
      <c r="S37" s="752">
        <f t="shared" si="1"/>
        <v>-1</v>
      </c>
      <c r="T37" s="806">
        <f t="shared" si="2"/>
        <v>-2.85</v>
      </c>
      <c r="U37" s="813" t="s">
        <v>486</v>
      </c>
      <c r="V37" s="760" t="s">
        <v>486</v>
      </c>
      <c r="W37" s="760" t="s">
        <v>486</v>
      </c>
      <c r="X37" s="811" t="s">
        <v>486</v>
      </c>
      <c r="Y37" s="809"/>
    </row>
    <row r="38" spans="1:25" ht="14.4" customHeight="1" x14ac:dyDescent="0.3">
      <c r="A38" s="778" t="s">
        <v>3207</v>
      </c>
      <c r="B38" s="760"/>
      <c r="C38" s="761"/>
      <c r="D38" s="762"/>
      <c r="E38" s="744">
        <v>1</v>
      </c>
      <c r="F38" s="745">
        <v>0.32</v>
      </c>
      <c r="G38" s="746">
        <v>1</v>
      </c>
      <c r="H38" s="747"/>
      <c r="I38" s="748"/>
      <c r="J38" s="749"/>
      <c r="K38" s="750">
        <v>0.6</v>
      </c>
      <c r="L38" s="747">
        <v>2</v>
      </c>
      <c r="M38" s="747">
        <v>18</v>
      </c>
      <c r="N38" s="751">
        <v>6</v>
      </c>
      <c r="O38" s="747" t="s">
        <v>3144</v>
      </c>
      <c r="P38" s="763" t="s">
        <v>3208</v>
      </c>
      <c r="Q38" s="752">
        <f t="shared" si="0"/>
        <v>0</v>
      </c>
      <c r="R38" s="806">
        <f t="shared" si="0"/>
        <v>0</v>
      </c>
      <c r="S38" s="752">
        <f t="shared" si="1"/>
        <v>-1</v>
      </c>
      <c r="T38" s="806">
        <f t="shared" si="2"/>
        <v>-0.32</v>
      </c>
      <c r="U38" s="813" t="s">
        <v>486</v>
      </c>
      <c r="V38" s="760" t="s">
        <v>486</v>
      </c>
      <c r="W38" s="760" t="s">
        <v>486</v>
      </c>
      <c r="X38" s="811" t="s">
        <v>486</v>
      </c>
      <c r="Y38" s="809"/>
    </row>
    <row r="39" spans="1:25" ht="14.4" customHeight="1" x14ac:dyDescent="0.3">
      <c r="A39" s="778" t="s">
        <v>3209</v>
      </c>
      <c r="B39" s="760"/>
      <c r="C39" s="761"/>
      <c r="D39" s="762"/>
      <c r="E39" s="764"/>
      <c r="F39" s="748"/>
      <c r="G39" s="749"/>
      <c r="H39" s="744">
        <v>1</v>
      </c>
      <c r="I39" s="745">
        <v>0.27</v>
      </c>
      <c r="J39" s="746">
        <v>1</v>
      </c>
      <c r="K39" s="750">
        <v>0.46</v>
      </c>
      <c r="L39" s="747">
        <v>2</v>
      </c>
      <c r="M39" s="747">
        <v>15</v>
      </c>
      <c r="N39" s="751">
        <v>5</v>
      </c>
      <c r="O39" s="747" t="s">
        <v>3144</v>
      </c>
      <c r="P39" s="763" t="s">
        <v>3210</v>
      </c>
      <c r="Q39" s="752">
        <f t="shared" si="0"/>
        <v>1</v>
      </c>
      <c r="R39" s="806">
        <f t="shared" si="0"/>
        <v>0.27</v>
      </c>
      <c r="S39" s="752">
        <f t="shared" si="1"/>
        <v>1</v>
      </c>
      <c r="T39" s="806">
        <f t="shared" si="2"/>
        <v>0.27</v>
      </c>
      <c r="U39" s="813">
        <v>5</v>
      </c>
      <c r="V39" s="760">
        <v>1</v>
      </c>
      <c r="W39" s="760">
        <v>-4</v>
      </c>
      <c r="X39" s="811">
        <v>0.2</v>
      </c>
      <c r="Y39" s="809"/>
    </row>
    <row r="40" spans="1:25" ht="14.4" customHeight="1" x14ac:dyDescent="0.3">
      <c r="A40" s="778" t="s">
        <v>3211</v>
      </c>
      <c r="B40" s="760"/>
      <c r="C40" s="761"/>
      <c r="D40" s="762"/>
      <c r="E40" s="744">
        <v>1</v>
      </c>
      <c r="F40" s="745">
        <v>1.28</v>
      </c>
      <c r="G40" s="746">
        <v>2</v>
      </c>
      <c r="H40" s="747"/>
      <c r="I40" s="748"/>
      <c r="J40" s="749"/>
      <c r="K40" s="750">
        <v>1.06</v>
      </c>
      <c r="L40" s="747">
        <v>4</v>
      </c>
      <c r="M40" s="747">
        <v>33</v>
      </c>
      <c r="N40" s="751">
        <v>11</v>
      </c>
      <c r="O40" s="747" t="s">
        <v>3144</v>
      </c>
      <c r="P40" s="763" t="s">
        <v>3212</v>
      </c>
      <c r="Q40" s="752">
        <f t="shared" si="0"/>
        <v>0</v>
      </c>
      <c r="R40" s="806">
        <f t="shared" si="0"/>
        <v>0</v>
      </c>
      <c r="S40" s="752">
        <f t="shared" si="1"/>
        <v>-1</v>
      </c>
      <c r="T40" s="806">
        <f t="shared" si="2"/>
        <v>-1.28</v>
      </c>
      <c r="U40" s="813" t="s">
        <v>486</v>
      </c>
      <c r="V40" s="760" t="s">
        <v>486</v>
      </c>
      <c r="W40" s="760" t="s">
        <v>486</v>
      </c>
      <c r="X40" s="811" t="s">
        <v>486</v>
      </c>
      <c r="Y40" s="809"/>
    </row>
    <row r="41" spans="1:25" ht="14.4" customHeight="1" x14ac:dyDescent="0.3">
      <c r="A41" s="778" t="s">
        <v>3213</v>
      </c>
      <c r="B41" s="753">
        <v>1</v>
      </c>
      <c r="C41" s="754">
        <v>0.81</v>
      </c>
      <c r="D41" s="755">
        <v>3</v>
      </c>
      <c r="E41" s="764"/>
      <c r="F41" s="748"/>
      <c r="G41" s="749"/>
      <c r="H41" s="747"/>
      <c r="I41" s="748"/>
      <c r="J41" s="749"/>
      <c r="K41" s="750">
        <v>1.06</v>
      </c>
      <c r="L41" s="747">
        <v>4</v>
      </c>
      <c r="M41" s="747">
        <v>33</v>
      </c>
      <c r="N41" s="751">
        <v>11</v>
      </c>
      <c r="O41" s="747" t="s">
        <v>3144</v>
      </c>
      <c r="P41" s="763" t="s">
        <v>3214</v>
      </c>
      <c r="Q41" s="752">
        <f t="shared" si="0"/>
        <v>-1</v>
      </c>
      <c r="R41" s="806">
        <f t="shared" si="0"/>
        <v>-0.81</v>
      </c>
      <c r="S41" s="752">
        <f t="shared" si="1"/>
        <v>0</v>
      </c>
      <c r="T41" s="806">
        <f t="shared" si="2"/>
        <v>0</v>
      </c>
      <c r="U41" s="813" t="s">
        <v>486</v>
      </c>
      <c r="V41" s="760" t="s">
        <v>486</v>
      </c>
      <c r="W41" s="760" t="s">
        <v>486</v>
      </c>
      <c r="X41" s="811" t="s">
        <v>486</v>
      </c>
      <c r="Y41" s="809"/>
    </row>
    <row r="42" spans="1:25" ht="14.4" customHeight="1" x14ac:dyDescent="0.3">
      <c r="A42" s="778" t="s">
        <v>3215</v>
      </c>
      <c r="B42" s="753">
        <v>1</v>
      </c>
      <c r="C42" s="754">
        <v>2.08</v>
      </c>
      <c r="D42" s="755">
        <v>4</v>
      </c>
      <c r="E42" s="764"/>
      <c r="F42" s="748"/>
      <c r="G42" s="749"/>
      <c r="H42" s="747"/>
      <c r="I42" s="748"/>
      <c r="J42" s="749"/>
      <c r="K42" s="750">
        <v>4.1900000000000004</v>
      </c>
      <c r="L42" s="747">
        <v>9</v>
      </c>
      <c r="M42" s="747">
        <v>78</v>
      </c>
      <c r="N42" s="751">
        <v>26</v>
      </c>
      <c r="O42" s="747" t="s">
        <v>3144</v>
      </c>
      <c r="P42" s="763" t="s">
        <v>3216</v>
      </c>
      <c r="Q42" s="752">
        <f t="shared" si="0"/>
        <v>-1</v>
      </c>
      <c r="R42" s="806">
        <f t="shared" si="0"/>
        <v>-2.08</v>
      </c>
      <c r="S42" s="752">
        <f t="shared" si="1"/>
        <v>0</v>
      </c>
      <c r="T42" s="806">
        <f t="shared" si="2"/>
        <v>0</v>
      </c>
      <c r="U42" s="813" t="s">
        <v>486</v>
      </c>
      <c r="V42" s="760" t="s">
        <v>486</v>
      </c>
      <c r="W42" s="760" t="s">
        <v>486</v>
      </c>
      <c r="X42" s="811" t="s">
        <v>486</v>
      </c>
      <c r="Y42" s="809"/>
    </row>
    <row r="43" spans="1:25" ht="14.4" customHeight="1" x14ac:dyDescent="0.3">
      <c r="A43" s="778" t="s">
        <v>3217</v>
      </c>
      <c r="B43" s="760"/>
      <c r="C43" s="761"/>
      <c r="D43" s="762"/>
      <c r="E43" s="744">
        <v>1</v>
      </c>
      <c r="F43" s="745">
        <v>1.41</v>
      </c>
      <c r="G43" s="746">
        <v>2</v>
      </c>
      <c r="H43" s="747"/>
      <c r="I43" s="748"/>
      <c r="J43" s="749"/>
      <c r="K43" s="750">
        <v>2.38</v>
      </c>
      <c r="L43" s="747">
        <v>4</v>
      </c>
      <c r="M43" s="747">
        <v>33</v>
      </c>
      <c r="N43" s="751">
        <v>11</v>
      </c>
      <c r="O43" s="747" t="s">
        <v>3144</v>
      </c>
      <c r="P43" s="763" t="s">
        <v>3218</v>
      </c>
      <c r="Q43" s="752">
        <f t="shared" si="0"/>
        <v>0</v>
      </c>
      <c r="R43" s="806">
        <f t="shared" si="0"/>
        <v>0</v>
      </c>
      <c r="S43" s="752">
        <f t="shared" si="1"/>
        <v>-1</v>
      </c>
      <c r="T43" s="806">
        <f t="shared" si="2"/>
        <v>-1.41</v>
      </c>
      <c r="U43" s="813" t="s">
        <v>486</v>
      </c>
      <c r="V43" s="760" t="s">
        <v>486</v>
      </c>
      <c r="W43" s="760" t="s">
        <v>486</v>
      </c>
      <c r="X43" s="811" t="s">
        <v>486</v>
      </c>
      <c r="Y43" s="809"/>
    </row>
    <row r="44" spans="1:25" ht="14.4" customHeight="1" x14ac:dyDescent="0.3">
      <c r="A44" s="778" t="s">
        <v>3219</v>
      </c>
      <c r="B44" s="760"/>
      <c r="C44" s="761"/>
      <c r="D44" s="762"/>
      <c r="E44" s="744">
        <v>1</v>
      </c>
      <c r="F44" s="745">
        <v>1.37</v>
      </c>
      <c r="G44" s="746">
        <v>3</v>
      </c>
      <c r="H44" s="747"/>
      <c r="I44" s="748"/>
      <c r="J44" s="749"/>
      <c r="K44" s="750">
        <v>1.37</v>
      </c>
      <c r="L44" s="747">
        <v>2</v>
      </c>
      <c r="M44" s="747">
        <v>21</v>
      </c>
      <c r="N44" s="751">
        <v>7</v>
      </c>
      <c r="O44" s="747" t="s">
        <v>3144</v>
      </c>
      <c r="P44" s="763" t="s">
        <v>3220</v>
      </c>
      <c r="Q44" s="752">
        <f t="shared" si="0"/>
        <v>0</v>
      </c>
      <c r="R44" s="806">
        <f t="shared" si="0"/>
        <v>0</v>
      </c>
      <c r="S44" s="752">
        <f t="shared" si="1"/>
        <v>-1</v>
      </c>
      <c r="T44" s="806">
        <f t="shared" si="2"/>
        <v>-1.37</v>
      </c>
      <c r="U44" s="813" t="s">
        <v>486</v>
      </c>
      <c r="V44" s="760" t="s">
        <v>486</v>
      </c>
      <c r="W44" s="760" t="s">
        <v>486</v>
      </c>
      <c r="X44" s="811" t="s">
        <v>486</v>
      </c>
      <c r="Y44" s="809"/>
    </row>
    <row r="45" spans="1:25" ht="14.4" customHeight="1" x14ac:dyDescent="0.3">
      <c r="A45" s="778" t="s">
        <v>3221</v>
      </c>
      <c r="B45" s="753">
        <v>1</v>
      </c>
      <c r="C45" s="754">
        <v>1.42</v>
      </c>
      <c r="D45" s="755">
        <v>4</v>
      </c>
      <c r="E45" s="764"/>
      <c r="F45" s="748"/>
      <c r="G45" s="749"/>
      <c r="H45" s="747"/>
      <c r="I45" s="748"/>
      <c r="J45" s="749"/>
      <c r="K45" s="750">
        <v>2.37</v>
      </c>
      <c r="L45" s="747">
        <v>7</v>
      </c>
      <c r="M45" s="747">
        <v>60</v>
      </c>
      <c r="N45" s="751">
        <v>20</v>
      </c>
      <c r="O45" s="747" t="s">
        <v>3144</v>
      </c>
      <c r="P45" s="763" t="s">
        <v>3222</v>
      </c>
      <c r="Q45" s="752">
        <f t="shared" si="0"/>
        <v>-1</v>
      </c>
      <c r="R45" s="806">
        <f t="shared" si="0"/>
        <v>-1.42</v>
      </c>
      <c r="S45" s="752">
        <f t="shared" si="1"/>
        <v>0</v>
      </c>
      <c r="T45" s="806">
        <f t="shared" si="2"/>
        <v>0</v>
      </c>
      <c r="U45" s="813" t="s">
        <v>486</v>
      </c>
      <c r="V45" s="760" t="s">
        <v>486</v>
      </c>
      <c r="W45" s="760" t="s">
        <v>486</v>
      </c>
      <c r="X45" s="811" t="s">
        <v>486</v>
      </c>
      <c r="Y45" s="809"/>
    </row>
    <row r="46" spans="1:25" ht="14.4" customHeight="1" x14ac:dyDescent="0.3">
      <c r="A46" s="778" t="s">
        <v>3223</v>
      </c>
      <c r="B46" s="753">
        <v>1</v>
      </c>
      <c r="C46" s="754">
        <v>1.63</v>
      </c>
      <c r="D46" s="755">
        <v>4</v>
      </c>
      <c r="E46" s="764"/>
      <c r="F46" s="748"/>
      <c r="G46" s="749"/>
      <c r="H46" s="747"/>
      <c r="I46" s="748"/>
      <c r="J46" s="749"/>
      <c r="K46" s="750">
        <v>1.52</v>
      </c>
      <c r="L46" s="747">
        <v>2</v>
      </c>
      <c r="M46" s="747">
        <v>21</v>
      </c>
      <c r="N46" s="751">
        <v>7</v>
      </c>
      <c r="O46" s="747" t="s">
        <v>3144</v>
      </c>
      <c r="P46" s="763" t="s">
        <v>3224</v>
      </c>
      <c r="Q46" s="752">
        <f t="shared" si="0"/>
        <v>-1</v>
      </c>
      <c r="R46" s="806">
        <f t="shared" si="0"/>
        <v>-1.63</v>
      </c>
      <c r="S46" s="752">
        <f t="shared" si="1"/>
        <v>0</v>
      </c>
      <c r="T46" s="806">
        <f t="shared" si="2"/>
        <v>0</v>
      </c>
      <c r="U46" s="813" t="s">
        <v>486</v>
      </c>
      <c r="V46" s="760" t="s">
        <v>486</v>
      </c>
      <c r="W46" s="760" t="s">
        <v>486</v>
      </c>
      <c r="X46" s="811" t="s">
        <v>486</v>
      </c>
      <c r="Y46" s="809"/>
    </row>
    <row r="47" spans="1:25" ht="14.4" customHeight="1" x14ac:dyDescent="0.3">
      <c r="A47" s="779" t="s">
        <v>3225</v>
      </c>
      <c r="B47" s="766">
        <v>1</v>
      </c>
      <c r="C47" s="767">
        <v>2.12</v>
      </c>
      <c r="D47" s="756">
        <v>9</v>
      </c>
      <c r="E47" s="768"/>
      <c r="F47" s="769"/>
      <c r="G47" s="757"/>
      <c r="H47" s="770"/>
      <c r="I47" s="769"/>
      <c r="J47" s="757"/>
      <c r="K47" s="771">
        <v>2.12</v>
      </c>
      <c r="L47" s="770">
        <v>2</v>
      </c>
      <c r="M47" s="770">
        <v>18</v>
      </c>
      <c r="N47" s="772">
        <v>6</v>
      </c>
      <c r="O47" s="770" t="s">
        <v>3144</v>
      </c>
      <c r="P47" s="773" t="s">
        <v>3226</v>
      </c>
      <c r="Q47" s="774">
        <f t="shared" si="0"/>
        <v>-1</v>
      </c>
      <c r="R47" s="807">
        <f t="shared" si="0"/>
        <v>-2.12</v>
      </c>
      <c r="S47" s="774">
        <f t="shared" si="1"/>
        <v>0</v>
      </c>
      <c r="T47" s="807">
        <f t="shared" si="2"/>
        <v>0</v>
      </c>
      <c r="U47" s="814" t="s">
        <v>486</v>
      </c>
      <c r="V47" s="471" t="s">
        <v>486</v>
      </c>
      <c r="W47" s="471" t="s">
        <v>486</v>
      </c>
      <c r="X47" s="812" t="s">
        <v>486</v>
      </c>
      <c r="Y47" s="810"/>
    </row>
    <row r="48" spans="1:25" ht="14.4" customHeight="1" x14ac:dyDescent="0.3">
      <c r="A48" s="778" t="s">
        <v>3227</v>
      </c>
      <c r="B48" s="760"/>
      <c r="C48" s="761"/>
      <c r="D48" s="762"/>
      <c r="E48" s="764"/>
      <c r="F48" s="748"/>
      <c r="G48" s="749"/>
      <c r="H48" s="744">
        <v>1</v>
      </c>
      <c r="I48" s="745">
        <v>2.96</v>
      </c>
      <c r="J48" s="746">
        <v>10</v>
      </c>
      <c r="K48" s="750">
        <v>2.96</v>
      </c>
      <c r="L48" s="747">
        <v>4</v>
      </c>
      <c r="M48" s="747">
        <v>33</v>
      </c>
      <c r="N48" s="751">
        <v>11</v>
      </c>
      <c r="O48" s="747" t="s">
        <v>3144</v>
      </c>
      <c r="P48" s="763" t="s">
        <v>3228</v>
      </c>
      <c r="Q48" s="752">
        <f t="shared" si="0"/>
        <v>1</v>
      </c>
      <c r="R48" s="806">
        <f t="shared" si="0"/>
        <v>2.96</v>
      </c>
      <c r="S48" s="752">
        <f t="shared" si="1"/>
        <v>1</v>
      </c>
      <c r="T48" s="806">
        <f t="shared" si="2"/>
        <v>2.96</v>
      </c>
      <c r="U48" s="813">
        <v>11</v>
      </c>
      <c r="V48" s="760">
        <v>10</v>
      </c>
      <c r="W48" s="760">
        <v>-1</v>
      </c>
      <c r="X48" s="811">
        <v>0.90909090909090906</v>
      </c>
      <c r="Y48" s="809"/>
    </row>
    <row r="49" spans="1:25" ht="14.4" customHeight="1" x14ac:dyDescent="0.3">
      <c r="A49" s="778" t="s">
        <v>3229</v>
      </c>
      <c r="B49" s="760"/>
      <c r="C49" s="761"/>
      <c r="D49" s="762"/>
      <c r="E49" s="744">
        <v>1</v>
      </c>
      <c r="F49" s="745">
        <v>1.91</v>
      </c>
      <c r="G49" s="746">
        <v>6</v>
      </c>
      <c r="H49" s="747"/>
      <c r="I49" s="748"/>
      <c r="J49" s="749"/>
      <c r="K49" s="750">
        <v>1.91</v>
      </c>
      <c r="L49" s="747">
        <v>3</v>
      </c>
      <c r="M49" s="747">
        <v>30</v>
      </c>
      <c r="N49" s="751">
        <v>10</v>
      </c>
      <c r="O49" s="747" t="s">
        <v>3144</v>
      </c>
      <c r="P49" s="763" t="s">
        <v>3230</v>
      </c>
      <c r="Q49" s="752">
        <f t="shared" si="0"/>
        <v>0</v>
      </c>
      <c r="R49" s="806">
        <f t="shared" si="0"/>
        <v>0</v>
      </c>
      <c r="S49" s="752">
        <f t="shared" si="1"/>
        <v>-1</v>
      </c>
      <c r="T49" s="806">
        <f t="shared" si="2"/>
        <v>-1.91</v>
      </c>
      <c r="U49" s="813" t="s">
        <v>486</v>
      </c>
      <c r="V49" s="760" t="s">
        <v>486</v>
      </c>
      <c r="W49" s="760" t="s">
        <v>486</v>
      </c>
      <c r="X49" s="811" t="s">
        <v>486</v>
      </c>
      <c r="Y49" s="809"/>
    </row>
    <row r="50" spans="1:25" ht="14.4" customHeight="1" x14ac:dyDescent="0.3">
      <c r="A50" s="778" t="s">
        <v>3231</v>
      </c>
      <c r="B50" s="760"/>
      <c r="C50" s="761"/>
      <c r="D50" s="762"/>
      <c r="E50" s="744">
        <v>1</v>
      </c>
      <c r="F50" s="745">
        <v>0.94</v>
      </c>
      <c r="G50" s="746">
        <v>2</v>
      </c>
      <c r="H50" s="747"/>
      <c r="I50" s="748"/>
      <c r="J50" s="749"/>
      <c r="K50" s="750">
        <v>1.35</v>
      </c>
      <c r="L50" s="747">
        <v>3</v>
      </c>
      <c r="M50" s="747">
        <v>27</v>
      </c>
      <c r="N50" s="751">
        <v>9</v>
      </c>
      <c r="O50" s="747" t="s">
        <v>3144</v>
      </c>
      <c r="P50" s="763" t="s">
        <v>3232</v>
      </c>
      <c r="Q50" s="752">
        <f t="shared" si="0"/>
        <v>0</v>
      </c>
      <c r="R50" s="806">
        <f t="shared" si="0"/>
        <v>0</v>
      </c>
      <c r="S50" s="752">
        <f t="shared" si="1"/>
        <v>-1</v>
      </c>
      <c r="T50" s="806">
        <f t="shared" si="2"/>
        <v>-0.94</v>
      </c>
      <c r="U50" s="813" t="s">
        <v>486</v>
      </c>
      <c r="V50" s="760" t="s">
        <v>486</v>
      </c>
      <c r="W50" s="760" t="s">
        <v>486</v>
      </c>
      <c r="X50" s="811" t="s">
        <v>486</v>
      </c>
      <c r="Y50" s="809"/>
    </row>
    <row r="51" spans="1:25" ht="14.4" customHeight="1" x14ac:dyDescent="0.3">
      <c r="A51" s="778" t="s">
        <v>3233</v>
      </c>
      <c r="B51" s="760"/>
      <c r="C51" s="761"/>
      <c r="D51" s="762"/>
      <c r="E51" s="744">
        <v>1</v>
      </c>
      <c r="F51" s="745">
        <v>1.1599999999999999</v>
      </c>
      <c r="G51" s="746">
        <v>6</v>
      </c>
      <c r="H51" s="747"/>
      <c r="I51" s="748"/>
      <c r="J51" s="749"/>
      <c r="K51" s="750">
        <v>1</v>
      </c>
      <c r="L51" s="747">
        <v>3</v>
      </c>
      <c r="M51" s="747">
        <v>30</v>
      </c>
      <c r="N51" s="751">
        <v>10</v>
      </c>
      <c r="O51" s="747" t="s">
        <v>3144</v>
      </c>
      <c r="P51" s="763" t="s">
        <v>3234</v>
      </c>
      <c r="Q51" s="752">
        <f t="shared" si="0"/>
        <v>0</v>
      </c>
      <c r="R51" s="806">
        <f t="shared" si="0"/>
        <v>0</v>
      </c>
      <c r="S51" s="752">
        <f t="shared" si="1"/>
        <v>-1</v>
      </c>
      <c r="T51" s="806">
        <f t="shared" si="2"/>
        <v>-1.1599999999999999</v>
      </c>
      <c r="U51" s="813" t="s">
        <v>486</v>
      </c>
      <c r="V51" s="760" t="s">
        <v>486</v>
      </c>
      <c r="W51" s="760" t="s">
        <v>486</v>
      </c>
      <c r="X51" s="811" t="s">
        <v>486</v>
      </c>
      <c r="Y51" s="809"/>
    </row>
    <row r="52" spans="1:25" ht="14.4" customHeight="1" x14ac:dyDescent="0.3">
      <c r="A52" s="778" t="s">
        <v>3235</v>
      </c>
      <c r="B52" s="760"/>
      <c r="C52" s="761"/>
      <c r="D52" s="762"/>
      <c r="E52" s="764"/>
      <c r="F52" s="748"/>
      <c r="G52" s="749"/>
      <c r="H52" s="744">
        <v>3</v>
      </c>
      <c r="I52" s="745">
        <v>1.03</v>
      </c>
      <c r="J52" s="746">
        <v>2</v>
      </c>
      <c r="K52" s="750">
        <v>0.34</v>
      </c>
      <c r="L52" s="747">
        <v>1</v>
      </c>
      <c r="M52" s="747">
        <v>12</v>
      </c>
      <c r="N52" s="751">
        <v>4</v>
      </c>
      <c r="O52" s="747" t="s">
        <v>3144</v>
      </c>
      <c r="P52" s="763" t="s">
        <v>3236</v>
      </c>
      <c r="Q52" s="752">
        <f t="shared" si="0"/>
        <v>3</v>
      </c>
      <c r="R52" s="806">
        <f t="shared" si="0"/>
        <v>1.03</v>
      </c>
      <c r="S52" s="752">
        <f t="shared" si="1"/>
        <v>3</v>
      </c>
      <c r="T52" s="806">
        <f t="shared" si="2"/>
        <v>1.03</v>
      </c>
      <c r="U52" s="813">
        <v>12</v>
      </c>
      <c r="V52" s="760">
        <v>6</v>
      </c>
      <c r="W52" s="760">
        <v>-6</v>
      </c>
      <c r="X52" s="811">
        <v>0.5</v>
      </c>
      <c r="Y52" s="809"/>
    </row>
    <row r="53" spans="1:25" ht="14.4" customHeight="1" x14ac:dyDescent="0.3">
      <c r="A53" s="778" t="s">
        <v>3237</v>
      </c>
      <c r="B53" s="760"/>
      <c r="C53" s="761"/>
      <c r="D53" s="762"/>
      <c r="E53" s="764"/>
      <c r="F53" s="748"/>
      <c r="G53" s="749"/>
      <c r="H53" s="744">
        <v>1</v>
      </c>
      <c r="I53" s="745">
        <v>0.3</v>
      </c>
      <c r="J53" s="746">
        <v>2</v>
      </c>
      <c r="K53" s="750">
        <v>0.3</v>
      </c>
      <c r="L53" s="747">
        <v>1</v>
      </c>
      <c r="M53" s="747">
        <v>12</v>
      </c>
      <c r="N53" s="751">
        <v>4</v>
      </c>
      <c r="O53" s="747" t="s">
        <v>3144</v>
      </c>
      <c r="P53" s="763" t="s">
        <v>3238</v>
      </c>
      <c r="Q53" s="752">
        <f t="shared" si="0"/>
        <v>1</v>
      </c>
      <c r="R53" s="806">
        <f t="shared" si="0"/>
        <v>0.3</v>
      </c>
      <c r="S53" s="752">
        <f t="shared" si="1"/>
        <v>1</v>
      </c>
      <c r="T53" s="806">
        <f t="shared" si="2"/>
        <v>0.3</v>
      </c>
      <c r="U53" s="813">
        <v>4</v>
      </c>
      <c r="V53" s="760">
        <v>2</v>
      </c>
      <c r="W53" s="760">
        <v>-2</v>
      </c>
      <c r="X53" s="811">
        <v>0.5</v>
      </c>
      <c r="Y53" s="809"/>
    </row>
    <row r="54" spans="1:25" ht="14.4" customHeight="1" x14ac:dyDescent="0.3">
      <c r="A54" s="778" t="s">
        <v>3239</v>
      </c>
      <c r="B54" s="760"/>
      <c r="C54" s="761"/>
      <c r="D54" s="762"/>
      <c r="E54" s="744">
        <v>1</v>
      </c>
      <c r="F54" s="745">
        <v>3.04</v>
      </c>
      <c r="G54" s="746">
        <v>7</v>
      </c>
      <c r="H54" s="747"/>
      <c r="I54" s="748"/>
      <c r="J54" s="749"/>
      <c r="K54" s="750">
        <v>2.17</v>
      </c>
      <c r="L54" s="747">
        <v>4</v>
      </c>
      <c r="M54" s="747">
        <v>39</v>
      </c>
      <c r="N54" s="751">
        <v>13</v>
      </c>
      <c r="O54" s="747" t="s">
        <v>3144</v>
      </c>
      <c r="P54" s="763" t="s">
        <v>3240</v>
      </c>
      <c r="Q54" s="752">
        <f t="shared" si="0"/>
        <v>0</v>
      </c>
      <c r="R54" s="806">
        <f t="shared" si="0"/>
        <v>0</v>
      </c>
      <c r="S54" s="752">
        <f t="shared" si="1"/>
        <v>-1</v>
      </c>
      <c r="T54" s="806">
        <f t="shared" si="2"/>
        <v>-3.04</v>
      </c>
      <c r="U54" s="813" t="s">
        <v>486</v>
      </c>
      <c r="V54" s="760" t="s">
        <v>486</v>
      </c>
      <c r="W54" s="760" t="s">
        <v>486</v>
      </c>
      <c r="X54" s="811" t="s">
        <v>486</v>
      </c>
      <c r="Y54" s="809"/>
    </row>
    <row r="55" spans="1:25" ht="14.4" customHeight="1" x14ac:dyDescent="0.3">
      <c r="A55" s="778" t="s">
        <v>3241</v>
      </c>
      <c r="B55" s="753">
        <v>2</v>
      </c>
      <c r="C55" s="754">
        <v>13.6</v>
      </c>
      <c r="D55" s="755">
        <v>9</v>
      </c>
      <c r="E55" s="764"/>
      <c r="F55" s="748"/>
      <c r="G55" s="749"/>
      <c r="H55" s="747">
        <v>1</v>
      </c>
      <c r="I55" s="748">
        <v>9.81</v>
      </c>
      <c r="J55" s="749">
        <v>22</v>
      </c>
      <c r="K55" s="750">
        <v>5.89</v>
      </c>
      <c r="L55" s="747">
        <v>7</v>
      </c>
      <c r="M55" s="747">
        <v>66</v>
      </c>
      <c r="N55" s="751">
        <v>22</v>
      </c>
      <c r="O55" s="747" t="s">
        <v>3144</v>
      </c>
      <c r="P55" s="763" t="s">
        <v>3242</v>
      </c>
      <c r="Q55" s="752">
        <f t="shared" si="0"/>
        <v>-1</v>
      </c>
      <c r="R55" s="806">
        <f t="shared" si="0"/>
        <v>-3.7899999999999991</v>
      </c>
      <c r="S55" s="752">
        <f t="shared" si="1"/>
        <v>1</v>
      </c>
      <c r="T55" s="806">
        <f t="shared" si="2"/>
        <v>9.81</v>
      </c>
      <c r="U55" s="813">
        <v>22</v>
      </c>
      <c r="V55" s="760">
        <v>22</v>
      </c>
      <c r="W55" s="760">
        <v>0</v>
      </c>
      <c r="X55" s="811">
        <v>1</v>
      </c>
      <c r="Y55" s="809"/>
    </row>
    <row r="56" spans="1:25" ht="14.4" customHeight="1" x14ac:dyDescent="0.3">
      <c r="A56" s="778" t="s">
        <v>3243</v>
      </c>
      <c r="B56" s="753">
        <v>1</v>
      </c>
      <c r="C56" s="754">
        <v>0.93</v>
      </c>
      <c r="D56" s="755">
        <v>4</v>
      </c>
      <c r="E56" s="764"/>
      <c r="F56" s="748"/>
      <c r="G56" s="749"/>
      <c r="H56" s="747"/>
      <c r="I56" s="748"/>
      <c r="J56" s="749"/>
      <c r="K56" s="750">
        <v>0.93</v>
      </c>
      <c r="L56" s="747">
        <v>3</v>
      </c>
      <c r="M56" s="747">
        <v>27</v>
      </c>
      <c r="N56" s="751">
        <v>9</v>
      </c>
      <c r="O56" s="747" t="s">
        <v>3144</v>
      </c>
      <c r="P56" s="763" t="s">
        <v>3244</v>
      </c>
      <c r="Q56" s="752">
        <f t="shared" si="0"/>
        <v>-1</v>
      </c>
      <c r="R56" s="806">
        <f t="shared" si="0"/>
        <v>-0.93</v>
      </c>
      <c r="S56" s="752">
        <f t="shared" si="1"/>
        <v>0</v>
      </c>
      <c r="T56" s="806">
        <f t="shared" si="2"/>
        <v>0</v>
      </c>
      <c r="U56" s="813" t="s">
        <v>486</v>
      </c>
      <c r="V56" s="760" t="s">
        <v>486</v>
      </c>
      <c r="W56" s="760" t="s">
        <v>486</v>
      </c>
      <c r="X56" s="811" t="s">
        <v>486</v>
      </c>
      <c r="Y56" s="809"/>
    </row>
    <row r="57" spans="1:25" ht="14.4" customHeight="1" x14ac:dyDescent="0.3">
      <c r="A57" s="779" t="s">
        <v>3245</v>
      </c>
      <c r="B57" s="766">
        <v>1</v>
      </c>
      <c r="C57" s="767">
        <v>0.85</v>
      </c>
      <c r="D57" s="756">
        <v>3</v>
      </c>
      <c r="E57" s="768"/>
      <c r="F57" s="769"/>
      <c r="G57" s="757"/>
      <c r="H57" s="770"/>
      <c r="I57" s="769"/>
      <c r="J57" s="757"/>
      <c r="K57" s="771">
        <v>1.1100000000000001</v>
      </c>
      <c r="L57" s="770">
        <v>4</v>
      </c>
      <c r="M57" s="770">
        <v>33</v>
      </c>
      <c r="N57" s="772">
        <v>11</v>
      </c>
      <c r="O57" s="770" t="s">
        <v>3144</v>
      </c>
      <c r="P57" s="773" t="s">
        <v>3246</v>
      </c>
      <c r="Q57" s="774">
        <f t="shared" si="0"/>
        <v>-1</v>
      </c>
      <c r="R57" s="807">
        <f t="shared" si="0"/>
        <v>-0.85</v>
      </c>
      <c r="S57" s="774">
        <f t="shared" si="1"/>
        <v>0</v>
      </c>
      <c r="T57" s="807">
        <f t="shared" si="2"/>
        <v>0</v>
      </c>
      <c r="U57" s="814" t="s">
        <v>486</v>
      </c>
      <c r="V57" s="471" t="s">
        <v>486</v>
      </c>
      <c r="W57" s="471" t="s">
        <v>486</v>
      </c>
      <c r="X57" s="812" t="s">
        <v>486</v>
      </c>
      <c r="Y57" s="810"/>
    </row>
    <row r="58" spans="1:25" ht="14.4" customHeight="1" x14ac:dyDescent="0.3">
      <c r="A58" s="779" t="s">
        <v>3247</v>
      </c>
      <c r="B58" s="766">
        <v>1</v>
      </c>
      <c r="C58" s="767">
        <v>2.1800000000000002</v>
      </c>
      <c r="D58" s="756">
        <v>6</v>
      </c>
      <c r="E58" s="768"/>
      <c r="F58" s="769"/>
      <c r="G58" s="757"/>
      <c r="H58" s="770">
        <v>1</v>
      </c>
      <c r="I58" s="769">
        <v>1.1000000000000001</v>
      </c>
      <c r="J58" s="757">
        <v>2</v>
      </c>
      <c r="K58" s="771">
        <v>2.02</v>
      </c>
      <c r="L58" s="770">
        <v>4</v>
      </c>
      <c r="M58" s="770">
        <v>39</v>
      </c>
      <c r="N58" s="772">
        <v>13</v>
      </c>
      <c r="O58" s="770" t="s">
        <v>3144</v>
      </c>
      <c r="P58" s="773" t="s">
        <v>3248</v>
      </c>
      <c r="Q58" s="774">
        <f t="shared" si="0"/>
        <v>0</v>
      </c>
      <c r="R58" s="807">
        <f t="shared" si="0"/>
        <v>-1.08</v>
      </c>
      <c r="S58" s="774">
        <f t="shared" si="1"/>
        <v>1</v>
      </c>
      <c r="T58" s="807">
        <f t="shared" si="2"/>
        <v>1.1000000000000001</v>
      </c>
      <c r="U58" s="814">
        <v>13</v>
      </c>
      <c r="V58" s="471">
        <v>2</v>
      </c>
      <c r="W58" s="471">
        <v>-11</v>
      </c>
      <c r="X58" s="812">
        <v>0.15384615384615385</v>
      </c>
      <c r="Y58" s="810"/>
    </row>
    <row r="59" spans="1:25" ht="14.4" customHeight="1" x14ac:dyDescent="0.3">
      <c r="A59" s="778" t="s">
        <v>3249</v>
      </c>
      <c r="B59" s="753">
        <v>1</v>
      </c>
      <c r="C59" s="754">
        <v>0.64</v>
      </c>
      <c r="D59" s="755">
        <v>3</v>
      </c>
      <c r="E59" s="764"/>
      <c r="F59" s="748"/>
      <c r="G59" s="749"/>
      <c r="H59" s="747"/>
      <c r="I59" s="748"/>
      <c r="J59" s="749"/>
      <c r="K59" s="750">
        <v>0.64</v>
      </c>
      <c r="L59" s="747">
        <v>1</v>
      </c>
      <c r="M59" s="747">
        <v>12</v>
      </c>
      <c r="N59" s="751">
        <v>4</v>
      </c>
      <c r="O59" s="747" t="s">
        <v>3144</v>
      </c>
      <c r="P59" s="763" t="s">
        <v>3250</v>
      </c>
      <c r="Q59" s="752">
        <f t="shared" si="0"/>
        <v>-1</v>
      </c>
      <c r="R59" s="806">
        <f t="shared" si="0"/>
        <v>-0.64</v>
      </c>
      <c r="S59" s="752">
        <f t="shared" si="1"/>
        <v>0</v>
      </c>
      <c r="T59" s="806">
        <f t="shared" si="2"/>
        <v>0</v>
      </c>
      <c r="U59" s="813" t="s">
        <v>486</v>
      </c>
      <c r="V59" s="760" t="s">
        <v>486</v>
      </c>
      <c r="W59" s="760" t="s">
        <v>486</v>
      </c>
      <c r="X59" s="811" t="s">
        <v>486</v>
      </c>
      <c r="Y59" s="809"/>
    </row>
    <row r="60" spans="1:25" ht="14.4" customHeight="1" x14ac:dyDescent="0.3">
      <c r="A60" s="778" t="s">
        <v>3251</v>
      </c>
      <c r="B60" s="760">
        <v>1</v>
      </c>
      <c r="C60" s="761">
        <v>0.7</v>
      </c>
      <c r="D60" s="762">
        <v>4</v>
      </c>
      <c r="E60" s="744">
        <v>1</v>
      </c>
      <c r="F60" s="745">
        <v>0.7</v>
      </c>
      <c r="G60" s="746">
        <v>3</v>
      </c>
      <c r="H60" s="747"/>
      <c r="I60" s="748"/>
      <c r="J60" s="749"/>
      <c r="K60" s="750">
        <v>0.7</v>
      </c>
      <c r="L60" s="747">
        <v>2</v>
      </c>
      <c r="M60" s="747">
        <v>15</v>
      </c>
      <c r="N60" s="751">
        <v>5</v>
      </c>
      <c r="O60" s="747" t="s">
        <v>3144</v>
      </c>
      <c r="P60" s="763" t="s">
        <v>3252</v>
      </c>
      <c r="Q60" s="752">
        <f t="shared" si="0"/>
        <v>-1</v>
      </c>
      <c r="R60" s="806">
        <f t="shared" si="0"/>
        <v>-0.7</v>
      </c>
      <c r="S60" s="752">
        <f t="shared" si="1"/>
        <v>-1</v>
      </c>
      <c r="T60" s="806">
        <f t="shared" si="2"/>
        <v>-0.7</v>
      </c>
      <c r="U60" s="813" t="s">
        <v>486</v>
      </c>
      <c r="V60" s="760" t="s">
        <v>486</v>
      </c>
      <c r="W60" s="760" t="s">
        <v>486</v>
      </c>
      <c r="X60" s="811" t="s">
        <v>486</v>
      </c>
      <c r="Y60" s="809"/>
    </row>
    <row r="61" spans="1:25" ht="14.4" customHeight="1" x14ac:dyDescent="0.3">
      <c r="A61" s="779" t="s">
        <v>3253</v>
      </c>
      <c r="B61" s="471"/>
      <c r="C61" s="775"/>
      <c r="D61" s="765"/>
      <c r="E61" s="776">
        <v>1</v>
      </c>
      <c r="F61" s="777">
        <v>1.88</v>
      </c>
      <c r="G61" s="758">
        <v>1</v>
      </c>
      <c r="H61" s="770"/>
      <c r="I61" s="769"/>
      <c r="J61" s="757"/>
      <c r="K61" s="771">
        <v>3.18</v>
      </c>
      <c r="L61" s="770">
        <v>4</v>
      </c>
      <c r="M61" s="770">
        <v>33</v>
      </c>
      <c r="N61" s="772">
        <v>11</v>
      </c>
      <c r="O61" s="770" t="s">
        <v>3144</v>
      </c>
      <c r="P61" s="773" t="s">
        <v>3254</v>
      </c>
      <c r="Q61" s="774">
        <f t="shared" si="0"/>
        <v>0</v>
      </c>
      <c r="R61" s="807">
        <f t="shared" si="0"/>
        <v>0</v>
      </c>
      <c r="S61" s="774">
        <f t="shared" si="1"/>
        <v>-1</v>
      </c>
      <c r="T61" s="807">
        <f t="shared" si="2"/>
        <v>-1.88</v>
      </c>
      <c r="U61" s="814" t="s">
        <v>486</v>
      </c>
      <c r="V61" s="471" t="s">
        <v>486</v>
      </c>
      <c r="W61" s="471" t="s">
        <v>486</v>
      </c>
      <c r="X61" s="812" t="s">
        <v>486</v>
      </c>
      <c r="Y61" s="810"/>
    </row>
    <row r="62" spans="1:25" ht="14.4" customHeight="1" x14ac:dyDescent="0.3">
      <c r="A62" s="778" t="s">
        <v>3255</v>
      </c>
      <c r="B62" s="753">
        <v>1</v>
      </c>
      <c r="C62" s="754">
        <v>1.67</v>
      </c>
      <c r="D62" s="755">
        <v>3</v>
      </c>
      <c r="E62" s="764"/>
      <c r="F62" s="748"/>
      <c r="G62" s="749"/>
      <c r="H62" s="747"/>
      <c r="I62" s="748"/>
      <c r="J62" s="749"/>
      <c r="K62" s="750">
        <v>2.17</v>
      </c>
      <c r="L62" s="747">
        <v>4</v>
      </c>
      <c r="M62" s="747">
        <v>39</v>
      </c>
      <c r="N62" s="751">
        <v>13</v>
      </c>
      <c r="O62" s="747" t="s">
        <v>3144</v>
      </c>
      <c r="P62" s="763" t="s">
        <v>3256</v>
      </c>
      <c r="Q62" s="752">
        <f t="shared" si="0"/>
        <v>-1</v>
      </c>
      <c r="R62" s="806">
        <f t="shared" si="0"/>
        <v>-1.67</v>
      </c>
      <c r="S62" s="752">
        <f t="shared" si="1"/>
        <v>0</v>
      </c>
      <c r="T62" s="806">
        <f t="shared" si="2"/>
        <v>0</v>
      </c>
      <c r="U62" s="813" t="s">
        <v>486</v>
      </c>
      <c r="V62" s="760" t="s">
        <v>486</v>
      </c>
      <c r="W62" s="760" t="s">
        <v>486</v>
      </c>
      <c r="X62" s="811" t="s">
        <v>486</v>
      </c>
      <c r="Y62" s="809"/>
    </row>
    <row r="63" spans="1:25" ht="14.4" customHeight="1" x14ac:dyDescent="0.3">
      <c r="A63" s="778" t="s">
        <v>3257</v>
      </c>
      <c r="B63" s="760"/>
      <c r="C63" s="761"/>
      <c r="D63" s="762"/>
      <c r="E63" s="744">
        <v>1</v>
      </c>
      <c r="F63" s="745">
        <v>0.32</v>
      </c>
      <c r="G63" s="746">
        <v>1</v>
      </c>
      <c r="H63" s="747"/>
      <c r="I63" s="748"/>
      <c r="J63" s="749"/>
      <c r="K63" s="750">
        <v>0.85</v>
      </c>
      <c r="L63" s="747">
        <v>3</v>
      </c>
      <c r="M63" s="747">
        <v>24</v>
      </c>
      <c r="N63" s="751">
        <v>8</v>
      </c>
      <c r="O63" s="747" t="s">
        <v>3144</v>
      </c>
      <c r="P63" s="763" t="s">
        <v>3258</v>
      </c>
      <c r="Q63" s="752">
        <f t="shared" si="0"/>
        <v>0</v>
      </c>
      <c r="R63" s="806">
        <f t="shared" si="0"/>
        <v>0</v>
      </c>
      <c r="S63" s="752">
        <f t="shared" si="1"/>
        <v>-1</v>
      </c>
      <c r="T63" s="806">
        <f t="shared" si="2"/>
        <v>-0.32</v>
      </c>
      <c r="U63" s="813" t="s">
        <v>486</v>
      </c>
      <c r="V63" s="760" t="s">
        <v>486</v>
      </c>
      <c r="W63" s="760" t="s">
        <v>486</v>
      </c>
      <c r="X63" s="811" t="s">
        <v>486</v>
      </c>
      <c r="Y63" s="809"/>
    </row>
    <row r="64" spans="1:25" ht="14.4" customHeight="1" x14ac:dyDescent="0.3">
      <c r="A64" s="778" t="s">
        <v>3259</v>
      </c>
      <c r="B64" s="760"/>
      <c r="C64" s="761"/>
      <c r="D64" s="762"/>
      <c r="E64" s="764"/>
      <c r="F64" s="748"/>
      <c r="G64" s="749"/>
      <c r="H64" s="744">
        <v>1</v>
      </c>
      <c r="I64" s="745">
        <v>37.340000000000003</v>
      </c>
      <c r="J64" s="746">
        <v>38</v>
      </c>
      <c r="K64" s="750">
        <v>37.340000000000003</v>
      </c>
      <c r="L64" s="747">
        <v>22</v>
      </c>
      <c r="M64" s="747">
        <v>132</v>
      </c>
      <c r="N64" s="751">
        <v>44</v>
      </c>
      <c r="O64" s="747" t="s">
        <v>3144</v>
      </c>
      <c r="P64" s="763" t="s">
        <v>3260</v>
      </c>
      <c r="Q64" s="752">
        <f t="shared" si="0"/>
        <v>1</v>
      </c>
      <c r="R64" s="806">
        <f t="shared" si="0"/>
        <v>37.340000000000003</v>
      </c>
      <c r="S64" s="752">
        <f t="shared" si="1"/>
        <v>1</v>
      </c>
      <c r="T64" s="806">
        <f t="shared" si="2"/>
        <v>37.340000000000003</v>
      </c>
      <c r="U64" s="813">
        <v>44</v>
      </c>
      <c r="V64" s="760">
        <v>38</v>
      </c>
      <c r="W64" s="760">
        <v>-6</v>
      </c>
      <c r="X64" s="811">
        <v>0.86363636363636365</v>
      </c>
      <c r="Y64" s="809"/>
    </row>
    <row r="65" spans="1:25" ht="14.4" customHeight="1" x14ac:dyDescent="0.3">
      <c r="A65" s="778" t="s">
        <v>3261</v>
      </c>
      <c r="B65" s="760">
        <v>1</v>
      </c>
      <c r="C65" s="761">
        <v>16.940000000000001</v>
      </c>
      <c r="D65" s="762">
        <v>30</v>
      </c>
      <c r="E65" s="764"/>
      <c r="F65" s="748"/>
      <c r="G65" s="749"/>
      <c r="H65" s="744">
        <v>1</v>
      </c>
      <c r="I65" s="745">
        <v>16.940000000000001</v>
      </c>
      <c r="J65" s="746">
        <v>13</v>
      </c>
      <c r="K65" s="750">
        <v>16.940000000000001</v>
      </c>
      <c r="L65" s="747">
        <v>5</v>
      </c>
      <c r="M65" s="747">
        <v>72</v>
      </c>
      <c r="N65" s="751">
        <v>24</v>
      </c>
      <c r="O65" s="747" t="s">
        <v>3144</v>
      </c>
      <c r="P65" s="763" t="s">
        <v>3262</v>
      </c>
      <c r="Q65" s="752">
        <f t="shared" si="0"/>
        <v>0</v>
      </c>
      <c r="R65" s="806">
        <f t="shared" si="0"/>
        <v>0</v>
      </c>
      <c r="S65" s="752">
        <f t="shared" si="1"/>
        <v>1</v>
      </c>
      <c r="T65" s="806">
        <f t="shared" si="2"/>
        <v>16.940000000000001</v>
      </c>
      <c r="U65" s="813">
        <v>24</v>
      </c>
      <c r="V65" s="760">
        <v>13</v>
      </c>
      <c r="W65" s="760">
        <v>-11</v>
      </c>
      <c r="X65" s="811">
        <v>0.54166666666666663</v>
      </c>
      <c r="Y65" s="809"/>
    </row>
    <row r="66" spans="1:25" ht="14.4" customHeight="1" x14ac:dyDescent="0.3">
      <c r="A66" s="778" t="s">
        <v>3263</v>
      </c>
      <c r="B66" s="760"/>
      <c r="C66" s="761"/>
      <c r="D66" s="762"/>
      <c r="E66" s="744">
        <v>1</v>
      </c>
      <c r="F66" s="745">
        <v>3.18</v>
      </c>
      <c r="G66" s="746">
        <v>3</v>
      </c>
      <c r="H66" s="747"/>
      <c r="I66" s="748"/>
      <c r="J66" s="749"/>
      <c r="K66" s="750">
        <v>3.18</v>
      </c>
      <c r="L66" s="747">
        <v>1</v>
      </c>
      <c r="M66" s="747">
        <v>5</v>
      </c>
      <c r="N66" s="751">
        <v>2</v>
      </c>
      <c r="O66" s="747" t="s">
        <v>3144</v>
      </c>
      <c r="P66" s="763" t="s">
        <v>3264</v>
      </c>
      <c r="Q66" s="752">
        <f t="shared" si="0"/>
        <v>0</v>
      </c>
      <c r="R66" s="806">
        <f t="shared" si="0"/>
        <v>0</v>
      </c>
      <c r="S66" s="752">
        <f t="shared" si="1"/>
        <v>-1</v>
      </c>
      <c r="T66" s="806">
        <f t="shared" si="2"/>
        <v>-3.18</v>
      </c>
      <c r="U66" s="813" t="s">
        <v>486</v>
      </c>
      <c r="V66" s="760" t="s">
        <v>486</v>
      </c>
      <c r="W66" s="760" t="s">
        <v>486</v>
      </c>
      <c r="X66" s="811" t="s">
        <v>486</v>
      </c>
      <c r="Y66" s="809"/>
    </row>
    <row r="67" spans="1:25" ht="14.4" customHeight="1" x14ac:dyDescent="0.3">
      <c r="A67" s="778" t="s">
        <v>3265</v>
      </c>
      <c r="B67" s="760"/>
      <c r="C67" s="761"/>
      <c r="D67" s="762"/>
      <c r="E67" s="764"/>
      <c r="F67" s="748"/>
      <c r="G67" s="749"/>
      <c r="H67" s="744">
        <v>1</v>
      </c>
      <c r="I67" s="745">
        <v>2.2599999999999998</v>
      </c>
      <c r="J67" s="746">
        <v>4</v>
      </c>
      <c r="K67" s="750">
        <v>2.2599999999999998</v>
      </c>
      <c r="L67" s="747">
        <v>4</v>
      </c>
      <c r="M67" s="747">
        <v>39</v>
      </c>
      <c r="N67" s="751">
        <v>13</v>
      </c>
      <c r="O67" s="747" t="s">
        <v>3144</v>
      </c>
      <c r="P67" s="763" t="s">
        <v>3266</v>
      </c>
      <c r="Q67" s="752">
        <f t="shared" si="0"/>
        <v>1</v>
      </c>
      <c r="R67" s="806">
        <f t="shared" si="0"/>
        <v>2.2599999999999998</v>
      </c>
      <c r="S67" s="752">
        <f t="shared" si="1"/>
        <v>1</v>
      </c>
      <c r="T67" s="806">
        <f t="shared" si="2"/>
        <v>2.2599999999999998</v>
      </c>
      <c r="U67" s="813">
        <v>13</v>
      </c>
      <c r="V67" s="760">
        <v>4</v>
      </c>
      <c r="W67" s="760">
        <v>-9</v>
      </c>
      <c r="X67" s="811">
        <v>0.30769230769230771</v>
      </c>
      <c r="Y67" s="809"/>
    </row>
    <row r="68" spans="1:25" ht="14.4" customHeight="1" x14ac:dyDescent="0.3">
      <c r="A68" s="779" t="s">
        <v>3267</v>
      </c>
      <c r="B68" s="471"/>
      <c r="C68" s="775"/>
      <c r="D68" s="765"/>
      <c r="E68" s="768"/>
      <c r="F68" s="769"/>
      <c r="G68" s="757"/>
      <c r="H68" s="776">
        <v>1</v>
      </c>
      <c r="I68" s="777">
        <v>4.42</v>
      </c>
      <c r="J68" s="759">
        <v>22</v>
      </c>
      <c r="K68" s="771">
        <v>4.42</v>
      </c>
      <c r="L68" s="770">
        <v>6</v>
      </c>
      <c r="M68" s="770">
        <v>57</v>
      </c>
      <c r="N68" s="772">
        <v>19</v>
      </c>
      <c r="O68" s="770" t="s">
        <v>3144</v>
      </c>
      <c r="P68" s="773" t="s">
        <v>3268</v>
      </c>
      <c r="Q68" s="774">
        <f t="shared" si="0"/>
        <v>1</v>
      </c>
      <c r="R68" s="807">
        <f t="shared" si="0"/>
        <v>4.42</v>
      </c>
      <c r="S68" s="774">
        <f t="shared" si="1"/>
        <v>1</v>
      </c>
      <c r="T68" s="807">
        <f t="shared" si="2"/>
        <v>4.42</v>
      </c>
      <c r="U68" s="814">
        <v>19</v>
      </c>
      <c r="V68" s="471">
        <v>22</v>
      </c>
      <c r="W68" s="471">
        <v>3</v>
      </c>
      <c r="X68" s="812">
        <v>1.1578947368421053</v>
      </c>
      <c r="Y68" s="810">
        <v>3</v>
      </c>
    </row>
    <row r="69" spans="1:25" ht="14.4" customHeight="1" thickBot="1" x14ac:dyDescent="0.35">
      <c r="A69" s="793" t="s">
        <v>3269</v>
      </c>
      <c r="B69" s="794">
        <v>1</v>
      </c>
      <c r="C69" s="795">
        <v>0.37</v>
      </c>
      <c r="D69" s="796">
        <v>5</v>
      </c>
      <c r="E69" s="797"/>
      <c r="F69" s="798"/>
      <c r="G69" s="799"/>
      <c r="H69" s="800"/>
      <c r="I69" s="798"/>
      <c r="J69" s="799"/>
      <c r="K69" s="801">
        <v>0.11</v>
      </c>
      <c r="L69" s="800">
        <v>2</v>
      </c>
      <c r="M69" s="800">
        <v>15</v>
      </c>
      <c r="N69" s="802">
        <v>5</v>
      </c>
      <c r="O69" s="800" t="s">
        <v>3144</v>
      </c>
      <c r="P69" s="803" t="s">
        <v>3270</v>
      </c>
      <c r="Q69" s="804">
        <f t="shared" si="0"/>
        <v>-1</v>
      </c>
      <c r="R69" s="808">
        <f t="shared" si="0"/>
        <v>-0.37</v>
      </c>
      <c r="S69" s="804">
        <f t="shared" si="1"/>
        <v>0</v>
      </c>
      <c r="T69" s="808">
        <f t="shared" si="2"/>
        <v>0</v>
      </c>
      <c r="U69" s="818" t="s">
        <v>486</v>
      </c>
      <c r="V69" s="819" t="s">
        <v>486</v>
      </c>
      <c r="W69" s="819" t="s">
        <v>486</v>
      </c>
      <c r="X69" s="820" t="s">
        <v>486</v>
      </c>
      <c r="Y69" s="821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70:Q1048576">
    <cfRule type="cellIs" dxfId="13" priority="10" stopIfTrue="1" operator="lessThan">
      <formula>0</formula>
    </cfRule>
  </conditionalFormatting>
  <conditionalFormatting sqref="W70:W1048576">
    <cfRule type="cellIs" dxfId="12" priority="9" stopIfTrue="1" operator="greaterThan">
      <formula>0</formula>
    </cfRule>
  </conditionalFormatting>
  <conditionalFormatting sqref="X70:X1048576">
    <cfRule type="cellIs" dxfId="11" priority="8" stopIfTrue="1" operator="greaterThan">
      <formula>1</formula>
    </cfRule>
  </conditionalFormatting>
  <conditionalFormatting sqref="X70:X1048576">
    <cfRule type="cellIs" dxfId="10" priority="5" stopIfTrue="1" operator="greaterThan">
      <formula>1</formula>
    </cfRule>
  </conditionalFormatting>
  <conditionalFormatting sqref="W70:W1048576">
    <cfRule type="cellIs" dxfId="9" priority="6" stopIfTrue="1" operator="greaterThan">
      <formula>0</formula>
    </cfRule>
  </conditionalFormatting>
  <conditionalFormatting sqref="Q70:Q1048576">
    <cfRule type="cellIs" dxfId="8" priority="7" stopIfTrue="1" operator="lessThan">
      <formula>0</formula>
    </cfRule>
  </conditionalFormatting>
  <conditionalFormatting sqref="Q5:Q69">
    <cfRule type="cellIs" dxfId="7" priority="4" stopIfTrue="1" operator="lessThan">
      <formula>0</formula>
    </cfRule>
  </conditionalFormatting>
  <conditionalFormatting sqref="X5:X69">
    <cfRule type="cellIs" dxfId="6" priority="2" stopIfTrue="1" operator="greaterThan">
      <formula>1</formula>
    </cfRule>
  </conditionalFormatting>
  <conditionalFormatting sqref="W5:W69">
    <cfRule type="cellIs" dxfId="5" priority="3" stopIfTrue="1" operator="greaterThan">
      <formula>0</formula>
    </cfRule>
  </conditionalFormatting>
  <conditionalFormatting sqref="S5:S69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31" customWidth="1" collapsed="1"/>
    <col min="2" max="2" width="7.77734375" style="199" hidden="1" customWidth="1" outlineLevel="1"/>
    <col min="3" max="3" width="7.21875" style="231" hidden="1" customWidth="1"/>
    <col min="4" max="4" width="7.77734375" style="199" customWidth="1"/>
    <col min="5" max="5" width="7.2187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7.21875" style="231" hidden="1" customWidth="1"/>
    <col min="10" max="10" width="7.77734375" style="199" customWidth="1"/>
    <col min="11" max="11" width="7.21875" style="231" hidden="1" customWidth="1"/>
    <col min="12" max="12" width="7.77734375" style="199" customWidth="1"/>
    <col min="13" max="13" width="7.77734375" style="313" customWidth="1"/>
    <col min="14" max="16384" width="8.88671875" style="231"/>
  </cols>
  <sheetData>
    <row r="1" spans="1:13" ht="18.600000000000001" customHeight="1" thickBot="1" x14ac:dyDescent="0.4">
      <c r="A1" s="508" t="s">
        <v>141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</row>
    <row r="2" spans="1:13" ht="14.4" customHeight="1" thickBot="1" x14ac:dyDescent="0.35">
      <c r="A2" s="351" t="s">
        <v>288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</row>
    <row r="3" spans="1:13" ht="14.4" customHeight="1" thickBot="1" x14ac:dyDescent="0.35">
      <c r="A3" s="319" t="s">
        <v>142</v>
      </c>
      <c r="B3" s="320">
        <f>SUBTOTAL(9,B6:B1048576)</f>
        <v>4075336</v>
      </c>
      <c r="C3" s="321">
        <f t="shared" ref="C3:L3" si="0">SUBTOTAL(9,C6:C1048576)</f>
        <v>9.1273003599842486</v>
      </c>
      <c r="D3" s="321">
        <f t="shared" si="0"/>
        <v>5139562</v>
      </c>
      <c r="E3" s="321">
        <f t="shared" si="0"/>
        <v>10</v>
      </c>
      <c r="F3" s="321">
        <f t="shared" si="0"/>
        <v>4820966</v>
      </c>
      <c r="G3" s="324">
        <f>IF(D3&lt;&gt;0,F3/D3,"")</f>
        <v>0.93801106008644319</v>
      </c>
      <c r="H3" s="320">
        <f t="shared" si="0"/>
        <v>597381.6</v>
      </c>
      <c r="I3" s="321">
        <f t="shared" si="0"/>
        <v>0.65737403134520411</v>
      </c>
      <c r="J3" s="321">
        <f t="shared" si="0"/>
        <v>907392.4</v>
      </c>
      <c r="K3" s="321">
        <f t="shared" si="0"/>
        <v>1</v>
      </c>
      <c r="L3" s="321">
        <f t="shared" si="0"/>
        <v>905590.01999999967</v>
      </c>
      <c r="M3" s="322">
        <f>IF(J3&lt;&gt;0,L3/J3,"")</f>
        <v>0.99801367082201664</v>
      </c>
    </row>
    <row r="4" spans="1:13" ht="14.4" customHeight="1" x14ac:dyDescent="0.3">
      <c r="A4" s="618" t="s">
        <v>105</v>
      </c>
      <c r="B4" s="557" t="s">
        <v>110</v>
      </c>
      <c r="C4" s="558"/>
      <c r="D4" s="558"/>
      <c r="E4" s="558"/>
      <c r="F4" s="558"/>
      <c r="G4" s="560"/>
      <c r="H4" s="557" t="s">
        <v>111</v>
      </c>
      <c r="I4" s="558"/>
      <c r="J4" s="558"/>
      <c r="K4" s="558"/>
      <c r="L4" s="558"/>
      <c r="M4" s="560"/>
    </row>
    <row r="5" spans="1:13" s="311" customFormat="1" ht="14.4" customHeight="1" thickBot="1" x14ac:dyDescent="0.35">
      <c r="A5" s="822"/>
      <c r="B5" s="823">
        <v>2015</v>
      </c>
      <c r="C5" s="824"/>
      <c r="D5" s="824">
        <v>2016</v>
      </c>
      <c r="E5" s="824"/>
      <c r="F5" s="824">
        <v>2017</v>
      </c>
      <c r="G5" s="731" t="s">
        <v>2</v>
      </c>
      <c r="H5" s="823">
        <v>2015</v>
      </c>
      <c r="I5" s="824"/>
      <c r="J5" s="824">
        <v>2016</v>
      </c>
      <c r="K5" s="824"/>
      <c r="L5" s="824">
        <v>2017</v>
      </c>
      <c r="M5" s="731" t="s">
        <v>2</v>
      </c>
    </row>
    <row r="6" spans="1:13" ht="14.4" customHeight="1" x14ac:dyDescent="0.3">
      <c r="A6" s="706" t="s">
        <v>3272</v>
      </c>
      <c r="B6" s="732">
        <v>1434</v>
      </c>
      <c r="C6" s="669">
        <v>0.19160876536611438</v>
      </c>
      <c r="D6" s="732">
        <v>7484</v>
      </c>
      <c r="E6" s="669">
        <v>1</v>
      </c>
      <c r="F6" s="732">
        <v>486</v>
      </c>
      <c r="G6" s="694">
        <v>6.4938535542490641E-2</v>
      </c>
      <c r="H6" s="732">
        <v>885.4</v>
      </c>
      <c r="I6" s="669"/>
      <c r="J6" s="732"/>
      <c r="K6" s="669"/>
      <c r="L6" s="732"/>
      <c r="M6" s="718"/>
    </row>
    <row r="7" spans="1:13" ht="14.4" customHeight="1" x14ac:dyDescent="0.3">
      <c r="A7" s="707" t="s">
        <v>3273</v>
      </c>
      <c r="B7" s="825">
        <v>236649</v>
      </c>
      <c r="C7" s="676">
        <v>0.99243040586444342</v>
      </c>
      <c r="D7" s="825">
        <v>238454</v>
      </c>
      <c r="E7" s="676">
        <v>1</v>
      </c>
      <c r="F7" s="825">
        <v>331558</v>
      </c>
      <c r="G7" s="702">
        <v>1.3904484722420256</v>
      </c>
      <c r="H7" s="825"/>
      <c r="I7" s="676"/>
      <c r="J7" s="825"/>
      <c r="K7" s="676"/>
      <c r="L7" s="825"/>
      <c r="M7" s="826"/>
    </row>
    <row r="8" spans="1:13" ht="14.4" customHeight="1" x14ac:dyDescent="0.3">
      <c r="A8" s="707" t="s">
        <v>3274</v>
      </c>
      <c r="B8" s="825">
        <v>968355</v>
      </c>
      <c r="C8" s="676">
        <v>0.74066836111478673</v>
      </c>
      <c r="D8" s="825">
        <v>1307407</v>
      </c>
      <c r="E8" s="676">
        <v>1</v>
      </c>
      <c r="F8" s="825">
        <v>1576696</v>
      </c>
      <c r="G8" s="702">
        <v>1.2059718205577912</v>
      </c>
      <c r="H8" s="825"/>
      <c r="I8" s="676"/>
      <c r="J8" s="825"/>
      <c r="K8" s="676"/>
      <c r="L8" s="825"/>
      <c r="M8" s="826"/>
    </row>
    <row r="9" spans="1:13" ht="14.4" customHeight="1" x14ac:dyDescent="0.3">
      <c r="A9" s="707" t="s">
        <v>3275</v>
      </c>
      <c r="B9" s="825">
        <v>837846</v>
      </c>
      <c r="C9" s="676">
        <v>0.57959519110441482</v>
      </c>
      <c r="D9" s="825">
        <v>1445571</v>
      </c>
      <c r="E9" s="676">
        <v>1</v>
      </c>
      <c r="F9" s="825">
        <v>1047312</v>
      </c>
      <c r="G9" s="702">
        <v>0.72449710183726712</v>
      </c>
      <c r="H9" s="825">
        <v>596496.19999999995</v>
      </c>
      <c r="I9" s="676">
        <v>0.65737403134520411</v>
      </c>
      <c r="J9" s="825">
        <v>907392.4</v>
      </c>
      <c r="K9" s="676">
        <v>1</v>
      </c>
      <c r="L9" s="825">
        <v>905590.01999999967</v>
      </c>
      <c r="M9" s="826">
        <v>0.99801367082201664</v>
      </c>
    </row>
    <row r="10" spans="1:13" ht="14.4" customHeight="1" x14ac:dyDescent="0.3">
      <c r="A10" s="707" t="s">
        <v>3276</v>
      </c>
      <c r="B10" s="825">
        <v>390466</v>
      </c>
      <c r="C10" s="676">
        <v>1.0134261458163007</v>
      </c>
      <c r="D10" s="825">
        <v>385293</v>
      </c>
      <c r="E10" s="676">
        <v>1</v>
      </c>
      <c r="F10" s="825">
        <v>445310</v>
      </c>
      <c r="G10" s="702">
        <v>1.1557697648283254</v>
      </c>
      <c r="H10" s="825"/>
      <c r="I10" s="676"/>
      <c r="J10" s="825"/>
      <c r="K10" s="676"/>
      <c r="L10" s="825"/>
      <c r="M10" s="826"/>
    </row>
    <row r="11" spans="1:13" ht="14.4" customHeight="1" x14ac:dyDescent="0.3">
      <c r="A11" s="707" t="s">
        <v>3277</v>
      </c>
      <c r="B11" s="825">
        <v>1138081</v>
      </c>
      <c r="C11" s="676">
        <v>0.92731598609939825</v>
      </c>
      <c r="D11" s="825">
        <v>1227285</v>
      </c>
      <c r="E11" s="676">
        <v>1</v>
      </c>
      <c r="F11" s="825">
        <v>773110</v>
      </c>
      <c r="G11" s="702">
        <v>0.62993518212966015</v>
      </c>
      <c r="H11" s="825"/>
      <c r="I11" s="676"/>
      <c r="J11" s="825"/>
      <c r="K11" s="676"/>
      <c r="L11" s="825"/>
      <c r="M11" s="826"/>
    </row>
    <row r="12" spans="1:13" ht="14.4" customHeight="1" x14ac:dyDescent="0.3">
      <c r="A12" s="707" t="s">
        <v>3278</v>
      </c>
      <c r="B12" s="825">
        <v>426901</v>
      </c>
      <c r="C12" s="676">
        <v>0.92972117141544219</v>
      </c>
      <c r="D12" s="825">
        <v>459171</v>
      </c>
      <c r="E12" s="676">
        <v>1</v>
      </c>
      <c r="F12" s="825">
        <v>543676</v>
      </c>
      <c r="G12" s="702">
        <v>1.1840381905651707</v>
      </c>
      <c r="H12" s="825"/>
      <c r="I12" s="676"/>
      <c r="J12" s="825"/>
      <c r="K12" s="676"/>
      <c r="L12" s="825"/>
      <c r="M12" s="826"/>
    </row>
    <row r="13" spans="1:13" ht="14.4" customHeight="1" x14ac:dyDescent="0.3">
      <c r="A13" s="707" t="s">
        <v>3279</v>
      </c>
      <c r="B13" s="825">
        <v>12101</v>
      </c>
      <c r="C13" s="676">
        <v>0.31923706009602704</v>
      </c>
      <c r="D13" s="825">
        <v>37906</v>
      </c>
      <c r="E13" s="676">
        <v>1</v>
      </c>
      <c r="F13" s="825">
        <v>8973</v>
      </c>
      <c r="G13" s="702">
        <v>0.23671714240489633</v>
      </c>
      <c r="H13" s="825"/>
      <c r="I13" s="676"/>
      <c r="J13" s="825"/>
      <c r="K13" s="676"/>
      <c r="L13" s="825"/>
      <c r="M13" s="826"/>
    </row>
    <row r="14" spans="1:13" ht="14.4" customHeight="1" x14ac:dyDescent="0.3">
      <c r="A14" s="707" t="s">
        <v>3280</v>
      </c>
      <c r="B14" s="825">
        <v>63244</v>
      </c>
      <c r="C14" s="676">
        <v>3.412507419198187</v>
      </c>
      <c r="D14" s="825">
        <v>18533</v>
      </c>
      <c r="E14" s="676">
        <v>1</v>
      </c>
      <c r="F14" s="825">
        <v>93845</v>
      </c>
      <c r="G14" s="702">
        <v>5.0636702098958617</v>
      </c>
      <c r="H14" s="825"/>
      <c r="I14" s="676"/>
      <c r="J14" s="825"/>
      <c r="K14" s="676"/>
      <c r="L14" s="825"/>
      <c r="M14" s="826"/>
    </row>
    <row r="15" spans="1:13" ht="14.4" customHeight="1" thickBot="1" x14ac:dyDescent="0.35">
      <c r="A15" s="734" t="s">
        <v>1624</v>
      </c>
      <c r="B15" s="733">
        <v>259</v>
      </c>
      <c r="C15" s="683">
        <v>2.0789853909134692E-2</v>
      </c>
      <c r="D15" s="733">
        <v>12458</v>
      </c>
      <c r="E15" s="683">
        <v>1</v>
      </c>
      <c r="F15" s="733"/>
      <c r="G15" s="695"/>
      <c r="H15" s="733"/>
      <c r="I15" s="683"/>
      <c r="J15" s="733"/>
      <c r="K15" s="683"/>
      <c r="L15" s="733"/>
      <c r="M15" s="719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35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508" t="s">
        <v>3939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ht="14.4" customHeight="1" thickBot="1" x14ac:dyDescent="0.35">
      <c r="A2" s="351" t="s">
        <v>288</v>
      </c>
      <c r="B2" s="204"/>
      <c r="C2" s="204"/>
      <c r="D2" s="204"/>
      <c r="E2" s="204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6"/>
      <c r="Q2" s="329"/>
    </row>
    <row r="3" spans="1:17" ht="14.4" customHeight="1" thickBot="1" x14ac:dyDescent="0.35">
      <c r="E3" s="97" t="s">
        <v>142</v>
      </c>
      <c r="F3" s="191">
        <f t="shared" ref="F3:O3" si="0">SUBTOTAL(9,F6:F1048576)</f>
        <v>29366.23</v>
      </c>
      <c r="G3" s="195">
        <f t="shared" si="0"/>
        <v>4672717.5999999996</v>
      </c>
      <c r="H3" s="196"/>
      <c r="I3" s="196"/>
      <c r="J3" s="191">
        <f t="shared" si="0"/>
        <v>37404.36</v>
      </c>
      <c r="K3" s="195">
        <f t="shared" si="0"/>
        <v>6046954.4000000004</v>
      </c>
      <c r="L3" s="196"/>
      <c r="M3" s="196"/>
      <c r="N3" s="191">
        <f t="shared" si="0"/>
        <v>40259.57</v>
      </c>
      <c r="O3" s="195">
        <f t="shared" si="0"/>
        <v>5726556.0200000014</v>
      </c>
      <c r="P3" s="162">
        <f>IF(K3=0,"",O3/K3)</f>
        <v>0.94701491712919172</v>
      </c>
      <c r="Q3" s="193">
        <f>IF(N3=0,"",O3/N3)</f>
        <v>142.24086397346025</v>
      </c>
    </row>
    <row r="4" spans="1:17" ht="14.4" customHeight="1" x14ac:dyDescent="0.3">
      <c r="A4" s="563" t="s">
        <v>61</v>
      </c>
      <c r="B4" s="561" t="s">
        <v>106</v>
      </c>
      <c r="C4" s="563" t="s">
        <v>107</v>
      </c>
      <c r="D4" s="567" t="s">
        <v>77</v>
      </c>
      <c r="E4" s="564" t="s">
        <v>11</v>
      </c>
      <c r="F4" s="565">
        <v>2015</v>
      </c>
      <c r="G4" s="566"/>
      <c r="H4" s="194"/>
      <c r="I4" s="194"/>
      <c r="J4" s="565">
        <v>2016</v>
      </c>
      <c r="K4" s="566"/>
      <c r="L4" s="194"/>
      <c r="M4" s="194"/>
      <c r="N4" s="565">
        <v>2017</v>
      </c>
      <c r="O4" s="566"/>
      <c r="P4" s="568" t="s">
        <v>2</v>
      </c>
      <c r="Q4" s="562" t="s">
        <v>109</v>
      </c>
    </row>
    <row r="5" spans="1:17" ht="14.4" customHeight="1" thickBot="1" x14ac:dyDescent="0.35">
      <c r="A5" s="735"/>
      <c r="B5" s="736"/>
      <c r="C5" s="735"/>
      <c r="D5" s="737"/>
      <c r="E5" s="738"/>
      <c r="F5" s="739" t="s">
        <v>78</v>
      </c>
      <c r="G5" s="740" t="s">
        <v>14</v>
      </c>
      <c r="H5" s="741"/>
      <c r="I5" s="741"/>
      <c r="J5" s="739" t="s">
        <v>78</v>
      </c>
      <c r="K5" s="740" t="s">
        <v>14</v>
      </c>
      <c r="L5" s="741"/>
      <c r="M5" s="741"/>
      <c r="N5" s="739" t="s">
        <v>78</v>
      </c>
      <c r="O5" s="740" t="s">
        <v>14</v>
      </c>
      <c r="P5" s="742"/>
      <c r="Q5" s="743"/>
    </row>
    <row r="6" spans="1:17" ht="14.4" customHeight="1" x14ac:dyDescent="0.3">
      <c r="A6" s="668" t="s">
        <v>3281</v>
      </c>
      <c r="B6" s="669" t="s">
        <v>3133</v>
      </c>
      <c r="C6" s="669" t="s">
        <v>2521</v>
      </c>
      <c r="D6" s="669" t="s">
        <v>2569</v>
      </c>
      <c r="E6" s="669" t="s">
        <v>2570</v>
      </c>
      <c r="F6" s="673">
        <v>0.2</v>
      </c>
      <c r="G6" s="673">
        <v>885.4</v>
      </c>
      <c r="H6" s="673"/>
      <c r="I6" s="673">
        <v>4427</v>
      </c>
      <c r="J6" s="673"/>
      <c r="K6" s="673"/>
      <c r="L6" s="673"/>
      <c r="M6" s="673"/>
      <c r="N6" s="673"/>
      <c r="O6" s="673"/>
      <c r="P6" s="694"/>
      <c r="Q6" s="674"/>
    </row>
    <row r="7" spans="1:17" ht="14.4" customHeight="1" x14ac:dyDescent="0.3">
      <c r="A7" s="675" t="s">
        <v>3281</v>
      </c>
      <c r="B7" s="676" t="s">
        <v>3133</v>
      </c>
      <c r="C7" s="676" t="s">
        <v>2244</v>
      </c>
      <c r="D7" s="676" t="s">
        <v>3282</v>
      </c>
      <c r="E7" s="676" t="s">
        <v>3283</v>
      </c>
      <c r="F7" s="680"/>
      <c r="G7" s="680"/>
      <c r="H7" s="680"/>
      <c r="I7" s="680"/>
      <c r="J7" s="680">
        <v>1</v>
      </c>
      <c r="K7" s="680">
        <v>1136</v>
      </c>
      <c r="L7" s="680">
        <v>1</v>
      </c>
      <c r="M7" s="680">
        <v>1136</v>
      </c>
      <c r="N7" s="680"/>
      <c r="O7" s="680"/>
      <c r="P7" s="702"/>
      <c r="Q7" s="681"/>
    </row>
    <row r="8" spans="1:17" ht="14.4" customHeight="1" x14ac:dyDescent="0.3">
      <c r="A8" s="675" t="s">
        <v>3281</v>
      </c>
      <c r="B8" s="676" t="s">
        <v>3133</v>
      </c>
      <c r="C8" s="676" t="s">
        <v>2244</v>
      </c>
      <c r="D8" s="676" t="s">
        <v>3134</v>
      </c>
      <c r="E8" s="676" t="s">
        <v>3135</v>
      </c>
      <c r="F8" s="680"/>
      <c r="G8" s="680"/>
      <c r="H8" s="680"/>
      <c r="I8" s="680"/>
      <c r="J8" s="680">
        <v>1</v>
      </c>
      <c r="K8" s="680">
        <v>265</v>
      </c>
      <c r="L8" s="680">
        <v>1</v>
      </c>
      <c r="M8" s="680">
        <v>265</v>
      </c>
      <c r="N8" s="680"/>
      <c r="O8" s="680"/>
      <c r="P8" s="702"/>
      <c r="Q8" s="681"/>
    </row>
    <row r="9" spans="1:17" ht="14.4" customHeight="1" x14ac:dyDescent="0.3">
      <c r="A9" s="675" t="s">
        <v>3281</v>
      </c>
      <c r="B9" s="676" t="s">
        <v>3133</v>
      </c>
      <c r="C9" s="676" t="s">
        <v>2244</v>
      </c>
      <c r="D9" s="676" t="s">
        <v>3140</v>
      </c>
      <c r="E9" s="676" t="s">
        <v>3141</v>
      </c>
      <c r="F9" s="680"/>
      <c r="G9" s="680"/>
      <c r="H9" s="680"/>
      <c r="I9" s="680"/>
      <c r="J9" s="680">
        <v>1</v>
      </c>
      <c r="K9" s="680">
        <v>5597</v>
      </c>
      <c r="L9" s="680">
        <v>1</v>
      </c>
      <c r="M9" s="680">
        <v>5597</v>
      </c>
      <c r="N9" s="680"/>
      <c r="O9" s="680"/>
      <c r="P9" s="702"/>
      <c r="Q9" s="681"/>
    </row>
    <row r="10" spans="1:17" ht="14.4" customHeight="1" x14ac:dyDescent="0.3">
      <c r="A10" s="675" t="s">
        <v>3281</v>
      </c>
      <c r="B10" s="676" t="s">
        <v>3133</v>
      </c>
      <c r="C10" s="676" t="s">
        <v>2244</v>
      </c>
      <c r="D10" s="676" t="s">
        <v>3284</v>
      </c>
      <c r="E10" s="676" t="s">
        <v>3285</v>
      </c>
      <c r="F10" s="680">
        <v>3</v>
      </c>
      <c r="G10" s="680">
        <v>1434</v>
      </c>
      <c r="H10" s="680">
        <v>2.9506172839506171</v>
      </c>
      <c r="I10" s="680">
        <v>478</v>
      </c>
      <c r="J10" s="680">
        <v>1</v>
      </c>
      <c r="K10" s="680">
        <v>486</v>
      </c>
      <c r="L10" s="680">
        <v>1</v>
      </c>
      <c r="M10" s="680">
        <v>486</v>
      </c>
      <c r="N10" s="680">
        <v>1</v>
      </c>
      <c r="O10" s="680">
        <v>486</v>
      </c>
      <c r="P10" s="702">
        <v>1</v>
      </c>
      <c r="Q10" s="681">
        <v>486</v>
      </c>
    </row>
    <row r="11" spans="1:17" ht="14.4" customHeight="1" x14ac:dyDescent="0.3">
      <c r="A11" s="675" t="s">
        <v>3286</v>
      </c>
      <c r="B11" s="676" t="s">
        <v>3287</v>
      </c>
      <c r="C11" s="676" t="s">
        <v>2244</v>
      </c>
      <c r="D11" s="676" t="s">
        <v>3288</v>
      </c>
      <c r="E11" s="676" t="s">
        <v>3289</v>
      </c>
      <c r="F11" s="680">
        <v>93</v>
      </c>
      <c r="G11" s="680">
        <v>32643</v>
      </c>
      <c r="H11" s="680">
        <v>0.97065120428189122</v>
      </c>
      <c r="I11" s="680">
        <v>351</v>
      </c>
      <c r="J11" s="680">
        <v>95</v>
      </c>
      <c r="K11" s="680">
        <v>33630</v>
      </c>
      <c r="L11" s="680">
        <v>1</v>
      </c>
      <c r="M11" s="680">
        <v>354</v>
      </c>
      <c r="N11" s="680">
        <v>90</v>
      </c>
      <c r="O11" s="680">
        <v>31860</v>
      </c>
      <c r="P11" s="702">
        <v>0.94736842105263153</v>
      </c>
      <c r="Q11" s="681">
        <v>354</v>
      </c>
    </row>
    <row r="12" spans="1:17" ht="14.4" customHeight="1" x14ac:dyDescent="0.3">
      <c r="A12" s="675" t="s">
        <v>3286</v>
      </c>
      <c r="B12" s="676" t="s">
        <v>3287</v>
      </c>
      <c r="C12" s="676" t="s">
        <v>2244</v>
      </c>
      <c r="D12" s="676" t="s">
        <v>3290</v>
      </c>
      <c r="E12" s="676" t="s">
        <v>3291</v>
      </c>
      <c r="F12" s="680">
        <v>79</v>
      </c>
      <c r="G12" s="680">
        <v>5135</v>
      </c>
      <c r="H12" s="680">
        <v>0.54482758620689653</v>
      </c>
      <c r="I12" s="680">
        <v>65</v>
      </c>
      <c r="J12" s="680">
        <v>145</v>
      </c>
      <c r="K12" s="680">
        <v>9425</v>
      </c>
      <c r="L12" s="680">
        <v>1</v>
      </c>
      <c r="M12" s="680">
        <v>65</v>
      </c>
      <c r="N12" s="680">
        <v>147</v>
      </c>
      <c r="O12" s="680">
        <v>9555</v>
      </c>
      <c r="P12" s="702">
        <v>1.0137931034482759</v>
      </c>
      <c r="Q12" s="681">
        <v>65</v>
      </c>
    </row>
    <row r="13" spans="1:17" ht="14.4" customHeight="1" x14ac:dyDescent="0.3">
      <c r="A13" s="675" t="s">
        <v>3286</v>
      </c>
      <c r="B13" s="676" t="s">
        <v>3287</v>
      </c>
      <c r="C13" s="676" t="s">
        <v>2244</v>
      </c>
      <c r="D13" s="676" t="s">
        <v>3292</v>
      </c>
      <c r="E13" s="676" t="s">
        <v>3293</v>
      </c>
      <c r="F13" s="680">
        <v>13</v>
      </c>
      <c r="G13" s="680">
        <v>7683</v>
      </c>
      <c r="H13" s="680">
        <v>12.97804054054054</v>
      </c>
      <c r="I13" s="680">
        <v>591</v>
      </c>
      <c r="J13" s="680">
        <v>1</v>
      </c>
      <c r="K13" s="680">
        <v>592</v>
      </c>
      <c r="L13" s="680">
        <v>1</v>
      </c>
      <c r="M13" s="680">
        <v>592</v>
      </c>
      <c r="N13" s="680">
        <v>15</v>
      </c>
      <c r="O13" s="680">
        <v>8880</v>
      </c>
      <c r="P13" s="702">
        <v>15</v>
      </c>
      <c r="Q13" s="681">
        <v>592</v>
      </c>
    </row>
    <row r="14" spans="1:17" ht="14.4" customHeight="1" x14ac:dyDescent="0.3">
      <c r="A14" s="675" t="s">
        <v>3286</v>
      </c>
      <c r="B14" s="676" t="s">
        <v>3287</v>
      </c>
      <c r="C14" s="676" t="s">
        <v>2244</v>
      </c>
      <c r="D14" s="676" t="s">
        <v>3294</v>
      </c>
      <c r="E14" s="676" t="s">
        <v>3295</v>
      </c>
      <c r="F14" s="680">
        <v>3</v>
      </c>
      <c r="G14" s="680">
        <v>450</v>
      </c>
      <c r="H14" s="680">
        <v>2.9411764705882355</v>
      </c>
      <c r="I14" s="680">
        <v>150</v>
      </c>
      <c r="J14" s="680">
        <v>1</v>
      </c>
      <c r="K14" s="680">
        <v>153</v>
      </c>
      <c r="L14" s="680">
        <v>1</v>
      </c>
      <c r="M14" s="680">
        <v>153</v>
      </c>
      <c r="N14" s="680">
        <v>2</v>
      </c>
      <c r="O14" s="680">
        <v>306</v>
      </c>
      <c r="P14" s="702">
        <v>2</v>
      </c>
      <c r="Q14" s="681">
        <v>153</v>
      </c>
    </row>
    <row r="15" spans="1:17" ht="14.4" customHeight="1" x14ac:dyDescent="0.3">
      <c r="A15" s="675" t="s">
        <v>3286</v>
      </c>
      <c r="B15" s="676" t="s">
        <v>3287</v>
      </c>
      <c r="C15" s="676" t="s">
        <v>2244</v>
      </c>
      <c r="D15" s="676" t="s">
        <v>3296</v>
      </c>
      <c r="E15" s="676" t="s">
        <v>3297</v>
      </c>
      <c r="F15" s="680">
        <v>26</v>
      </c>
      <c r="G15" s="680">
        <v>624</v>
      </c>
      <c r="H15" s="680">
        <v>1.7333333333333334</v>
      </c>
      <c r="I15" s="680">
        <v>24</v>
      </c>
      <c r="J15" s="680">
        <v>15</v>
      </c>
      <c r="K15" s="680">
        <v>360</v>
      </c>
      <c r="L15" s="680">
        <v>1</v>
      </c>
      <c r="M15" s="680">
        <v>24</v>
      </c>
      <c r="N15" s="680">
        <v>18</v>
      </c>
      <c r="O15" s="680">
        <v>432</v>
      </c>
      <c r="P15" s="702">
        <v>1.2</v>
      </c>
      <c r="Q15" s="681">
        <v>24</v>
      </c>
    </row>
    <row r="16" spans="1:17" ht="14.4" customHeight="1" x14ac:dyDescent="0.3">
      <c r="A16" s="675" t="s">
        <v>3286</v>
      </c>
      <c r="B16" s="676" t="s">
        <v>3287</v>
      </c>
      <c r="C16" s="676" t="s">
        <v>2244</v>
      </c>
      <c r="D16" s="676" t="s">
        <v>3298</v>
      </c>
      <c r="E16" s="676" t="s">
        <v>3299</v>
      </c>
      <c r="F16" s="680">
        <v>22</v>
      </c>
      <c r="G16" s="680">
        <v>1188</v>
      </c>
      <c r="H16" s="680">
        <v>0.83076923076923082</v>
      </c>
      <c r="I16" s="680">
        <v>54</v>
      </c>
      <c r="J16" s="680">
        <v>26</v>
      </c>
      <c r="K16" s="680">
        <v>1430</v>
      </c>
      <c r="L16" s="680">
        <v>1</v>
      </c>
      <c r="M16" s="680">
        <v>55</v>
      </c>
      <c r="N16" s="680">
        <v>53</v>
      </c>
      <c r="O16" s="680">
        <v>2915</v>
      </c>
      <c r="P16" s="702">
        <v>2.0384615384615383</v>
      </c>
      <c r="Q16" s="681">
        <v>55</v>
      </c>
    </row>
    <row r="17" spans="1:17" ht="14.4" customHeight="1" x14ac:dyDescent="0.3">
      <c r="A17" s="675" t="s">
        <v>3286</v>
      </c>
      <c r="B17" s="676" t="s">
        <v>3287</v>
      </c>
      <c r="C17" s="676" t="s">
        <v>2244</v>
      </c>
      <c r="D17" s="676" t="s">
        <v>3300</v>
      </c>
      <c r="E17" s="676" t="s">
        <v>3301</v>
      </c>
      <c r="F17" s="680">
        <v>1304</v>
      </c>
      <c r="G17" s="680">
        <v>100408</v>
      </c>
      <c r="H17" s="680">
        <v>0.97751124437781112</v>
      </c>
      <c r="I17" s="680">
        <v>77</v>
      </c>
      <c r="J17" s="680">
        <v>1334</v>
      </c>
      <c r="K17" s="680">
        <v>102718</v>
      </c>
      <c r="L17" s="680">
        <v>1</v>
      </c>
      <c r="M17" s="680">
        <v>77</v>
      </c>
      <c r="N17" s="680">
        <v>1501</v>
      </c>
      <c r="O17" s="680">
        <v>115577</v>
      </c>
      <c r="P17" s="702">
        <v>1.1251874062968517</v>
      </c>
      <c r="Q17" s="681">
        <v>77</v>
      </c>
    </row>
    <row r="18" spans="1:17" ht="14.4" customHeight="1" x14ac:dyDescent="0.3">
      <c r="A18" s="675" t="s">
        <v>3286</v>
      </c>
      <c r="B18" s="676" t="s">
        <v>3287</v>
      </c>
      <c r="C18" s="676" t="s">
        <v>2244</v>
      </c>
      <c r="D18" s="676" t="s">
        <v>3302</v>
      </c>
      <c r="E18" s="676" t="s">
        <v>3303</v>
      </c>
      <c r="F18" s="680">
        <v>1</v>
      </c>
      <c r="G18" s="680">
        <v>1630</v>
      </c>
      <c r="H18" s="680"/>
      <c r="I18" s="680">
        <v>1630</v>
      </c>
      <c r="J18" s="680"/>
      <c r="K18" s="680"/>
      <c r="L18" s="680"/>
      <c r="M18" s="680"/>
      <c r="N18" s="680"/>
      <c r="O18" s="680"/>
      <c r="P18" s="702"/>
      <c r="Q18" s="681"/>
    </row>
    <row r="19" spans="1:17" ht="14.4" customHeight="1" x14ac:dyDescent="0.3">
      <c r="A19" s="675" t="s">
        <v>3286</v>
      </c>
      <c r="B19" s="676" t="s">
        <v>3287</v>
      </c>
      <c r="C19" s="676" t="s">
        <v>2244</v>
      </c>
      <c r="D19" s="676" t="s">
        <v>3304</v>
      </c>
      <c r="E19" s="676" t="s">
        <v>3305</v>
      </c>
      <c r="F19" s="680">
        <v>46</v>
      </c>
      <c r="G19" s="680">
        <v>1058</v>
      </c>
      <c r="H19" s="680">
        <v>1.1020833333333333</v>
      </c>
      <c r="I19" s="680">
        <v>23</v>
      </c>
      <c r="J19" s="680">
        <v>40</v>
      </c>
      <c r="K19" s="680">
        <v>960</v>
      </c>
      <c r="L19" s="680">
        <v>1</v>
      </c>
      <c r="M19" s="680">
        <v>24</v>
      </c>
      <c r="N19" s="680">
        <v>45</v>
      </c>
      <c r="O19" s="680">
        <v>1080</v>
      </c>
      <c r="P19" s="702">
        <v>1.125</v>
      </c>
      <c r="Q19" s="681">
        <v>24</v>
      </c>
    </row>
    <row r="20" spans="1:17" ht="14.4" customHeight="1" x14ac:dyDescent="0.3">
      <c r="A20" s="675" t="s">
        <v>3286</v>
      </c>
      <c r="B20" s="676" t="s">
        <v>3287</v>
      </c>
      <c r="C20" s="676" t="s">
        <v>2244</v>
      </c>
      <c r="D20" s="676" t="s">
        <v>3306</v>
      </c>
      <c r="E20" s="676" t="s">
        <v>3307</v>
      </c>
      <c r="F20" s="680">
        <v>13</v>
      </c>
      <c r="G20" s="680">
        <v>858</v>
      </c>
      <c r="H20" s="680">
        <v>1.4444444444444444</v>
      </c>
      <c r="I20" s="680">
        <v>66</v>
      </c>
      <c r="J20" s="680">
        <v>9</v>
      </c>
      <c r="K20" s="680">
        <v>594</v>
      </c>
      <c r="L20" s="680">
        <v>1</v>
      </c>
      <c r="M20" s="680">
        <v>66</v>
      </c>
      <c r="N20" s="680">
        <v>12</v>
      </c>
      <c r="O20" s="680">
        <v>792</v>
      </c>
      <c r="P20" s="702">
        <v>1.3333333333333333</v>
      </c>
      <c r="Q20" s="681">
        <v>66</v>
      </c>
    </row>
    <row r="21" spans="1:17" ht="14.4" customHeight="1" x14ac:dyDescent="0.3">
      <c r="A21" s="675" t="s">
        <v>3286</v>
      </c>
      <c r="B21" s="676" t="s">
        <v>3287</v>
      </c>
      <c r="C21" s="676" t="s">
        <v>2244</v>
      </c>
      <c r="D21" s="676" t="s">
        <v>3308</v>
      </c>
      <c r="E21" s="676" t="s">
        <v>3309</v>
      </c>
      <c r="F21" s="680">
        <v>18</v>
      </c>
      <c r="G21" s="680">
        <v>432</v>
      </c>
      <c r="H21" s="680">
        <v>0.72</v>
      </c>
      <c r="I21" s="680">
        <v>24</v>
      </c>
      <c r="J21" s="680">
        <v>24</v>
      </c>
      <c r="K21" s="680">
        <v>600</v>
      </c>
      <c r="L21" s="680">
        <v>1</v>
      </c>
      <c r="M21" s="680">
        <v>25</v>
      </c>
      <c r="N21" s="680">
        <v>25</v>
      </c>
      <c r="O21" s="680">
        <v>625</v>
      </c>
      <c r="P21" s="702">
        <v>1.0416666666666667</v>
      </c>
      <c r="Q21" s="681">
        <v>25</v>
      </c>
    </row>
    <row r="22" spans="1:17" ht="14.4" customHeight="1" x14ac:dyDescent="0.3">
      <c r="A22" s="675" t="s">
        <v>3286</v>
      </c>
      <c r="B22" s="676" t="s">
        <v>3287</v>
      </c>
      <c r="C22" s="676" t="s">
        <v>2244</v>
      </c>
      <c r="D22" s="676" t="s">
        <v>3310</v>
      </c>
      <c r="E22" s="676" t="s">
        <v>3311</v>
      </c>
      <c r="F22" s="680">
        <v>135</v>
      </c>
      <c r="G22" s="680">
        <v>24300</v>
      </c>
      <c r="H22" s="680">
        <v>1.3984806629834254</v>
      </c>
      <c r="I22" s="680">
        <v>180</v>
      </c>
      <c r="J22" s="680">
        <v>96</v>
      </c>
      <c r="K22" s="680">
        <v>17376</v>
      </c>
      <c r="L22" s="680">
        <v>1</v>
      </c>
      <c r="M22" s="680">
        <v>181</v>
      </c>
      <c r="N22" s="680">
        <v>236</v>
      </c>
      <c r="O22" s="680">
        <v>42716</v>
      </c>
      <c r="P22" s="702">
        <v>2.4583333333333335</v>
      </c>
      <c r="Q22" s="681">
        <v>181</v>
      </c>
    </row>
    <row r="23" spans="1:17" ht="14.4" customHeight="1" x14ac:dyDescent="0.3">
      <c r="A23" s="675" t="s">
        <v>3286</v>
      </c>
      <c r="B23" s="676" t="s">
        <v>3287</v>
      </c>
      <c r="C23" s="676" t="s">
        <v>2244</v>
      </c>
      <c r="D23" s="676" t="s">
        <v>3312</v>
      </c>
      <c r="E23" s="676" t="s">
        <v>3313</v>
      </c>
      <c r="F23" s="680">
        <v>60</v>
      </c>
      <c r="G23" s="680">
        <v>15180</v>
      </c>
      <c r="H23" s="680">
        <v>0.90551181102362199</v>
      </c>
      <c r="I23" s="680">
        <v>253</v>
      </c>
      <c r="J23" s="680">
        <v>66</v>
      </c>
      <c r="K23" s="680">
        <v>16764</v>
      </c>
      <c r="L23" s="680">
        <v>1</v>
      </c>
      <c r="M23" s="680">
        <v>254</v>
      </c>
      <c r="N23" s="680">
        <v>68</v>
      </c>
      <c r="O23" s="680">
        <v>17272</v>
      </c>
      <c r="P23" s="702">
        <v>1.0303030303030303</v>
      </c>
      <c r="Q23" s="681">
        <v>254</v>
      </c>
    </row>
    <row r="24" spans="1:17" ht="14.4" customHeight="1" x14ac:dyDescent="0.3">
      <c r="A24" s="675" t="s">
        <v>3286</v>
      </c>
      <c r="B24" s="676" t="s">
        <v>3287</v>
      </c>
      <c r="C24" s="676" t="s">
        <v>2244</v>
      </c>
      <c r="D24" s="676" t="s">
        <v>3314</v>
      </c>
      <c r="E24" s="676" t="s">
        <v>3315</v>
      </c>
      <c r="F24" s="680">
        <v>203</v>
      </c>
      <c r="G24" s="680">
        <v>43848</v>
      </c>
      <c r="H24" s="680">
        <v>0.89806451612903226</v>
      </c>
      <c r="I24" s="680">
        <v>216</v>
      </c>
      <c r="J24" s="680">
        <v>225</v>
      </c>
      <c r="K24" s="680">
        <v>48825</v>
      </c>
      <c r="L24" s="680">
        <v>1</v>
      </c>
      <c r="M24" s="680">
        <v>217</v>
      </c>
      <c r="N24" s="680">
        <v>388</v>
      </c>
      <c r="O24" s="680">
        <v>84196</v>
      </c>
      <c r="P24" s="702">
        <v>1.7244444444444444</v>
      </c>
      <c r="Q24" s="681">
        <v>217</v>
      </c>
    </row>
    <row r="25" spans="1:17" ht="14.4" customHeight="1" x14ac:dyDescent="0.3">
      <c r="A25" s="675" t="s">
        <v>3286</v>
      </c>
      <c r="B25" s="676" t="s">
        <v>3287</v>
      </c>
      <c r="C25" s="676" t="s">
        <v>2244</v>
      </c>
      <c r="D25" s="676" t="s">
        <v>3316</v>
      </c>
      <c r="E25" s="676" t="s">
        <v>3317</v>
      </c>
      <c r="F25" s="680">
        <v>2</v>
      </c>
      <c r="G25" s="680">
        <v>72</v>
      </c>
      <c r="H25" s="680">
        <v>1.9459459459459461</v>
      </c>
      <c r="I25" s="680">
        <v>36</v>
      </c>
      <c r="J25" s="680">
        <v>1</v>
      </c>
      <c r="K25" s="680">
        <v>37</v>
      </c>
      <c r="L25" s="680">
        <v>1</v>
      </c>
      <c r="M25" s="680">
        <v>37</v>
      </c>
      <c r="N25" s="680">
        <v>1</v>
      </c>
      <c r="O25" s="680">
        <v>37</v>
      </c>
      <c r="P25" s="702">
        <v>1</v>
      </c>
      <c r="Q25" s="681">
        <v>37</v>
      </c>
    </row>
    <row r="26" spans="1:17" ht="14.4" customHeight="1" x14ac:dyDescent="0.3">
      <c r="A26" s="675" t="s">
        <v>3286</v>
      </c>
      <c r="B26" s="676" t="s">
        <v>3287</v>
      </c>
      <c r="C26" s="676" t="s">
        <v>2244</v>
      </c>
      <c r="D26" s="676" t="s">
        <v>3318</v>
      </c>
      <c r="E26" s="676" t="s">
        <v>3319</v>
      </c>
      <c r="F26" s="680"/>
      <c r="G26" s="680"/>
      <c r="H26" s="680"/>
      <c r="I26" s="680"/>
      <c r="J26" s="680">
        <v>4</v>
      </c>
      <c r="K26" s="680">
        <v>4044</v>
      </c>
      <c r="L26" s="680">
        <v>1</v>
      </c>
      <c r="M26" s="680">
        <v>1011</v>
      </c>
      <c r="N26" s="680"/>
      <c r="O26" s="680"/>
      <c r="P26" s="702"/>
      <c r="Q26" s="681"/>
    </row>
    <row r="27" spans="1:17" ht="14.4" customHeight="1" x14ac:dyDescent="0.3">
      <c r="A27" s="675" t="s">
        <v>3286</v>
      </c>
      <c r="B27" s="676" t="s">
        <v>3287</v>
      </c>
      <c r="C27" s="676" t="s">
        <v>2244</v>
      </c>
      <c r="D27" s="676" t="s">
        <v>3320</v>
      </c>
      <c r="E27" s="676" t="s">
        <v>3321</v>
      </c>
      <c r="F27" s="680"/>
      <c r="G27" s="680"/>
      <c r="H27" s="680"/>
      <c r="I27" s="680"/>
      <c r="J27" s="680">
        <v>2</v>
      </c>
      <c r="K27" s="680">
        <v>746</v>
      </c>
      <c r="L27" s="680">
        <v>1</v>
      </c>
      <c r="M27" s="680">
        <v>373</v>
      </c>
      <c r="N27" s="680"/>
      <c r="O27" s="680"/>
      <c r="P27" s="702"/>
      <c r="Q27" s="681"/>
    </row>
    <row r="28" spans="1:17" ht="14.4" customHeight="1" x14ac:dyDescent="0.3">
      <c r="A28" s="675" t="s">
        <v>3286</v>
      </c>
      <c r="B28" s="676" t="s">
        <v>3287</v>
      </c>
      <c r="C28" s="676" t="s">
        <v>2244</v>
      </c>
      <c r="D28" s="676" t="s">
        <v>3322</v>
      </c>
      <c r="E28" s="676" t="s">
        <v>3323</v>
      </c>
      <c r="F28" s="680">
        <v>9</v>
      </c>
      <c r="G28" s="680">
        <v>450</v>
      </c>
      <c r="H28" s="680">
        <v>2.25</v>
      </c>
      <c r="I28" s="680">
        <v>50</v>
      </c>
      <c r="J28" s="680">
        <v>4</v>
      </c>
      <c r="K28" s="680">
        <v>200</v>
      </c>
      <c r="L28" s="680">
        <v>1</v>
      </c>
      <c r="M28" s="680">
        <v>50</v>
      </c>
      <c r="N28" s="680">
        <v>11</v>
      </c>
      <c r="O28" s="680">
        <v>550</v>
      </c>
      <c r="P28" s="702">
        <v>2.75</v>
      </c>
      <c r="Q28" s="681">
        <v>50</v>
      </c>
    </row>
    <row r="29" spans="1:17" ht="14.4" customHeight="1" x14ac:dyDescent="0.3">
      <c r="A29" s="675" t="s">
        <v>3286</v>
      </c>
      <c r="B29" s="676" t="s">
        <v>3287</v>
      </c>
      <c r="C29" s="676" t="s">
        <v>2244</v>
      </c>
      <c r="D29" s="676" t="s">
        <v>3324</v>
      </c>
      <c r="E29" s="676" t="s">
        <v>3325</v>
      </c>
      <c r="F29" s="680"/>
      <c r="G29" s="680"/>
      <c r="H29" s="680"/>
      <c r="I29" s="680"/>
      <c r="J29" s="680"/>
      <c r="K29" s="680"/>
      <c r="L29" s="680"/>
      <c r="M29" s="680"/>
      <c r="N29" s="680">
        <v>2</v>
      </c>
      <c r="O29" s="680">
        <v>658</v>
      </c>
      <c r="P29" s="702"/>
      <c r="Q29" s="681">
        <v>329</v>
      </c>
    </row>
    <row r="30" spans="1:17" ht="14.4" customHeight="1" x14ac:dyDescent="0.3">
      <c r="A30" s="675" t="s">
        <v>3286</v>
      </c>
      <c r="B30" s="676" t="s">
        <v>3287</v>
      </c>
      <c r="C30" s="676" t="s">
        <v>2244</v>
      </c>
      <c r="D30" s="676" t="s">
        <v>3326</v>
      </c>
      <c r="E30" s="676" t="s">
        <v>3327</v>
      </c>
      <c r="F30" s="680"/>
      <c r="G30" s="680"/>
      <c r="H30" s="680"/>
      <c r="I30" s="680"/>
      <c r="J30" s="680"/>
      <c r="K30" s="680"/>
      <c r="L30" s="680"/>
      <c r="M30" s="680"/>
      <c r="N30" s="680">
        <v>3</v>
      </c>
      <c r="O30" s="680">
        <v>696</v>
      </c>
      <c r="P30" s="702"/>
      <c r="Q30" s="681">
        <v>232</v>
      </c>
    </row>
    <row r="31" spans="1:17" ht="14.4" customHeight="1" x14ac:dyDescent="0.3">
      <c r="A31" s="675" t="s">
        <v>3286</v>
      </c>
      <c r="B31" s="676" t="s">
        <v>3287</v>
      </c>
      <c r="C31" s="676" t="s">
        <v>2244</v>
      </c>
      <c r="D31" s="676" t="s">
        <v>3328</v>
      </c>
      <c r="E31" s="676" t="s">
        <v>3329</v>
      </c>
      <c r="F31" s="680">
        <v>3</v>
      </c>
      <c r="G31" s="680">
        <v>690</v>
      </c>
      <c r="H31" s="680"/>
      <c r="I31" s="680">
        <v>230</v>
      </c>
      <c r="J31" s="680"/>
      <c r="K31" s="680"/>
      <c r="L31" s="680"/>
      <c r="M31" s="680"/>
      <c r="N31" s="680">
        <v>1</v>
      </c>
      <c r="O31" s="680">
        <v>233</v>
      </c>
      <c r="P31" s="702"/>
      <c r="Q31" s="681">
        <v>233</v>
      </c>
    </row>
    <row r="32" spans="1:17" ht="14.4" customHeight="1" x14ac:dyDescent="0.3">
      <c r="A32" s="675" t="s">
        <v>3286</v>
      </c>
      <c r="B32" s="676" t="s">
        <v>3287</v>
      </c>
      <c r="C32" s="676" t="s">
        <v>2244</v>
      </c>
      <c r="D32" s="676" t="s">
        <v>3330</v>
      </c>
      <c r="E32" s="676" t="s">
        <v>3331</v>
      </c>
      <c r="F32" s="680"/>
      <c r="G32" s="680"/>
      <c r="H32" s="680"/>
      <c r="I32" s="680"/>
      <c r="J32" s="680"/>
      <c r="K32" s="680"/>
      <c r="L32" s="680"/>
      <c r="M32" s="680"/>
      <c r="N32" s="680">
        <v>2</v>
      </c>
      <c r="O32" s="680">
        <v>774</v>
      </c>
      <c r="P32" s="702"/>
      <c r="Q32" s="681">
        <v>387</v>
      </c>
    </row>
    <row r="33" spans="1:17" ht="14.4" customHeight="1" x14ac:dyDescent="0.3">
      <c r="A33" s="675" t="s">
        <v>3286</v>
      </c>
      <c r="B33" s="676" t="s">
        <v>3287</v>
      </c>
      <c r="C33" s="676" t="s">
        <v>2244</v>
      </c>
      <c r="D33" s="676" t="s">
        <v>3332</v>
      </c>
      <c r="E33" s="676" t="s">
        <v>3333</v>
      </c>
      <c r="F33" s="680"/>
      <c r="G33" s="680"/>
      <c r="H33" s="680"/>
      <c r="I33" s="680"/>
      <c r="J33" s="680"/>
      <c r="K33" s="680"/>
      <c r="L33" s="680"/>
      <c r="M33" s="680"/>
      <c r="N33" s="680">
        <v>2</v>
      </c>
      <c r="O33" s="680">
        <v>448</v>
      </c>
      <c r="P33" s="702"/>
      <c r="Q33" s="681">
        <v>224</v>
      </c>
    </row>
    <row r="34" spans="1:17" ht="14.4" customHeight="1" x14ac:dyDescent="0.3">
      <c r="A34" s="675" t="s">
        <v>3286</v>
      </c>
      <c r="B34" s="676" t="s">
        <v>3287</v>
      </c>
      <c r="C34" s="676" t="s">
        <v>2244</v>
      </c>
      <c r="D34" s="676" t="s">
        <v>3334</v>
      </c>
      <c r="E34" s="676" t="s">
        <v>3335</v>
      </c>
      <c r="F34" s="680"/>
      <c r="G34" s="680"/>
      <c r="H34" s="680"/>
      <c r="I34" s="680"/>
      <c r="J34" s="680"/>
      <c r="K34" s="680"/>
      <c r="L34" s="680"/>
      <c r="M34" s="680"/>
      <c r="N34" s="680">
        <v>49</v>
      </c>
      <c r="O34" s="680">
        <v>11956</v>
      </c>
      <c r="P34" s="702"/>
      <c r="Q34" s="681">
        <v>244</v>
      </c>
    </row>
    <row r="35" spans="1:17" ht="14.4" customHeight="1" x14ac:dyDescent="0.3">
      <c r="A35" s="675" t="s">
        <v>3336</v>
      </c>
      <c r="B35" s="676" t="s">
        <v>3337</v>
      </c>
      <c r="C35" s="676" t="s">
        <v>2244</v>
      </c>
      <c r="D35" s="676" t="s">
        <v>3338</v>
      </c>
      <c r="E35" s="676" t="s">
        <v>3339</v>
      </c>
      <c r="F35" s="680">
        <v>139</v>
      </c>
      <c r="G35" s="680">
        <v>3753</v>
      </c>
      <c r="H35" s="680">
        <v>0.71649484536082475</v>
      </c>
      <c r="I35" s="680">
        <v>27</v>
      </c>
      <c r="J35" s="680">
        <v>194</v>
      </c>
      <c r="K35" s="680">
        <v>5238</v>
      </c>
      <c r="L35" s="680">
        <v>1</v>
      </c>
      <c r="M35" s="680">
        <v>27</v>
      </c>
      <c r="N35" s="680">
        <v>233</v>
      </c>
      <c r="O35" s="680">
        <v>6291</v>
      </c>
      <c r="P35" s="702">
        <v>1.2010309278350515</v>
      </c>
      <c r="Q35" s="681">
        <v>27</v>
      </c>
    </row>
    <row r="36" spans="1:17" ht="14.4" customHeight="1" x14ac:dyDescent="0.3">
      <c r="A36" s="675" t="s">
        <v>3336</v>
      </c>
      <c r="B36" s="676" t="s">
        <v>3337</v>
      </c>
      <c r="C36" s="676" t="s">
        <v>2244</v>
      </c>
      <c r="D36" s="676" t="s">
        <v>3340</v>
      </c>
      <c r="E36" s="676" t="s">
        <v>3341</v>
      </c>
      <c r="F36" s="680">
        <v>186</v>
      </c>
      <c r="G36" s="680">
        <v>10044</v>
      </c>
      <c r="H36" s="680">
        <v>0.80519480519480524</v>
      </c>
      <c r="I36" s="680">
        <v>54</v>
      </c>
      <c r="J36" s="680">
        <v>231</v>
      </c>
      <c r="K36" s="680">
        <v>12474</v>
      </c>
      <c r="L36" s="680">
        <v>1</v>
      </c>
      <c r="M36" s="680">
        <v>54</v>
      </c>
      <c r="N36" s="680">
        <v>294</v>
      </c>
      <c r="O36" s="680">
        <v>15876</v>
      </c>
      <c r="P36" s="702">
        <v>1.2727272727272727</v>
      </c>
      <c r="Q36" s="681">
        <v>54</v>
      </c>
    </row>
    <row r="37" spans="1:17" ht="14.4" customHeight="1" x14ac:dyDescent="0.3">
      <c r="A37" s="675" t="s">
        <v>3336</v>
      </c>
      <c r="B37" s="676" t="s">
        <v>3337</v>
      </c>
      <c r="C37" s="676" t="s">
        <v>2244</v>
      </c>
      <c r="D37" s="676" t="s">
        <v>3342</v>
      </c>
      <c r="E37" s="676" t="s">
        <v>3343</v>
      </c>
      <c r="F37" s="680">
        <v>660</v>
      </c>
      <c r="G37" s="680">
        <v>15840</v>
      </c>
      <c r="H37" s="680">
        <v>0.97777777777777775</v>
      </c>
      <c r="I37" s="680">
        <v>24</v>
      </c>
      <c r="J37" s="680">
        <v>675</v>
      </c>
      <c r="K37" s="680">
        <v>16200</v>
      </c>
      <c r="L37" s="680">
        <v>1</v>
      </c>
      <c r="M37" s="680">
        <v>24</v>
      </c>
      <c r="N37" s="680">
        <v>695</v>
      </c>
      <c r="O37" s="680">
        <v>16680</v>
      </c>
      <c r="P37" s="702">
        <v>1.0296296296296297</v>
      </c>
      <c r="Q37" s="681">
        <v>24</v>
      </c>
    </row>
    <row r="38" spans="1:17" ht="14.4" customHeight="1" x14ac:dyDescent="0.3">
      <c r="A38" s="675" t="s">
        <v>3336</v>
      </c>
      <c r="B38" s="676" t="s">
        <v>3337</v>
      </c>
      <c r="C38" s="676" t="s">
        <v>2244</v>
      </c>
      <c r="D38" s="676" t="s">
        <v>3344</v>
      </c>
      <c r="E38" s="676" t="s">
        <v>3345</v>
      </c>
      <c r="F38" s="680">
        <v>863</v>
      </c>
      <c r="G38" s="680">
        <v>23301</v>
      </c>
      <c r="H38" s="680">
        <v>0.93398268398268403</v>
      </c>
      <c r="I38" s="680">
        <v>27</v>
      </c>
      <c r="J38" s="680">
        <v>924</v>
      </c>
      <c r="K38" s="680">
        <v>24948</v>
      </c>
      <c r="L38" s="680">
        <v>1</v>
      </c>
      <c r="M38" s="680">
        <v>27</v>
      </c>
      <c r="N38" s="680">
        <v>970</v>
      </c>
      <c r="O38" s="680">
        <v>26190</v>
      </c>
      <c r="P38" s="702">
        <v>1.0497835497835497</v>
      </c>
      <c r="Q38" s="681">
        <v>27</v>
      </c>
    </row>
    <row r="39" spans="1:17" ht="14.4" customHeight="1" x14ac:dyDescent="0.3">
      <c r="A39" s="675" t="s">
        <v>3336</v>
      </c>
      <c r="B39" s="676" t="s">
        <v>3337</v>
      </c>
      <c r="C39" s="676" t="s">
        <v>2244</v>
      </c>
      <c r="D39" s="676" t="s">
        <v>3346</v>
      </c>
      <c r="E39" s="676" t="s">
        <v>3347</v>
      </c>
      <c r="F39" s="680">
        <v>3</v>
      </c>
      <c r="G39" s="680">
        <v>171</v>
      </c>
      <c r="H39" s="680"/>
      <c r="I39" s="680">
        <v>57</v>
      </c>
      <c r="J39" s="680"/>
      <c r="K39" s="680"/>
      <c r="L39" s="680"/>
      <c r="M39" s="680"/>
      <c r="N39" s="680"/>
      <c r="O39" s="680"/>
      <c r="P39" s="702"/>
      <c r="Q39" s="681"/>
    </row>
    <row r="40" spans="1:17" ht="14.4" customHeight="1" x14ac:dyDescent="0.3">
      <c r="A40" s="675" t="s">
        <v>3336</v>
      </c>
      <c r="B40" s="676" t="s">
        <v>3337</v>
      </c>
      <c r="C40" s="676" t="s">
        <v>2244</v>
      </c>
      <c r="D40" s="676" t="s">
        <v>3348</v>
      </c>
      <c r="E40" s="676" t="s">
        <v>3349</v>
      </c>
      <c r="F40" s="680">
        <v>144</v>
      </c>
      <c r="G40" s="680">
        <v>3888</v>
      </c>
      <c r="H40" s="680">
        <v>0.83236994219653182</v>
      </c>
      <c r="I40" s="680">
        <v>27</v>
      </c>
      <c r="J40" s="680">
        <v>173</v>
      </c>
      <c r="K40" s="680">
        <v>4671</v>
      </c>
      <c r="L40" s="680">
        <v>1</v>
      </c>
      <c r="M40" s="680">
        <v>27</v>
      </c>
      <c r="N40" s="680">
        <v>215</v>
      </c>
      <c r="O40" s="680">
        <v>5805</v>
      </c>
      <c r="P40" s="702">
        <v>1.2427745664739884</v>
      </c>
      <c r="Q40" s="681">
        <v>27</v>
      </c>
    </row>
    <row r="41" spans="1:17" ht="14.4" customHeight="1" x14ac:dyDescent="0.3">
      <c r="A41" s="675" t="s">
        <v>3336</v>
      </c>
      <c r="B41" s="676" t="s">
        <v>3337</v>
      </c>
      <c r="C41" s="676" t="s">
        <v>2244</v>
      </c>
      <c r="D41" s="676" t="s">
        <v>3350</v>
      </c>
      <c r="E41" s="676" t="s">
        <v>3351</v>
      </c>
      <c r="F41" s="680">
        <v>1361</v>
      </c>
      <c r="G41" s="680">
        <v>29942</v>
      </c>
      <c r="H41" s="680">
        <v>0.44260162601626019</v>
      </c>
      <c r="I41" s="680">
        <v>22</v>
      </c>
      <c r="J41" s="680">
        <v>3075</v>
      </c>
      <c r="K41" s="680">
        <v>67650</v>
      </c>
      <c r="L41" s="680">
        <v>1</v>
      </c>
      <c r="M41" s="680">
        <v>22</v>
      </c>
      <c r="N41" s="680">
        <v>3488</v>
      </c>
      <c r="O41" s="680">
        <v>76736</v>
      </c>
      <c r="P41" s="702">
        <v>1.1343089430894309</v>
      </c>
      <c r="Q41" s="681">
        <v>22</v>
      </c>
    </row>
    <row r="42" spans="1:17" ht="14.4" customHeight="1" x14ac:dyDescent="0.3">
      <c r="A42" s="675" t="s">
        <v>3336</v>
      </c>
      <c r="B42" s="676" t="s">
        <v>3337</v>
      </c>
      <c r="C42" s="676" t="s">
        <v>2244</v>
      </c>
      <c r="D42" s="676" t="s">
        <v>3352</v>
      </c>
      <c r="E42" s="676" t="s">
        <v>3353</v>
      </c>
      <c r="F42" s="680">
        <v>2</v>
      </c>
      <c r="G42" s="680">
        <v>136</v>
      </c>
      <c r="H42" s="680">
        <v>0.2857142857142857</v>
      </c>
      <c r="I42" s="680">
        <v>68</v>
      </c>
      <c r="J42" s="680">
        <v>7</v>
      </c>
      <c r="K42" s="680">
        <v>476</v>
      </c>
      <c r="L42" s="680">
        <v>1</v>
      </c>
      <c r="M42" s="680">
        <v>68</v>
      </c>
      <c r="N42" s="680">
        <v>5</v>
      </c>
      <c r="O42" s="680">
        <v>340</v>
      </c>
      <c r="P42" s="702">
        <v>0.7142857142857143</v>
      </c>
      <c r="Q42" s="681">
        <v>68</v>
      </c>
    </row>
    <row r="43" spans="1:17" ht="14.4" customHeight="1" x14ac:dyDescent="0.3">
      <c r="A43" s="675" t="s">
        <v>3336</v>
      </c>
      <c r="B43" s="676" t="s">
        <v>3337</v>
      </c>
      <c r="C43" s="676" t="s">
        <v>2244</v>
      </c>
      <c r="D43" s="676" t="s">
        <v>3354</v>
      </c>
      <c r="E43" s="676" t="s">
        <v>3355</v>
      </c>
      <c r="F43" s="680">
        <v>5</v>
      </c>
      <c r="G43" s="680">
        <v>310</v>
      </c>
      <c r="H43" s="680">
        <v>1.6666666666666667</v>
      </c>
      <c r="I43" s="680">
        <v>62</v>
      </c>
      <c r="J43" s="680">
        <v>3</v>
      </c>
      <c r="K43" s="680">
        <v>186</v>
      </c>
      <c r="L43" s="680">
        <v>1</v>
      </c>
      <c r="M43" s="680">
        <v>62</v>
      </c>
      <c r="N43" s="680"/>
      <c r="O43" s="680"/>
      <c r="P43" s="702"/>
      <c r="Q43" s="681"/>
    </row>
    <row r="44" spans="1:17" ht="14.4" customHeight="1" x14ac:dyDescent="0.3">
      <c r="A44" s="675" t="s">
        <v>3336</v>
      </c>
      <c r="B44" s="676" t="s">
        <v>3337</v>
      </c>
      <c r="C44" s="676" t="s">
        <v>2244</v>
      </c>
      <c r="D44" s="676" t="s">
        <v>3356</v>
      </c>
      <c r="E44" s="676" t="s">
        <v>3357</v>
      </c>
      <c r="F44" s="680">
        <v>1228</v>
      </c>
      <c r="G44" s="680">
        <v>76136</v>
      </c>
      <c r="H44" s="680">
        <v>0.45786726323639076</v>
      </c>
      <c r="I44" s="680">
        <v>62</v>
      </c>
      <c r="J44" s="680">
        <v>2682</v>
      </c>
      <c r="K44" s="680">
        <v>166284</v>
      </c>
      <c r="L44" s="680">
        <v>1</v>
      </c>
      <c r="M44" s="680">
        <v>62</v>
      </c>
      <c r="N44" s="680">
        <v>3197</v>
      </c>
      <c r="O44" s="680">
        <v>198214</v>
      </c>
      <c r="P44" s="702">
        <v>1.1920208799403431</v>
      </c>
      <c r="Q44" s="681">
        <v>62</v>
      </c>
    </row>
    <row r="45" spans="1:17" ht="14.4" customHeight="1" x14ac:dyDescent="0.3">
      <c r="A45" s="675" t="s">
        <v>3336</v>
      </c>
      <c r="B45" s="676" t="s">
        <v>3337</v>
      </c>
      <c r="C45" s="676" t="s">
        <v>2244</v>
      </c>
      <c r="D45" s="676" t="s">
        <v>3358</v>
      </c>
      <c r="E45" s="676" t="s">
        <v>3359</v>
      </c>
      <c r="F45" s="680"/>
      <c r="G45" s="680"/>
      <c r="H45" s="680"/>
      <c r="I45" s="680"/>
      <c r="J45" s="680"/>
      <c r="K45" s="680"/>
      <c r="L45" s="680"/>
      <c r="M45" s="680"/>
      <c r="N45" s="680">
        <v>3</v>
      </c>
      <c r="O45" s="680">
        <v>1182</v>
      </c>
      <c r="P45" s="702"/>
      <c r="Q45" s="681">
        <v>394</v>
      </c>
    </row>
    <row r="46" spans="1:17" ht="14.4" customHeight="1" x14ac:dyDescent="0.3">
      <c r="A46" s="675" t="s">
        <v>3336</v>
      </c>
      <c r="B46" s="676" t="s">
        <v>3337</v>
      </c>
      <c r="C46" s="676" t="s">
        <v>2244</v>
      </c>
      <c r="D46" s="676" t="s">
        <v>3360</v>
      </c>
      <c r="E46" s="676" t="s">
        <v>3361</v>
      </c>
      <c r="F46" s="680"/>
      <c r="G46" s="680"/>
      <c r="H46" s="680"/>
      <c r="I46" s="680"/>
      <c r="J46" s="680">
        <v>3</v>
      </c>
      <c r="K46" s="680">
        <v>246</v>
      </c>
      <c r="L46" s="680">
        <v>1</v>
      </c>
      <c r="M46" s="680">
        <v>82</v>
      </c>
      <c r="N46" s="680">
        <v>5</v>
      </c>
      <c r="O46" s="680">
        <v>410</v>
      </c>
      <c r="P46" s="702">
        <v>1.6666666666666667</v>
      </c>
      <c r="Q46" s="681">
        <v>82</v>
      </c>
    </row>
    <row r="47" spans="1:17" ht="14.4" customHeight="1" x14ac:dyDescent="0.3">
      <c r="A47" s="675" t="s">
        <v>3336</v>
      </c>
      <c r="B47" s="676" t="s">
        <v>3337</v>
      </c>
      <c r="C47" s="676" t="s">
        <v>2244</v>
      </c>
      <c r="D47" s="676" t="s">
        <v>3362</v>
      </c>
      <c r="E47" s="676" t="s">
        <v>3363</v>
      </c>
      <c r="F47" s="680">
        <v>58</v>
      </c>
      <c r="G47" s="680">
        <v>57246</v>
      </c>
      <c r="H47" s="680">
        <v>0.62979669072346423</v>
      </c>
      <c r="I47" s="680">
        <v>987</v>
      </c>
      <c r="J47" s="680">
        <v>92</v>
      </c>
      <c r="K47" s="680">
        <v>90896</v>
      </c>
      <c r="L47" s="680">
        <v>1</v>
      </c>
      <c r="M47" s="680">
        <v>988</v>
      </c>
      <c r="N47" s="680">
        <v>108</v>
      </c>
      <c r="O47" s="680">
        <v>106704</v>
      </c>
      <c r="P47" s="702">
        <v>1.173913043478261</v>
      </c>
      <c r="Q47" s="681">
        <v>988</v>
      </c>
    </row>
    <row r="48" spans="1:17" ht="14.4" customHeight="1" x14ac:dyDescent="0.3">
      <c r="A48" s="675" t="s">
        <v>3336</v>
      </c>
      <c r="B48" s="676" t="s">
        <v>3337</v>
      </c>
      <c r="C48" s="676" t="s">
        <v>2244</v>
      </c>
      <c r="D48" s="676" t="s">
        <v>3364</v>
      </c>
      <c r="E48" s="676" t="s">
        <v>3365</v>
      </c>
      <c r="F48" s="680">
        <v>1</v>
      </c>
      <c r="G48" s="680">
        <v>191</v>
      </c>
      <c r="H48" s="680"/>
      <c r="I48" s="680">
        <v>191</v>
      </c>
      <c r="J48" s="680"/>
      <c r="K48" s="680"/>
      <c r="L48" s="680"/>
      <c r="M48" s="680"/>
      <c r="N48" s="680">
        <v>1</v>
      </c>
      <c r="O48" s="680">
        <v>191</v>
      </c>
      <c r="P48" s="702"/>
      <c r="Q48" s="681">
        <v>191</v>
      </c>
    </row>
    <row r="49" spans="1:17" ht="14.4" customHeight="1" x14ac:dyDescent="0.3">
      <c r="A49" s="675" t="s">
        <v>3336</v>
      </c>
      <c r="B49" s="676" t="s">
        <v>3337</v>
      </c>
      <c r="C49" s="676" t="s">
        <v>2244</v>
      </c>
      <c r="D49" s="676" t="s">
        <v>3366</v>
      </c>
      <c r="E49" s="676" t="s">
        <v>3367</v>
      </c>
      <c r="F49" s="680">
        <v>8</v>
      </c>
      <c r="G49" s="680">
        <v>656</v>
      </c>
      <c r="H49" s="680">
        <v>2</v>
      </c>
      <c r="I49" s="680">
        <v>82</v>
      </c>
      <c r="J49" s="680">
        <v>4</v>
      </c>
      <c r="K49" s="680">
        <v>328</v>
      </c>
      <c r="L49" s="680">
        <v>1</v>
      </c>
      <c r="M49" s="680">
        <v>82</v>
      </c>
      <c r="N49" s="680">
        <v>10</v>
      </c>
      <c r="O49" s="680">
        <v>820</v>
      </c>
      <c r="P49" s="702">
        <v>2.5</v>
      </c>
      <c r="Q49" s="681">
        <v>82</v>
      </c>
    </row>
    <row r="50" spans="1:17" ht="14.4" customHeight="1" x14ac:dyDescent="0.3">
      <c r="A50" s="675" t="s">
        <v>3336</v>
      </c>
      <c r="B50" s="676" t="s">
        <v>3337</v>
      </c>
      <c r="C50" s="676" t="s">
        <v>2244</v>
      </c>
      <c r="D50" s="676" t="s">
        <v>3368</v>
      </c>
      <c r="E50" s="676" t="s">
        <v>3369</v>
      </c>
      <c r="F50" s="680">
        <v>6</v>
      </c>
      <c r="G50" s="680">
        <v>378</v>
      </c>
      <c r="H50" s="680">
        <v>0.375</v>
      </c>
      <c r="I50" s="680">
        <v>63</v>
      </c>
      <c r="J50" s="680">
        <v>16</v>
      </c>
      <c r="K50" s="680">
        <v>1008</v>
      </c>
      <c r="L50" s="680">
        <v>1</v>
      </c>
      <c r="M50" s="680">
        <v>63</v>
      </c>
      <c r="N50" s="680">
        <v>5</v>
      </c>
      <c r="O50" s="680">
        <v>315</v>
      </c>
      <c r="P50" s="702">
        <v>0.3125</v>
      </c>
      <c r="Q50" s="681">
        <v>63</v>
      </c>
    </row>
    <row r="51" spans="1:17" ht="14.4" customHeight="1" x14ac:dyDescent="0.3">
      <c r="A51" s="675" t="s">
        <v>3336</v>
      </c>
      <c r="B51" s="676" t="s">
        <v>3337</v>
      </c>
      <c r="C51" s="676" t="s">
        <v>2244</v>
      </c>
      <c r="D51" s="676" t="s">
        <v>3370</v>
      </c>
      <c r="E51" s="676" t="s">
        <v>3371</v>
      </c>
      <c r="F51" s="680">
        <v>430</v>
      </c>
      <c r="G51" s="680">
        <v>7310</v>
      </c>
      <c r="H51" s="680">
        <v>0.98623853211009171</v>
      </c>
      <c r="I51" s="680">
        <v>17</v>
      </c>
      <c r="J51" s="680">
        <v>436</v>
      </c>
      <c r="K51" s="680">
        <v>7412</v>
      </c>
      <c r="L51" s="680">
        <v>1</v>
      </c>
      <c r="M51" s="680">
        <v>17</v>
      </c>
      <c r="N51" s="680">
        <v>516</v>
      </c>
      <c r="O51" s="680">
        <v>8772</v>
      </c>
      <c r="P51" s="702">
        <v>1.1834862385321101</v>
      </c>
      <c r="Q51" s="681">
        <v>17</v>
      </c>
    </row>
    <row r="52" spans="1:17" ht="14.4" customHeight="1" x14ac:dyDescent="0.3">
      <c r="A52" s="675" t="s">
        <v>3336</v>
      </c>
      <c r="B52" s="676" t="s">
        <v>3337</v>
      </c>
      <c r="C52" s="676" t="s">
        <v>2244</v>
      </c>
      <c r="D52" s="676" t="s">
        <v>3372</v>
      </c>
      <c r="E52" s="676" t="s">
        <v>3373</v>
      </c>
      <c r="F52" s="680">
        <v>1</v>
      </c>
      <c r="G52" s="680">
        <v>64</v>
      </c>
      <c r="H52" s="680">
        <v>1</v>
      </c>
      <c r="I52" s="680">
        <v>64</v>
      </c>
      <c r="J52" s="680">
        <v>1</v>
      </c>
      <c r="K52" s="680">
        <v>64</v>
      </c>
      <c r="L52" s="680">
        <v>1</v>
      </c>
      <c r="M52" s="680">
        <v>64</v>
      </c>
      <c r="N52" s="680"/>
      <c r="O52" s="680"/>
      <c r="P52" s="702"/>
      <c r="Q52" s="681"/>
    </row>
    <row r="53" spans="1:17" ht="14.4" customHeight="1" x14ac:dyDescent="0.3">
      <c r="A53" s="675" t="s">
        <v>3336</v>
      </c>
      <c r="B53" s="676" t="s">
        <v>3337</v>
      </c>
      <c r="C53" s="676" t="s">
        <v>2244</v>
      </c>
      <c r="D53" s="676" t="s">
        <v>3374</v>
      </c>
      <c r="E53" s="676" t="s">
        <v>3375</v>
      </c>
      <c r="F53" s="680"/>
      <c r="G53" s="680"/>
      <c r="H53" s="680"/>
      <c r="I53" s="680"/>
      <c r="J53" s="680">
        <v>4</v>
      </c>
      <c r="K53" s="680">
        <v>188</v>
      </c>
      <c r="L53" s="680">
        <v>1</v>
      </c>
      <c r="M53" s="680">
        <v>47</v>
      </c>
      <c r="N53" s="680">
        <v>4</v>
      </c>
      <c r="O53" s="680">
        <v>188</v>
      </c>
      <c r="P53" s="702">
        <v>1</v>
      </c>
      <c r="Q53" s="681">
        <v>47</v>
      </c>
    </row>
    <row r="54" spans="1:17" ht="14.4" customHeight="1" x14ac:dyDescent="0.3">
      <c r="A54" s="675" t="s">
        <v>3336</v>
      </c>
      <c r="B54" s="676" t="s">
        <v>3337</v>
      </c>
      <c r="C54" s="676" t="s">
        <v>2244</v>
      </c>
      <c r="D54" s="676" t="s">
        <v>3376</v>
      </c>
      <c r="E54" s="676" t="s">
        <v>3377</v>
      </c>
      <c r="F54" s="680">
        <v>1</v>
      </c>
      <c r="G54" s="680">
        <v>60</v>
      </c>
      <c r="H54" s="680">
        <v>1</v>
      </c>
      <c r="I54" s="680">
        <v>60</v>
      </c>
      <c r="J54" s="680">
        <v>1</v>
      </c>
      <c r="K54" s="680">
        <v>60</v>
      </c>
      <c r="L54" s="680">
        <v>1</v>
      </c>
      <c r="M54" s="680">
        <v>60</v>
      </c>
      <c r="N54" s="680">
        <v>1</v>
      </c>
      <c r="O54" s="680">
        <v>60</v>
      </c>
      <c r="P54" s="702">
        <v>1</v>
      </c>
      <c r="Q54" s="681">
        <v>60</v>
      </c>
    </row>
    <row r="55" spans="1:17" ht="14.4" customHeight="1" x14ac:dyDescent="0.3">
      <c r="A55" s="675" t="s">
        <v>3336</v>
      </c>
      <c r="B55" s="676" t="s">
        <v>3337</v>
      </c>
      <c r="C55" s="676" t="s">
        <v>2244</v>
      </c>
      <c r="D55" s="676" t="s">
        <v>3378</v>
      </c>
      <c r="E55" s="676" t="s">
        <v>3379</v>
      </c>
      <c r="F55" s="680">
        <v>2</v>
      </c>
      <c r="G55" s="680">
        <v>38</v>
      </c>
      <c r="H55" s="680">
        <v>2</v>
      </c>
      <c r="I55" s="680">
        <v>19</v>
      </c>
      <c r="J55" s="680">
        <v>1</v>
      </c>
      <c r="K55" s="680">
        <v>19</v>
      </c>
      <c r="L55" s="680">
        <v>1</v>
      </c>
      <c r="M55" s="680">
        <v>19</v>
      </c>
      <c r="N55" s="680">
        <v>1</v>
      </c>
      <c r="O55" s="680">
        <v>19</v>
      </c>
      <c r="P55" s="702">
        <v>1</v>
      </c>
      <c r="Q55" s="681">
        <v>19</v>
      </c>
    </row>
    <row r="56" spans="1:17" ht="14.4" customHeight="1" x14ac:dyDescent="0.3">
      <c r="A56" s="675" t="s">
        <v>3336</v>
      </c>
      <c r="B56" s="676" t="s">
        <v>3337</v>
      </c>
      <c r="C56" s="676" t="s">
        <v>2244</v>
      </c>
      <c r="D56" s="676" t="s">
        <v>3380</v>
      </c>
      <c r="E56" s="676" t="s">
        <v>3381</v>
      </c>
      <c r="F56" s="680"/>
      <c r="G56" s="680"/>
      <c r="H56" s="680"/>
      <c r="I56" s="680"/>
      <c r="J56" s="680">
        <v>5</v>
      </c>
      <c r="K56" s="680">
        <v>2320</v>
      </c>
      <c r="L56" s="680">
        <v>1</v>
      </c>
      <c r="M56" s="680">
        <v>464</v>
      </c>
      <c r="N56" s="680">
        <v>1</v>
      </c>
      <c r="O56" s="680">
        <v>464</v>
      </c>
      <c r="P56" s="702">
        <v>0.2</v>
      </c>
      <c r="Q56" s="681">
        <v>464</v>
      </c>
    </row>
    <row r="57" spans="1:17" ht="14.4" customHeight="1" x14ac:dyDescent="0.3">
      <c r="A57" s="675" t="s">
        <v>3336</v>
      </c>
      <c r="B57" s="676" t="s">
        <v>3337</v>
      </c>
      <c r="C57" s="676" t="s">
        <v>2244</v>
      </c>
      <c r="D57" s="676" t="s">
        <v>3382</v>
      </c>
      <c r="E57" s="676" t="s">
        <v>3383</v>
      </c>
      <c r="F57" s="680">
        <v>1</v>
      </c>
      <c r="G57" s="680">
        <v>312</v>
      </c>
      <c r="H57" s="680">
        <v>0.99680511182108622</v>
      </c>
      <c r="I57" s="680">
        <v>312</v>
      </c>
      <c r="J57" s="680">
        <v>1</v>
      </c>
      <c r="K57" s="680">
        <v>313</v>
      </c>
      <c r="L57" s="680">
        <v>1</v>
      </c>
      <c r="M57" s="680">
        <v>313</v>
      </c>
      <c r="N57" s="680"/>
      <c r="O57" s="680"/>
      <c r="P57" s="702"/>
      <c r="Q57" s="681"/>
    </row>
    <row r="58" spans="1:17" ht="14.4" customHeight="1" x14ac:dyDescent="0.3">
      <c r="A58" s="675" t="s">
        <v>3336</v>
      </c>
      <c r="B58" s="676" t="s">
        <v>3337</v>
      </c>
      <c r="C58" s="676" t="s">
        <v>2244</v>
      </c>
      <c r="D58" s="676" t="s">
        <v>3384</v>
      </c>
      <c r="E58" s="676" t="s">
        <v>3385</v>
      </c>
      <c r="F58" s="680">
        <v>42</v>
      </c>
      <c r="G58" s="680">
        <v>35784</v>
      </c>
      <c r="H58" s="680">
        <v>0.87397420867526376</v>
      </c>
      <c r="I58" s="680">
        <v>852</v>
      </c>
      <c r="J58" s="680">
        <v>48</v>
      </c>
      <c r="K58" s="680">
        <v>40944</v>
      </c>
      <c r="L58" s="680">
        <v>1</v>
      </c>
      <c r="M58" s="680">
        <v>853</v>
      </c>
      <c r="N58" s="680">
        <v>70</v>
      </c>
      <c r="O58" s="680">
        <v>59710</v>
      </c>
      <c r="P58" s="702">
        <v>1.4583333333333333</v>
      </c>
      <c r="Q58" s="681">
        <v>853</v>
      </c>
    </row>
    <row r="59" spans="1:17" ht="14.4" customHeight="1" x14ac:dyDescent="0.3">
      <c r="A59" s="675" t="s">
        <v>3336</v>
      </c>
      <c r="B59" s="676" t="s">
        <v>3337</v>
      </c>
      <c r="C59" s="676" t="s">
        <v>2244</v>
      </c>
      <c r="D59" s="676" t="s">
        <v>3386</v>
      </c>
      <c r="E59" s="676" t="s">
        <v>3387</v>
      </c>
      <c r="F59" s="680"/>
      <c r="G59" s="680"/>
      <c r="H59" s="680"/>
      <c r="I59" s="680"/>
      <c r="J59" s="680">
        <v>6</v>
      </c>
      <c r="K59" s="680">
        <v>1122</v>
      </c>
      <c r="L59" s="680">
        <v>1</v>
      </c>
      <c r="M59" s="680">
        <v>187</v>
      </c>
      <c r="N59" s="680">
        <v>21</v>
      </c>
      <c r="O59" s="680">
        <v>3927</v>
      </c>
      <c r="P59" s="702">
        <v>3.5</v>
      </c>
      <c r="Q59" s="681">
        <v>187</v>
      </c>
    </row>
    <row r="60" spans="1:17" ht="14.4" customHeight="1" x14ac:dyDescent="0.3">
      <c r="A60" s="675" t="s">
        <v>3336</v>
      </c>
      <c r="B60" s="676" t="s">
        <v>3337</v>
      </c>
      <c r="C60" s="676" t="s">
        <v>2244</v>
      </c>
      <c r="D60" s="676" t="s">
        <v>3388</v>
      </c>
      <c r="E60" s="676" t="s">
        <v>3389</v>
      </c>
      <c r="F60" s="680">
        <v>1</v>
      </c>
      <c r="G60" s="680">
        <v>167</v>
      </c>
      <c r="H60" s="680"/>
      <c r="I60" s="680">
        <v>167</v>
      </c>
      <c r="J60" s="680"/>
      <c r="K60" s="680"/>
      <c r="L60" s="680"/>
      <c r="M60" s="680"/>
      <c r="N60" s="680"/>
      <c r="O60" s="680"/>
      <c r="P60" s="702"/>
      <c r="Q60" s="681"/>
    </row>
    <row r="61" spans="1:17" ht="14.4" customHeight="1" x14ac:dyDescent="0.3">
      <c r="A61" s="675" t="s">
        <v>3336</v>
      </c>
      <c r="B61" s="676" t="s">
        <v>3337</v>
      </c>
      <c r="C61" s="676" t="s">
        <v>2244</v>
      </c>
      <c r="D61" s="676" t="s">
        <v>3390</v>
      </c>
      <c r="E61" s="676" t="s">
        <v>3391</v>
      </c>
      <c r="F61" s="680"/>
      <c r="G61" s="680"/>
      <c r="H61" s="680"/>
      <c r="I61" s="680"/>
      <c r="J61" s="680"/>
      <c r="K61" s="680"/>
      <c r="L61" s="680"/>
      <c r="M61" s="680"/>
      <c r="N61" s="680">
        <v>1</v>
      </c>
      <c r="O61" s="680">
        <v>167</v>
      </c>
      <c r="P61" s="702"/>
      <c r="Q61" s="681">
        <v>167</v>
      </c>
    </row>
    <row r="62" spans="1:17" ht="14.4" customHeight="1" x14ac:dyDescent="0.3">
      <c r="A62" s="675" t="s">
        <v>3336</v>
      </c>
      <c r="B62" s="676" t="s">
        <v>3337</v>
      </c>
      <c r="C62" s="676" t="s">
        <v>2244</v>
      </c>
      <c r="D62" s="676" t="s">
        <v>3392</v>
      </c>
      <c r="E62" s="676" t="s">
        <v>3393</v>
      </c>
      <c r="F62" s="680">
        <v>1</v>
      </c>
      <c r="G62" s="680">
        <v>351</v>
      </c>
      <c r="H62" s="680"/>
      <c r="I62" s="680">
        <v>351</v>
      </c>
      <c r="J62" s="680"/>
      <c r="K62" s="680"/>
      <c r="L62" s="680"/>
      <c r="M62" s="680"/>
      <c r="N62" s="680">
        <v>1</v>
      </c>
      <c r="O62" s="680">
        <v>352</v>
      </c>
      <c r="P62" s="702"/>
      <c r="Q62" s="681">
        <v>352</v>
      </c>
    </row>
    <row r="63" spans="1:17" ht="14.4" customHeight="1" x14ac:dyDescent="0.3">
      <c r="A63" s="675" t="s">
        <v>3336</v>
      </c>
      <c r="B63" s="676" t="s">
        <v>3337</v>
      </c>
      <c r="C63" s="676" t="s">
        <v>2244</v>
      </c>
      <c r="D63" s="676" t="s">
        <v>3394</v>
      </c>
      <c r="E63" s="676" t="s">
        <v>3395</v>
      </c>
      <c r="F63" s="680"/>
      <c r="G63" s="680"/>
      <c r="H63" s="680"/>
      <c r="I63" s="680"/>
      <c r="J63" s="680"/>
      <c r="K63" s="680"/>
      <c r="L63" s="680"/>
      <c r="M63" s="680"/>
      <c r="N63" s="680">
        <v>1</v>
      </c>
      <c r="O63" s="680">
        <v>352</v>
      </c>
      <c r="P63" s="702"/>
      <c r="Q63" s="681">
        <v>352</v>
      </c>
    </row>
    <row r="64" spans="1:17" ht="14.4" customHeight="1" x14ac:dyDescent="0.3">
      <c r="A64" s="675" t="s">
        <v>3336</v>
      </c>
      <c r="B64" s="676" t="s">
        <v>3337</v>
      </c>
      <c r="C64" s="676" t="s">
        <v>2244</v>
      </c>
      <c r="D64" s="676" t="s">
        <v>3396</v>
      </c>
      <c r="E64" s="676" t="s">
        <v>3397</v>
      </c>
      <c r="F64" s="680">
        <v>2</v>
      </c>
      <c r="G64" s="680">
        <v>2432</v>
      </c>
      <c r="H64" s="680">
        <v>1.9918099918099919</v>
      </c>
      <c r="I64" s="680">
        <v>1216</v>
      </c>
      <c r="J64" s="680">
        <v>1</v>
      </c>
      <c r="K64" s="680">
        <v>1221</v>
      </c>
      <c r="L64" s="680">
        <v>1</v>
      </c>
      <c r="M64" s="680">
        <v>1221</v>
      </c>
      <c r="N64" s="680">
        <v>1</v>
      </c>
      <c r="O64" s="680">
        <v>1222</v>
      </c>
      <c r="P64" s="702">
        <v>1.0008190008190008</v>
      </c>
      <c r="Q64" s="681">
        <v>1222</v>
      </c>
    </row>
    <row r="65" spans="1:17" ht="14.4" customHeight="1" x14ac:dyDescent="0.3">
      <c r="A65" s="675" t="s">
        <v>3336</v>
      </c>
      <c r="B65" s="676" t="s">
        <v>3337</v>
      </c>
      <c r="C65" s="676" t="s">
        <v>2244</v>
      </c>
      <c r="D65" s="676" t="s">
        <v>3398</v>
      </c>
      <c r="E65" s="676" t="s">
        <v>3399</v>
      </c>
      <c r="F65" s="680">
        <v>219</v>
      </c>
      <c r="G65" s="680">
        <v>172134</v>
      </c>
      <c r="H65" s="680">
        <v>0.83481575603557812</v>
      </c>
      <c r="I65" s="680">
        <v>786</v>
      </c>
      <c r="J65" s="680">
        <v>262</v>
      </c>
      <c r="K65" s="680">
        <v>206194</v>
      </c>
      <c r="L65" s="680">
        <v>1</v>
      </c>
      <c r="M65" s="680">
        <v>787</v>
      </c>
      <c r="N65" s="680">
        <v>367</v>
      </c>
      <c r="O65" s="680">
        <v>289196</v>
      </c>
      <c r="P65" s="702">
        <v>1.4025432359816483</v>
      </c>
      <c r="Q65" s="681">
        <v>788</v>
      </c>
    </row>
    <row r="66" spans="1:17" ht="14.4" customHeight="1" x14ac:dyDescent="0.3">
      <c r="A66" s="675" t="s">
        <v>3336</v>
      </c>
      <c r="B66" s="676" t="s">
        <v>3337</v>
      </c>
      <c r="C66" s="676" t="s">
        <v>2244</v>
      </c>
      <c r="D66" s="676" t="s">
        <v>3400</v>
      </c>
      <c r="E66" s="676" t="s">
        <v>3401</v>
      </c>
      <c r="F66" s="680"/>
      <c r="G66" s="680"/>
      <c r="H66" s="680"/>
      <c r="I66" s="680"/>
      <c r="J66" s="680"/>
      <c r="K66" s="680"/>
      <c r="L66" s="680"/>
      <c r="M66" s="680"/>
      <c r="N66" s="680">
        <v>1</v>
      </c>
      <c r="O66" s="680">
        <v>189</v>
      </c>
      <c r="P66" s="702"/>
      <c r="Q66" s="681">
        <v>189</v>
      </c>
    </row>
    <row r="67" spans="1:17" ht="14.4" customHeight="1" x14ac:dyDescent="0.3">
      <c r="A67" s="675" t="s">
        <v>3336</v>
      </c>
      <c r="B67" s="676" t="s">
        <v>3337</v>
      </c>
      <c r="C67" s="676" t="s">
        <v>2244</v>
      </c>
      <c r="D67" s="676" t="s">
        <v>3402</v>
      </c>
      <c r="E67" s="676" t="s">
        <v>3403</v>
      </c>
      <c r="F67" s="680"/>
      <c r="G67" s="680"/>
      <c r="H67" s="680"/>
      <c r="I67" s="680"/>
      <c r="J67" s="680"/>
      <c r="K67" s="680"/>
      <c r="L67" s="680"/>
      <c r="M67" s="680"/>
      <c r="N67" s="680">
        <v>2</v>
      </c>
      <c r="O67" s="680">
        <v>358</v>
      </c>
      <c r="P67" s="702"/>
      <c r="Q67" s="681">
        <v>179</v>
      </c>
    </row>
    <row r="68" spans="1:17" ht="14.4" customHeight="1" x14ac:dyDescent="0.3">
      <c r="A68" s="675" t="s">
        <v>3336</v>
      </c>
      <c r="B68" s="676" t="s">
        <v>3337</v>
      </c>
      <c r="C68" s="676" t="s">
        <v>2244</v>
      </c>
      <c r="D68" s="676" t="s">
        <v>3404</v>
      </c>
      <c r="E68" s="676" t="s">
        <v>3405</v>
      </c>
      <c r="F68" s="680">
        <v>3</v>
      </c>
      <c r="G68" s="680">
        <v>684</v>
      </c>
      <c r="H68" s="680">
        <v>2.9868995633187772</v>
      </c>
      <c r="I68" s="680">
        <v>228</v>
      </c>
      <c r="J68" s="680">
        <v>1</v>
      </c>
      <c r="K68" s="680">
        <v>229</v>
      </c>
      <c r="L68" s="680">
        <v>1</v>
      </c>
      <c r="M68" s="680">
        <v>229</v>
      </c>
      <c r="N68" s="680">
        <v>1</v>
      </c>
      <c r="O68" s="680">
        <v>229</v>
      </c>
      <c r="P68" s="702">
        <v>1</v>
      </c>
      <c r="Q68" s="681">
        <v>229</v>
      </c>
    </row>
    <row r="69" spans="1:17" ht="14.4" customHeight="1" x14ac:dyDescent="0.3">
      <c r="A69" s="675" t="s">
        <v>3336</v>
      </c>
      <c r="B69" s="676" t="s">
        <v>3337</v>
      </c>
      <c r="C69" s="676" t="s">
        <v>2244</v>
      </c>
      <c r="D69" s="676" t="s">
        <v>3406</v>
      </c>
      <c r="E69" s="676" t="s">
        <v>3407</v>
      </c>
      <c r="F69" s="680">
        <v>3</v>
      </c>
      <c r="G69" s="680">
        <v>396</v>
      </c>
      <c r="H69" s="680">
        <v>1.4887218045112782</v>
      </c>
      <c r="I69" s="680">
        <v>132</v>
      </c>
      <c r="J69" s="680">
        <v>2</v>
      </c>
      <c r="K69" s="680">
        <v>266</v>
      </c>
      <c r="L69" s="680">
        <v>1</v>
      </c>
      <c r="M69" s="680">
        <v>133</v>
      </c>
      <c r="N69" s="680">
        <v>1</v>
      </c>
      <c r="O69" s="680">
        <v>133</v>
      </c>
      <c r="P69" s="702">
        <v>0.5</v>
      </c>
      <c r="Q69" s="681">
        <v>133</v>
      </c>
    </row>
    <row r="70" spans="1:17" ht="14.4" customHeight="1" x14ac:dyDescent="0.3">
      <c r="A70" s="675" t="s">
        <v>3336</v>
      </c>
      <c r="B70" s="676" t="s">
        <v>3337</v>
      </c>
      <c r="C70" s="676" t="s">
        <v>2244</v>
      </c>
      <c r="D70" s="676" t="s">
        <v>3408</v>
      </c>
      <c r="E70" s="676" t="s">
        <v>3409</v>
      </c>
      <c r="F70" s="680">
        <v>8</v>
      </c>
      <c r="G70" s="680">
        <v>712</v>
      </c>
      <c r="H70" s="680">
        <v>2</v>
      </c>
      <c r="I70" s="680">
        <v>89</v>
      </c>
      <c r="J70" s="680">
        <v>4</v>
      </c>
      <c r="K70" s="680">
        <v>356</v>
      </c>
      <c r="L70" s="680">
        <v>1</v>
      </c>
      <c r="M70" s="680">
        <v>89</v>
      </c>
      <c r="N70" s="680">
        <v>11</v>
      </c>
      <c r="O70" s="680">
        <v>979</v>
      </c>
      <c r="P70" s="702">
        <v>2.75</v>
      </c>
      <c r="Q70" s="681">
        <v>89</v>
      </c>
    </row>
    <row r="71" spans="1:17" ht="14.4" customHeight="1" x14ac:dyDescent="0.3">
      <c r="A71" s="675" t="s">
        <v>3336</v>
      </c>
      <c r="B71" s="676" t="s">
        <v>3337</v>
      </c>
      <c r="C71" s="676" t="s">
        <v>2244</v>
      </c>
      <c r="D71" s="676" t="s">
        <v>3410</v>
      </c>
      <c r="E71" s="676" t="s">
        <v>3411</v>
      </c>
      <c r="F71" s="680">
        <v>1426</v>
      </c>
      <c r="G71" s="680">
        <v>42780</v>
      </c>
      <c r="H71" s="680">
        <v>0.46313738226696982</v>
      </c>
      <c r="I71" s="680">
        <v>30</v>
      </c>
      <c r="J71" s="680">
        <v>3079</v>
      </c>
      <c r="K71" s="680">
        <v>92370</v>
      </c>
      <c r="L71" s="680">
        <v>1</v>
      </c>
      <c r="M71" s="680">
        <v>30</v>
      </c>
      <c r="N71" s="680">
        <v>3607</v>
      </c>
      <c r="O71" s="680">
        <v>108210</v>
      </c>
      <c r="P71" s="702">
        <v>1.1714842481325105</v>
      </c>
      <c r="Q71" s="681">
        <v>30</v>
      </c>
    </row>
    <row r="72" spans="1:17" ht="14.4" customHeight="1" x14ac:dyDescent="0.3">
      <c r="A72" s="675" t="s">
        <v>3336</v>
      </c>
      <c r="B72" s="676" t="s">
        <v>3337</v>
      </c>
      <c r="C72" s="676" t="s">
        <v>2244</v>
      </c>
      <c r="D72" s="676" t="s">
        <v>3412</v>
      </c>
      <c r="E72" s="676" t="s">
        <v>3413</v>
      </c>
      <c r="F72" s="680">
        <v>2</v>
      </c>
      <c r="G72" s="680">
        <v>100</v>
      </c>
      <c r="H72" s="680">
        <v>2</v>
      </c>
      <c r="I72" s="680">
        <v>50</v>
      </c>
      <c r="J72" s="680">
        <v>1</v>
      </c>
      <c r="K72" s="680">
        <v>50</v>
      </c>
      <c r="L72" s="680">
        <v>1</v>
      </c>
      <c r="M72" s="680">
        <v>50</v>
      </c>
      <c r="N72" s="680">
        <v>1</v>
      </c>
      <c r="O72" s="680">
        <v>50</v>
      </c>
      <c r="P72" s="702">
        <v>1</v>
      </c>
      <c r="Q72" s="681">
        <v>50</v>
      </c>
    </row>
    <row r="73" spans="1:17" ht="14.4" customHeight="1" x14ac:dyDescent="0.3">
      <c r="A73" s="675" t="s">
        <v>3336</v>
      </c>
      <c r="B73" s="676" t="s">
        <v>3337</v>
      </c>
      <c r="C73" s="676" t="s">
        <v>2244</v>
      </c>
      <c r="D73" s="676" t="s">
        <v>3414</v>
      </c>
      <c r="E73" s="676" t="s">
        <v>3415</v>
      </c>
      <c r="F73" s="680">
        <v>237</v>
      </c>
      <c r="G73" s="680">
        <v>2844</v>
      </c>
      <c r="H73" s="680">
        <v>0.65650969529085867</v>
      </c>
      <c r="I73" s="680">
        <v>12</v>
      </c>
      <c r="J73" s="680">
        <v>361</v>
      </c>
      <c r="K73" s="680">
        <v>4332</v>
      </c>
      <c r="L73" s="680">
        <v>1</v>
      </c>
      <c r="M73" s="680">
        <v>12</v>
      </c>
      <c r="N73" s="680">
        <v>346</v>
      </c>
      <c r="O73" s="680">
        <v>4152</v>
      </c>
      <c r="P73" s="702">
        <v>0.95844875346260383</v>
      </c>
      <c r="Q73" s="681">
        <v>12</v>
      </c>
    </row>
    <row r="74" spans="1:17" ht="14.4" customHeight="1" x14ac:dyDescent="0.3">
      <c r="A74" s="675" t="s">
        <v>3336</v>
      </c>
      <c r="B74" s="676" t="s">
        <v>3337</v>
      </c>
      <c r="C74" s="676" t="s">
        <v>2244</v>
      </c>
      <c r="D74" s="676" t="s">
        <v>3416</v>
      </c>
      <c r="E74" s="676" t="s">
        <v>3417</v>
      </c>
      <c r="F74" s="680">
        <v>6</v>
      </c>
      <c r="G74" s="680">
        <v>1092</v>
      </c>
      <c r="H74" s="680">
        <v>0.66302367941712204</v>
      </c>
      <c r="I74" s="680">
        <v>182</v>
      </c>
      <c r="J74" s="680">
        <v>9</v>
      </c>
      <c r="K74" s="680">
        <v>1647</v>
      </c>
      <c r="L74" s="680">
        <v>1</v>
      </c>
      <c r="M74" s="680">
        <v>183</v>
      </c>
      <c r="N74" s="680">
        <v>9</v>
      </c>
      <c r="O74" s="680">
        <v>1647</v>
      </c>
      <c r="P74" s="702">
        <v>1</v>
      </c>
      <c r="Q74" s="681">
        <v>183</v>
      </c>
    </row>
    <row r="75" spans="1:17" ht="14.4" customHeight="1" x14ac:dyDescent="0.3">
      <c r="A75" s="675" t="s">
        <v>3336</v>
      </c>
      <c r="B75" s="676" t="s">
        <v>3337</v>
      </c>
      <c r="C75" s="676" t="s">
        <v>2244</v>
      </c>
      <c r="D75" s="676" t="s">
        <v>3418</v>
      </c>
      <c r="E75" s="676" t="s">
        <v>3419</v>
      </c>
      <c r="F75" s="680">
        <v>3</v>
      </c>
      <c r="G75" s="680">
        <v>216</v>
      </c>
      <c r="H75" s="680">
        <v>0.26899128268991285</v>
      </c>
      <c r="I75" s="680">
        <v>72</v>
      </c>
      <c r="J75" s="680">
        <v>11</v>
      </c>
      <c r="K75" s="680">
        <v>803</v>
      </c>
      <c r="L75" s="680">
        <v>1</v>
      </c>
      <c r="M75" s="680">
        <v>73</v>
      </c>
      <c r="N75" s="680">
        <v>13</v>
      </c>
      <c r="O75" s="680">
        <v>949</v>
      </c>
      <c r="P75" s="702">
        <v>1.1818181818181819</v>
      </c>
      <c r="Q75" s="681">
        <v>73</v>
      </c>
    </row>
    <row r="76" spans="1:17" ht="14.4" customHeight="1" x14ac:dyDescent="0.3">
      <c r="A76" s="675" t="s">
        <v>3336</v>
      </c>
      <c r="B76" s="676" t="s">
        <v>3337</v>
      </c>
      <c r="C76" s="676" t="s">
        <v>2244</v>
      </c>
      <c r="D76" s="676" t="s">
        <v>3420</v>
      </c>
      <c r="E76" s="676" t="s">
        <v>3421</v>
      </c>
      <c r="F76" s="680">
        <v>4</v>
      </c>
      <c r="G76" s="680">
        <v>732</v>
      </c>
      <c r="H76" s="680">
        <v>1.326086956521739</v>
      </c>
      <c r="I76" s="680">
        <v>183</v>
      </c>
      <c r="J76" s="680">
        <v>3</v>
      </c>
      <c r="K76" s="680">
        <v>552</v>
      </c>
      <c r="L76" s="680">
        <v>1</v>
      </c>
      <c r="M76" s="680">
        <v>184</v>
      </c>
      <c r="N76" s="680">
        <v>5</v>
      </c>
      <c r="O76" s="680">
        <v>920</v>
      </c>
      <c r="P76" s="702">
        <v>1.6666666666666667</v>
      </c>
      <c r="Q76" s="681">
        <v>184</v>
      </c>
    </row>
    <row r="77" spans="1:17" ht="14.4" customHeight="1" x14ac:dyDescent="0.3">
      <c r="A77" s="675" t="s">
        <v>3336</v>
      </c>
      <c r="B77" s="676" t="s">
        <v>3337</v>
      </c>
      <c r="C77" s="676" t="s">
        <v>2244</v>
      </c>
      <c r="D77" s="676" t="s">
        <v>3422</v>
      </c>
      <c r="E77" s="676" t="s">
        <v>3423</v>
      </c>
      <c r="F77" s="680"/>
      <c r="G77" s="680"/>
      <c r="H77" s="680"/>
      <c r="I77" s="680"/>
      <c r="J77" s="680">
        <v>2</v>
      </c>
      <c r="K77" s="680">
        <v>2566</v>
      </c>
      <c r="L77" s="680">
        <v>1</v>
      </c>
      <c r="M77" s="680">
        <v>1283</v>
      </c>
      <c r="N77" s="680"/>
      <c r="O77" s="680"/>
      <c r="P77" s="702"/>
      <c r="Q77" s="681"/>
    </row>
    <row r="78" spans="1:17" ht="14.4" customHeight="1" x14ac:dyDescent="0.3">
      <c r="A78" s="675" t="s">
        <v>3336</v>
      </c>
      <c r="B78" s="676" t="s">
        <v>3337</v>
      </c>
      <c r="C78" s="676" t="s">
        <v>2244</v>
      </c>
      <c r="D78" s="676" t="s">
        <v>3424</v>
      </c>
      <c r="E78" s="676" t="s">
        <v>3425</v>
      </c>
      <c r="F78" s="680">
        <v>1181</v>
      </c>
      <c r="G78" s="680">
        <v>174788</v>
      </c>
      <c r="H78" s="680">
        <v>1.0077953827348416</v>
      </c>
      <c r="I78" s="680">
        <v>148</v>
      </c>
      <c r="J78" s="680">
        <v>1164</v>
      </c>
      <c r="K78" s="680">
        <v>173436</v>
      </c>
      <c r="L78" s="680">
        <v>1</v>
      </c>
      <c r="M78" s="680">
        <v>149</v>
      </c>
      <c r="N78" s="680">
        <v>1283</v>
      </c>
      <c r="O78" s="680">
        <v>191167</v>
      </c>
      <c r="P78" s="702">
        <v>1.1022336769759451</v>
      </c>
      <c r="Q78" s="681">
        <v>149</v>
      </c>
    </row>
    <row r="79" spans="1:17" ht="14.4" customHeight="1" x14ac:dyDescent="0.3">
      <c r="A79" s="675" t="s">
        <v>3336</v>
      </c>
      <c r="B79" s="676" t="s">
        <v>3337</v>
      </c>
      <c r="C79" s="676" t="s">
        <v>2244</v>
      </c>
      <c r="D79" s="676" t="s">
        <v>3426</v>
      </c>
      <c r="E79" s="676" t="s">
        <v>3427</v>
      </c>
      <c r="F79" s="680">
        <v>2289</v>
      </c>
      <c r="G79" s="680">
        <v>68670</v>
      </c>
      <c r="H79" s="680">
        <v>0.71823031063696263</v>
      </c>
      <c r="I79" s="680">
        <v>30</v>
      </c>
      <c r="J79" s="680">
        <v>3187</v>
      </c>
      <c r="K79" s="680">
        <v>95610</v>
      </c>
      <c r="L79" s="680">
        <v>1</v>
      </c>
      <c r="M79" s="680">
        <v>30</v>
      </c>
      <c r="N79" s="680">
        <v>3681</v>
      </c>
      <c r="O79" s="680">
        <v>110430</v>
      </c>
      <c r="P79" s="702">
        <v>1.1550047066206464</v>
      </c>
      <c r="Q79" s="681">
        <v>30</v>
      </c>
    </row>
    <row r="80" spans="1:17" ht="14.4" customHeight="1" x14ac:dyDescent="0.3">
      <c r="A80" s="675" t="s">
        <v>3336</v>
      </c>
      <c r="B80" s="676" t="s">
        <v>3337</v>
      </c>
      <c r="C80" s="676" t="s">
        <v>2244</v>
      </c>
      <c r="D80" s="676" t="s">
        <v>3428</v>
      </c>
      <c r="E80" s="676" t="s">
        <v>3429</v>
      </c>
      <c r="F80" s="680">
        <v>115</v>
      </c>
      <c r="G80" s="680">
        <v>3565</v>
      </c>
      <c r="H80" s="680">
        <v>0.73717948717948723</v>
      </c>
      <c r="I80" s="680">
        <v>31</v>
      </c>
      <c r="J80" s="680">
        <v>156</v>
      </c>
      <c r="K80" s="680">
        <v>4836</v>
      </c>
      <c r="L80" s="680">
        <v>1</v>
      </c>
      <c r="M80" s="680">
        <v>31</v>
      </c>
      <c r="N80" s="680">
        <v>195</v>
      </c>
      <c r="O80" s="680">
        <v>6045</v>
      </c>
      <c r="P80" s="702">
        <v>1.25</v>
      </c>
      <c r="Q80" s="681">
        <v>31</v>
      </c>
    </row>
    <row r="81" spans="1:17" ht="14.4" customHeight="1" x14ac:dyDescent="0.3">
      <c r="A81" s="675" t="s">
        <v>3336</v>
      </c>
      <c r="B81" s="676" t="s">
        <v>3337</v>
      </c>
      <c r="C81" s="676" t="s">
        <v>2244</v>
      </c>
      <c r="D81" s="676" t="s">
        <v>3430</v>
      </c>
      <c r="E81" s="676" t="s">
        <v>3431</v>
      </c>
      <c r="F81" s="680">
        <v>131</v>
      </c>
      <c r="G81" s="680">
        <v>3537</v>
      </c>
      <c r="H81" s="680">
        <v>0.69680851063829785</v>
      </c>
      <c r="I81" s="680">
        <v>27</v>
      </c>
      <c r="J81" s="680">
        <v>188</v>
      </c>
      <c r="K81" s="680">
        <v>5076</v>
      </c>
      <c r="L81" s="680">
        <v>1</v>
      </c>
      <c r="M81" s="680">
        <v>27</v>
      </c>
      <c r="N81" s="680">
        <v>222</v>
      </c>
      <c r="O81" s="680">
        <v>5994</v>
      </c>
      <c r="P81" s="702">
        <v>1.1808510638297873</v>
      </c>
      <c r="Q81" s="681">
        <v>27</v>
      </c>
    </row>
    <row r="82" spans="1:17" ht="14.4" customHeight="1" x14ac:dyDescent="0.3">
      <c r="A82" s="675" t="s">
        <v>3336</v>
      </c>
      <c r="B82" s="676" t="s">
        <v>3337</v>
      </c>
      <c r="C82" s="676" t="s">
        <v>2244</v>
      </c>
      <c r="D82" s="676" t="s">
        <v>3432</v>
      </c>
      <c r="E82" s="676" t="s">
        <v>3433</v>
      </c>
      <c r="F82" s="680">
        <v>1</v>
      </c>
      <c r="G82" s="680">
        <v>255</v>
      </c>
      <c r="H82" s="680"/>
      <c r="I82" s="680">
        <v>255</v>
      </c>
      <c r="J82" s="680"/>
      <c r="K82" s="680"/>
      <c r="L82" s="680"/>
      <c r="M82" s="680"/>
      <c r="N82" s="680">
        <v>3</v>
      </c>
      <c r="O82" s="680">
        <v>768</v>
      </c>
      <c r="P82" s="702"/>
      <c r="Q82" s="681">
        <v>256</v>
      </c>
    </row>
    <row r="83" spans="1:17" ht="14.4" customHeight="1" x14ac:dyDescent="0.3">
      <c r="A83" s="675" t="s">
        <v>3336</v>
      </c>
      <c r="B83" s="676" t="s">
        <v>3337</v>
      </c>
      <c r="C83" s="676" t="s">
        <v>2244</v>
      </c>
      <c r="D83" s="676" t="s">
        <v>3434</v>
      </c>
      <c r="E83" s="676" t="s">
        <v>3435</v>
      </c>
      <c r="F83" s="680">
        <v>4</v>
      </c>
      <c r="G83" s="680">
        <v>88</v>
      </c>
      <c r="H83" s="680">
        <v>1</v>
      </c>
      <c r="I83" s="680">
        <v>22</v>
      </c>
      <c r="J83" s="680">
        <v>4</v>
      </c>
      <c r="K83" s="680">
        <v>88</v>
      </c>
      <c r="L83" s="680">
        <v>1</v>
      </c>
      <c r="M83" s="680">
        <v>22</v>
      </c>
      <c r="N83" s="680">
        <v>7</v>
      </c>
      <c r="O83" s="680">
        <v>154</v>
      </c>
      <c r="P83" s="702">
        <v>1.75</v>
      </c>
      <c r="Q83" s="681">
        <v>22</v>
      </c>
    </row>
    <row r="84" spans="1:17" ht="14.4" customHeight="1" x14ac:dyDescent="0.3">
      <c r="A84" s="675" t="s">
        <v>3336</v>
      </c>
      <c r="B84" s="676" t="s">
        <v>3337</v>
      </c>
      <c r="C84" s="676" t="s">
        <v>2244</v>
      </c>
      <c r="D84" s="676" t="s">
        <v>3436</v>
      </c>
      <c r="E84" s="676" t="s">
        <v>3437</v>
      </c>
      <c r="F84" s="680">
        <v>1</v>
      </c>
      <c r="G84" s="680">
        <v>862</v>
      </c>
      <c r="H84" s="680"/>
      <c r="I84" s="680">
        <v>862</v>
      </c>
      <c r="J84" s="680"/>
      <c r="K84" s="680"/>
      <c r="L84" s="680"/>
      <c r="M84" s="680"/>
      <c r="N84" s="680"/>
      <c r="O84" s="680"/>
      <c r="P84" s="702"/>
      <c r="Q84" s="681"/>
    </row>
    <row r="85" spans="1:17" ht="14.4" customHeight="1" x14ac:dyDescent="0.3">
      <c r="A85" s="675" t="s">
        <v>3336</v>
      </c>
      <c r="B85" s="676" t="s">
        <v>3337</v>
      </c>
      <c r="C85" s="676" t="s">
        <v>2244</v>
      </c>
      <c r="D85" s="676" t="s">
        <v>3438</v>
      </c>
      <c r="E85" s="676" t="s">
        <v>3439</v>
      </c>
      <c r="F85" s="680">
        <v>877</v>
      </c>
      <c r="G85" s="680">
        <v>21925</v>
      </c>
      <c r="H85" s="680">
        <v>0.93198724760892671</v>
      </c>
      <c r="I85" s="680">
        <v>25</v>
      </c>
      <c r="J85" s="680">
        <v>941</v>
      </c>
      <c r="K85" s="680">
        <v>23525</v>
      </c>
      <c r="L85" s="680">
        <v>1</v>
      </c>
      <c r="M85" s="680">
        <v>25</v>
      </c>
      <c r="N85" s="680">
        <v>983</v>
      </c>
      <c r="O85" s="680">
        <v>24575</v>
      </c>
      <c r="P85" s="702">
        <v>1.0446333687566418</v>
      </c>
      <c r="Q85" s="681">
        <v>25</v>
      </c>
    </row>
    <row r="86" spans="1:17" ht="14.4" customHeight="1" x14ac:dyDescent="0.3">
      <c r="A86" s="675" t="s">
        <v>3336</v>
      </c>
      <c r="B86" s="676" t="s">
        <v>3337</v>
      </c>
      <c r="C86" s="676" t="s">
        <v>2244</v>
      </c>
      <c r="D86" s="676" t="s">
        <v>3440</v>
      </c>
      <c r="E86" s="676" t="s">
        <v>3441</v>
      </c>
      <c r="F86" s="680">
        <v>9</v>
      </c>
      <c r="G86" s="680">
        <v>297</v>
      </c>
      <c r="H86" s="680">
        <v>0.69230769230769229</v>
      </c>
      <c r="I86" s="680">
        <v>33</v>
      </c>
      <c r="J86" s="680">
        <v>13</v>
      </c>
      <c r="K86" s="680">
        <v>429</v>
      </c>
      <c r="L86" s="680">
        <v>1</v>
      </c>
      <c r="M86" s="680">
        <v>33</v>
      </c>
      <c r="N86" s="680">
        <v>15</v>
      </c>
      <c r="O86" s="680">
        <v>495</v>
      </c>
      <c r="P86" s="702">
        <v>1.1538461538461537</v>
      </c>
      <c r="Q86" s="681">
        <v>33</v>
      </c>
    </row>
    <row r="87" spans="1:17" ht="14.4" customHeight="1" x14ac:dyDescent="0.3">
      <c r="A87" s="675" t="s">
        <v>3336</v>
      </c>
      <c r="B87" s="676" t="s">
        <v>3337</v>
      </c>
      <c r="C87" s="676" t="s">
        <v>2244</v>
      </c>
      <c r="D87" s="676" t="s">
        <v>3442</v>
      </c>
      <c r="E87" s="676" t="s">
        <v>3443</v>
      </c>
      <c r="F87" s="680"/>
      <c r="G87" s="680"/>
      <c r="H87" s="680"/>
      <c r="I87" s="680"/>
      <c r="J87" s="680"/>
      <c r="K87" s="680"/>
      <c r="L87" s="680"/>
      <c r="M87" s="680"/>
      <c r="N87" s="680">
        <v>2</v>
      </c>
      <c r="O87" s="680">
        <v>60</v>
      </c>
      <c r="P87" s="702"/>
      <c r="Q87" s="681">
        <v>30</v>
      </c>
    </row>
    <row r="88" spans="1:17" ht="14.4" customHeight="1" x14ac:dyDescent="0.3">
      <c r="A88" s="675" t="s">
        <v>3336</v>
      </c>
      <c r="B88" s="676" t="s">
        <v>3337</v>
      </c>
      <c r="C88" s="676" t="s">
        <v>2244</v>
      </c>
      <c r="D88" s="676" t="s">
        <v>3444</v>
      </c>
      <c r="E88" s="676" t="s">
        <v>3445</v>
      </c>
      <c r="F88" s="680">
        <v>1</v>
      </c>
      <c r="G88" s="680">
        <v>80</v>
      </c>
      <c r="H88" s="680"/>
      <c r="I88" s="680">
        <v>80</v>
      </c>
      <c r="J88" s="680"/>
      <c r="K88" s="680"/>
      <c r="L88" s="680"/>
      <c r="M88" s="680"/>
      <c r="N88" s="680"/>
      <c r="O88" s="680"/>
      <c r="P88" s="702"/>
      <c r="Q88" s="681"/>
    </row>
    <row r="89" spans="1:17" ht="14.4" customHeight="1" x14ac:dyDescent="0.3">
      <c r="A89" s="675" t="s">
        <v>3336</v>
      </c>
      <c r="B89" s="676" t="s">
        <v>3337</v>
      </c>
      <c r="C89" s="676" t="s">
        <v>2244</v>
      </c>
      <c r="D89" s="676" t="s">
        <v>3446</v>
      </c>
      <c r="E89" s="676" t="s">
        <v>3447</v>
      </c>
      <c r="F89" s="680">
        <v>246</v>
      </c>
      <c r="G89" s="680">
        <v>6396</v>
      </c>
      <c r="H89" s="680">
        <v>0.86925795053003529</v>
      </c>
      <c r="I89" s="680">
        <v>26</v>
      </c>
      <c r="J89" s="680">
        <v>283</v>
      </c>
      <c r="K89" s="680">
        <v>7358</v>
      </c>
      <c r="L89" s="680">
        <v>1</v>
      </c>
      <c r="M89" s="680">
        <v>26</v>
      </c>
      <c r="N89" s="680">
        <v>416</v>
      </c>
      <c r="O89" s="680">
        <v>10816</v>
      </c>
      <c r="P89" s="702">
        <v>1.4699646643109541</v>
      </c>
      <c r="Q89" s="681">
        <v>26</v>
      </c>
    </row>
    <row r="90" spans="1:17" ht="14.4" customHeight="1" x14ac:dyDescent="0.3">
      <c r="A90" s="675" t="s">
        <v>3336</v>
      </c>
      <c r="B90" s="676" t="s">
        <v>3337</v>
      </c>
      <c r="C90" s="676" t="s">
        <v>2244</v>
      </c>
      <c r="D90" s="676" t="s">
        <v>3448</v>
      </c>
      <c r="E90" s="676" t="s">
        <v>3449</v>
      </c>
      <c r="F90" s="680">
        <v>86</v>
      </c>
      <c r="G90" s="680">
        <v>7224</v>
      </c>
      <c r="H90" s="680">
        <v>0.79629629629629628</v>
      </c>
      <c r="I90" s="680">
        <v>84</v>
      </c>
      <c r="J90" s="680">
        <v>108</v>
      </c>
      <c r="K90" s="680">
        <v>9072</v>
      </c>
      <c r="L90" s="680">
        <v>1</v>
      </c>
      <c r="M90" s="680">
        <v>84</v>
      </c>
      <c r="N90" s="680">
        <v>150</v>
      </c>
      <c r="O90" s="680">
        <v>12600</v>
      </c>
      <c r="P90" s="702">
        <v>1.3888888888888888</v>
      </c>
      <c r="Q90" s="681">
        <v>84</v>
      </c>
    </row>
    <row r="91" spans="1:17" ht="14.4" customHeight="1" x14ac:dyDescent="0.3">
      <c r="A91" s="675" t="s">
        <v>3336</v>
      </c>
      <c r="B91" s="676" t="s">
        <v>3337</v>
      </c>
      <c r="C91" s="676" t="s">
        <v>2244</v>
      </c>
      <c r="D91" s="676" t="s">
        <v>3450</v>
      </c>
      <c r="E91" s="676" t="s">
        <v>3451</v>
      </c>
      <c r="F91" s="680">
        <v>7</v>
      </c>
      <c r="G91" s="680">
        <v>1225</v>
      </c>
      <c r="H91" s="680">
        <v>0.63274793388429751</v>
      </c>
      <c r="I91" s="680">
        <v>175</v>
      </c>
      <c r="J91" s="680">
        <v>11</v>
      </c>
      <c r="K91" s="680">
        <v>1936</v>
      </c>
      <c r="L91" s="680">
        <v>1</v>
      </c>
      <c r="M91" s="680">
        <v>176</v>
      </c>
      <c r="N91" s="680">
        <v>13</v>
      </c>
      <c r="O91" s="680">
        <v>2288</v>
      </c>
      <c r="P91" s="702">
        <v>1.1818181818181819</v>
      </c>
      <c r="Q91" s="681">
        <v>176</v>
      </c>
    </row>
    <row r="92" spans="1:17" ht="14.4" customHeight="1" x14ac:dyDescent="0.3">
      <c r="A92" s="675" t="s">
        <v>3336</v>
      </c>
      <c r="B92" s="676" t="s">
        <v>3337</v>
      </c>
      <c r="C92" s="676" t="s">
        <v>2244</v>
      </c>
      <c r="D92" s="676" t="s">
        <v>3452</v>
      </c>
      <c r="E92" s="676" t="s">
        <v>3453</v>
      </c>
      <c r="F92" s="680">
        <v>2</v>
      </c>
      <c r="G92" s="680">
        <v>504</v>
      </c>
      <c r="H92" s="680"/>
      <c r="I92" s="680">
        <v>252</v>
      </c>
      <c r="J92" s="680"/>
      <c r="K92" s="680"/>
      <c r="L92" s="680"/>
      <c r="M92" s="680"/>
      <c r="N92" s="680">
        <v>1</v>
      </c>
      <c r="O92" s="680">
        <v>253</v>
      </c>
      <c r="P92" s="702"/>
      <c r="Q92" s="681">
        <v>253</v>
      </c>
    </row>
    <row r="93" spans="1:17" ht="14.4" customHeight="1" x14ac:dyDescent="0.3">
      <c r="A93" s="675" t="s">
        <v>3336</v>
      </c>
      <c r="B93" s="676" t="s">
        <v>3337</v>
      </c>
      <c r="C93" s="676" t="s">
        <v>2244</v>
      </c>
      <c r="D93" s="676" t="s">
        <v>3454</v>
      </c>
      <c r="E93" s="676" t="s">
        <v>3455</v>
      </c>
      <c r="F93" s="680">
        <v>115</v>
      </c>
      <c r="G93" s="680">
        <v>1725</v>
      </c>
      <c r="H93" s="680">
        <v>1.0360360360360361</v>
      </c>
      <c r="I93" s="680">
        <v>15</v>
      </c>
      <c r="J93" s="680">
        <v>111</v>
      </c>
      <c r="K93" s="680">
        <v>1665</v>
      </c>
      <c r="L93" s="680">
        <v>1</v>
      </c>
      <c r="M93" s="680">
        <v>15</v>
      </c>
      <c r="N93" s="680">
        <v>115</v>
      </c>
      <c r="O93" s="680">
        <v>1725</v>
      </c>
      <c r="P93" s="702">
        <v>1.0360360360360361</v>
      </c>
      <c r="Q93" s="681">
        <v>15</v>
      </c>
    </row>
    <row r="94" spans="1:17" ht="14.4" customHeight="1" x14ac:dyDescent="0.3">
      <c r="A94" s="675" t="s">
        <v>3336</v>
      </c>
      <c r="B94" s="676" t="s">
        <v>3337</v>
      </c>
      <c r="C94" s="676" t="s">
        <v>2244</v>
      </c>
      <c r="D94" s="676" t="s">
        <v>3456</v>
      </c>
      <c r="E94" s="676" t="s">
        <v>3457</v>
      </c>
      <c r="F94" s="680">
        <v>79</v>
      </c>
      <c r="G94" s="680">
        <v>1817</v>
      </c>
      <c r="H94" s="680">
        <v>1.196969696969697</v>
      </c>
      <c r="I94" s="680">
        <v>23</v>
      </c>
      <c r="J94" s="680">
        <v>66</v>
      </c>
      <c r="K94" s="680">
        <v>1518</v>
      </c>
      <c r="L94" s="680">
        <v>1</v>
      </c>
      <c r="M94" s="680">
        <v>23</v>
      </c>
      <c r="N94" s="680">
        <v>121</v>
      </c>
      <c r="O94" s="680">
        <v>2783</v>
      </c>
      <c r="P94" s="702">
        <v>1.8333333333333333</v>
      </c>
      <c r="Q94" s="681">
        <v>23</v>
      </c>
    </row>
    <row r="95" spans="1:17" ht="14.4" customHeight="1" x14ac:dyDescent="0.3">
      <c r="A95" s="675" t="s">
        <v>3336</v>
      </c>
      <c r="B95" s="676" t="s">
        <v>3337</v>
      </c>
      <c r="C95" s="676" t="s">
        <v>2244</v>
      </c>
      <c r="D95" s="676" t="s">
        <v>3458</v>
      </c>
      <c r="E95" s="676" t="s">
        <v>3459</v>
      </c>
      <c r="F95" s="680">
        <v>2</v>
      </c>
      <c r="G95" s="680">
        <v>502</v>
      </c>
      <c r="H95" s="680"/>
      <c r="I95" s="680">
        <v>251</v>
      </c>
      <c r="J95" s="680"/>
      <c r="K95" s="680"/>
      <c r="L95" s="680"/>
      <c r="M95" s="680"/>
      <c r="N95" s="680">
        <v>1</v>
      </c>
      <c r="O95" s="680">
        <v>252</v>
      </c>
      <c r="P95" s="702"/>
      <c r="Q95" s="681">
        <v>252</v>
      </c>
    </row>
    <row r="96" spans="1:17" ht="14.4" customHeight="1" x14ac:dyDescent="0.3">
      <c r="A96" s="675" t="s">
        <v>3336</v>
      </c>
      <c r="B96" s="676" t="s">
        <v>3337</v>
      </c>
      <c r="C96" s="676" t="s">
        <v>2244</v>
      </c>
      <c r="D96" s="676" t="s">
        <v>3460</v>
      </c>
      <c r="E96" s="676" t="s">
        <v>3461</v>
      </c>
      <c r="F96" s="680">
        <v>146</v>
      </c>
      <c r="G96" s="680">
        <v>5402</v>
      </c>
      <c r="H96" s="680">
        <v>0.70192307692307687</v>
      </c>
      <c r="I96" s="680">
        <v>37</v>
      </c>
      <c r="J96" s="680">
        <v>208</v>
      </c>
      <c r="K96" s="680">
        <v>7696</v>
      </c>
      <c r="L96" s="680">
        <v>1</v>
      </c>
      <c r="M96" s="680">
        <v>37</v>
      </c>
      <c r="N96" s="680">
        <v>293</v>
      </c>
      <c r="O96" s="680">
        <v>10841</v>
      </c>
      <c r="P96" s="702">
        <v>1.4086538461538463</v>
      </c>
      <c r="Q96" s="681">
        <v>37</v>
      </c>
    </row>
    <row r="97" spans="1:17" ht="14.4" customHeight="1" x14ac:dyDescent="0.3">
      <c r="A97" s="675" t="s">
        <v>3336</v>
      </c>
      <c r="B97" s="676" t="s">
        <v>3337</v>
      </c>
      <c r="C97" s="676" t="s">
        <v>2244</v>
      </c>
      <c r="D97" s="676" t="s">
        <v>3462</v>
      </c>
      <c r="E97" s="676" t="s">
        <v>3463</v>
      </c>
      <c r="F97" s="680">
        <v>2029</v>
      </c>
      <c r="G97" s="680">
        <v>46667</v>
      </c>
      <c r="H97" s="680">
        <v>0.67274535809018565</v>
      </c>
      <c r="I97" s="680">
        <v>23</v>
      </c>
      <c r="J97" s="680">
        <v>3016</v>
      </c>
      <c r="K97" s="680">
        <v>69368</v>
      </c>
      <c r="L97" s="680">
        <v>1</v>
      </c>
      <c r="M97" s="680">
        <v>23</v>
      </c>
      <c r="N97" s="680">
        <v>3550</v>
      </c>
      <c r="O97" s="680">
        <v>81650</v>
      </c>
      <c r="P97" s="702">
        <v>1.177055702917772</v>
      </c>
      <c r="Q97" s="681">
        <v>23</v>
      </c>
    </row>
    <row r="98" spans="1:17" ht="14.4" customHeight="1" x14ac:dyDescent="0.3">
      <c r="A98" s="675" t="s">
        <v>3336</v>
      </c>
      <c r="B98" s="676" t="s">
        <v>3337</v>
      </c>
      <c r="C98" s="676" t="s">
        <v>2244</v>
      </c>
      <c r="D98" s="676" t="s">
        <v>3464</v>
      </c>
      <c r="E98" s="676" t="s">
        <v>3465</v>
      </c>
      <c r="F98" s="680"/>
      <c r="G98" s="680"/>
      <c r="H98" s="680"/>
      <c r="I98" s="680"/>
      <c r="J98" s="680"/>
      <c r="K98" s="680"/>
      <c r="L98" s="680"/>
      <c r="M98" s="680"/>
      <c r="N98" s="680">
        <v>1</v>
      </c>
      <c r="O98" s="680">
        <v>171</v>
      </c>
      <c r="P98" s="702"/>
      <c r="Q98" s="681">
        <v>171</v>
      </c>
    </row>
    <row r="99" spans="1:17" ht="14.4" customHeight="1" x14ac:dyDescent="0.3">
      <c r="A99" s="675" t="s">
        <v>3336</v>
      </c>
      <c r="B99" s="676" t="s">
        <v>3337</v>
      </c>
      <c r="C99" s="676" t="s">
        <v>2244</v>
      </c>
      <c r="D99" s="676" t="s">
        <v>3466</v>
      </c>
      <c r="E99" s="676" t="s">
        <v>3467</v>
      </c>
      <c r="F99" s="680">
        <v>2</v>
      </c>
      <c r="G99" s="680">
        <v>662</v>
      </c>
      <c r="H99" s="680"/>
      <c r="I99" s="680">
        <v>331</v>
      </c>
      <c r="J99" s="680"/>
      <c r="K99" s="680"/>
      <c r="L99" s="680"/>
      <c r="M99" s="680"/>
      <c r="N99" s="680">
        <v>3</v>
      </c>
      <c r="O99" s="680">
        <v>993</v>
      </c>
      <c r="P99" s="702"/>
      <c r="Q99" s="681">
        <v>331</v>
      </c>
    </row>
    <row r="100" spans="1:17" ht="14.4" customHeight="1" x14ac:dyDescent="0.3">
      <c r="A100" s="675" t="s">
        <v>3336</v>
      </c>
      <c r="B100" s="676" t="s">
        <v>3337</v>
      </c>
      <c r="C100" s="676" t="s">
        <v>2244</v>
      </c>
      <c r="D100" s="676" t="s">
        <v>3468</v>
      </c>
      <c r="E100" s="676" t="s">
        <v>3469</v>
      </c>
      <c r="F100" s="680"/>
      <c r="G100" s="680"/>
      <c r="H100" s="680"/>
      <c r="I100" s="680"/>
      <c r="J100" s="680"/>
      <c r="K100" s="680"/>
      <c r="L100" s="680"/>
      <c r="M100" s="680"/>
      <c r="N100" s="680">
        <v>1</v>
      </c>
      <c r="O100" s="680">
        <v>277</v>
      </c>
      <c r="P100" s="702"/>
      <c r="Q100" s="681">
        <v>277</v>
      </c>
    </row>
    <row r="101" spans="1:17" ht="14.4" customHeight="1" x14ac:dyDescent="0.3">
      <c r="A101" s="675" t="s">
        <v>3336</v>
      </c>
      <c r="B101" s="676" t="s">
        <v>3337</v>
      </c>
      <c r="C101" s="676" t="s">
        <v>2244</v>
      </c>
      <c r="D101" s="676" t="s">
        <v>3470</v>
      </c>
      <c r="E101" s="676" t="s">
        <v>3471</v>
      </c>
      <c r="F101" s="680">
        <v>130</v>
      </c>
      <c r="G101" s="680">
        <v>3770</v>
      </c>
      <c r="H101" s="680">
        <v>1.3978494623655915</v>
      </c>
      <c r="I101" s="680">
        <v>29</v>
      </c>
      <c r="J101" s="680">
        <v>93</v>
      </c>
      <c r="K101" s="680">
        <v>2697</v>
      </c>
      <c r="L101" s="680">
        <v>1</v>
      </c>
      <c r="M101" s="680">
        <v>29</v>
      </c>
      <c r="N101" s="680">
        <v>120</v>
      </c>
      <c r="O101" s="680">
        <v>3480</v>
      </c>
      <c r="P101" s="702">
        <v>1.2903225806451613</v>
      </c>
      <c r="Q101" s="681">
        <v>29</v>
      </c>
    </row>
    <row r="102" spans="1:17" ht="14.4" customHeight="1" x14ac:dyDescent="0.3">
      <c r="A102" s="675" t="s">
        <v>3336</v>
      </c>
      <c r="B102" s="676" t="s">
        <v>3337</v>
      </c>
      <c r="C102" s="676" t="s">
        <v>2244</v>
      </c>
      <c r="D102" s="676" t="s">
        <v>3472</v>
      </c>
      <c r="E102" s="676" t="s">
        <v>3473</v>
      </c>
      <c r="F102" s="680">
        <v>402</v>
      </c>
      <c r="G102" s="680">
        <v>71154</v>
      </c>
      <c r="H102" s="680">
        <v>0.94501553908677982</v>
      </c>
      <c r="I102" s="680">
        <v>177</v>
      </c>
      <c r="J102" s="680">
        <v>423</v>
      </c>
      <c r="K102" s="680">
        <v>75294</v>
      </c>
      <c r="L102" s="680">
        <v>1</v>
      </c>
      <c r="M102" s="680">
        <v>178</v>
      </c>
      <c r="N102" s="680">
        <v>483</v>
      </c>
      <c r="O102" s="680">
        <v>85974</v>
      </c>
      <c r="P102" s="702">
        <v>1.1418439716312057</v>
      </c>
      <c r="Q102" s="681">
        <v>178</v>
      </c>
    </row>
    <row r="103" spans="1:17" ht="14.4" customHeight="1" x14ac:dyDescent="0.3">
      <c r="A103" s="675" t="s">
        <v>3336</v>
      </c>
      <c r="B103" s="676" t="s">
        <v>3337</v>
      </c>
      <c r="C103" s="676" t="s">
        <v>2244</v>
      </c>
      <c r="D103" s="676" t="s">
        <v>3474</v>
      </c>
      <c r="E103" s="676" t="s">
        <v>3475</v>
      </c>
      <c r="F103" s="680"/>
      <c r="G103" s="680"/>
      <c r="H103" s="680"/>
      <c r="I103" s="680"/>
      <c r="J103" s="680"/>
      <c r="K103" s="680"/>
      <c r="L103" s="680"/>
      <c r="M103" s="680"/>
      <c r="N103" s="680">
        <v>2</v>
      </c>
      <c r="O103" s="680">
        <v>398</v>
      </c>
      <c r="P103" s="702"/>
      <c r="Q103" s="681">
        <v>199</v>
      </c>
    </row>
    <row r="104" spans="1:17" ht="14.4" customHeight="1" x14ac:dyDescent="0.3">
      <c r="A104" s="675" t="s">
        <v>3336</v>
      </c>
      <c r="B104" s="676" t="s">
        <v>3337</v>
      </c>
      <c r="C104" s="676" t="s">
        <v>2244</v>
      </c>
      <c r="D104" s="676" t="s">
        <v>3476</v>
      </c>
      <c r="E104" s="676" t="s">
        <v>3477</v>
      </c>
      <c r="F104" s="680">
        <v>2</v>
      </c>
      <c r="G104" s="680">
        <v>30</v>
      </c>
      <c r="H104" s="680">
        <v>0.4</v>
      </c>
      <c r="I104" s="680">
        <v>15</v>
      </c>
      <c r="J104" s="680">
        <v>5</v>
      </c>
      <c r="K104" s="680">
        <v>75</v>
      </c>
      <c r="L104" s="680">
        <v>1</v>
      </c>
      <c r="M104" s="680">
        <v>15</v>
      </c>
      <c r="N104" s="680">
        <v>1</v>
      </c>
      <c r="O104" s="680">
        <v>15</v>
      </c>
      <c r="P104" s="702">
        <v>0.2</v>
      </c>
      <c r="Q104" s="681">
        <v>15</v>
      </c>
    </row>
    <row r="105" spans="1:17" ht="14.4" customHeight="1" x14ac:dyDescent="0.3">
      <c r="A105" s="675" t="s">
        <v>3336</v>
      </c>
      <c r="B105" s="676" t="s">
        <v>3337</v>
      </c>
      <c r="C105" s="676" t="s">
        <v>2244</v>
      </c>
      <c r="D105" s="676" t="s">
        <v>3478</v>
      </c>
      <c r="E105" s="676" t="s">
        <v>3479</v>
      </c>
      <c r="F105" s="680">
        <v>249</v>
      </c>
      <c r="G105" s="680">
        <v>4731</v>
      </c>
      <c r="H105" s="680">
        <v>2.2844036697247705</v>
      </c>
      <c r="I105" s="680">
        <v>19</v>
      </c>
      <c r="J105" s="680">
        <v>109</v>
      </c>
      <c r="K105" s="680">
        <v>2071</v>
      </c>
      <c r="L105" s="680">
        <v>1</v>
      </c>
      <c r="M105" s="680">
        <v>19</v>
      </c>
      <c r="N105" s="680">
        <v>121</v>
      </c>
      <c r="O105" s="680">
        <v>2299</v>
      </c>
      <c r="P105" s="702">
        <v>1.1100917431192661</v>
      </c>
      <c r="Q105" s="681">
        <v>19</v>
      </c>
    </row>
    <row r="106" spans="1:17" ht="14.4" customHeight="1" x14ac:dyDescent="0.3">
      <c r="A106" s="675" t="s">
        <v>3336</v>
      </c>
      <c r="B106" s="676" t="s">
        <v>3337</v>
      </c>
      <c r="C106" s="676" t="s">
        <v>2244</v>
      </c>
      <c r="D106" s="676" t="s">
        <v>3480</v>
      </c>
      <c r="E106" s="676" t="s">
        <v>3481</v>
      </c>
      <c r="F106" s="680">
        <v>579</v>
      </c>
      <c r="G106" s="680">
        <v>11580</v>
      </c>
      <c r="H106" s="680">
        <v>0.93387096774193545</v>
      </c>
      <c r="I106" s="680">
        <v>20</v>
      </c>
      <c r="J106" s="680">
        <v>620</v>
      </c>
      <c r="K106" s="680">
        <v>12400</v>
      </c>
      <c r="L106" s="680">
        <v>1</v>
      </c>
      <c r="M106" s="680">
        <v>20</v>
      </c>
      <c r="N106" s="680">
        <v>817</v>
      </c>
      <c r="O106" s="680">
        <v>16340</v>
      </c>
      <c r="P106" s="702">
        <v>1.3177419354838709</v>
      </c>
      <c r="Q106" s="681">
        <v>20</v>
      </c>
    </row>
    <row r="107" spans="1:17" ht="14.4" customHeight="1" x14ac:dyDescent="0.3">
      <c r="A107" s="675" t="s">
        <v>3336</v>
      </c>
      <c r="B107" s="676" t="s">
        <v>3337</v>
      </c>
      <c r="C107" s="676" t="s">
        <v>2244</v>
      </c>
      <c r="D107" s="676" t="s">
        <v>3482</v>
      </c>
      <c r="E107" s="676" t="s">
        <v>3483</v>
      </c>
      <c r="F107" s="680">
        <v>1</v>
      </c>
      <c r="G107" s="680">
        <v>185</v>
      </c>
      <c r="H107" s="680"/>
      <c r="I107" s="680">
        <v>185</v>
      </c>
      <c r="J107" s="680"/>
      <c r="K107" s="680"/>
      <c r="L107" s="680"/>
      <c r="M107" s="680"/>
      <c r="N107" s="680">
        <v>1</v>
      </c>
      <c r="O107" s="680">
        <v>186</v>
      </c>
      <c r="P107" s="702"/>
      <c r="Q107" s="681">
        <v>186</v>
      </c>
    </row>
    <row r="108" spans="1:17" ht="14.4" customHeight="1" x14ac:dyDescent="0.3">
      <c r="A108" s="675" t="s">
        <v>3336</v>
      </c>
      <c r="B108" s="676" t="s">
        <v>3337</v>
      </c>
      <c r="C108" s="676" t="s">
        <v>2244</v>
      </c>
      <c r="D108" s="676" t="s">
        <v>3484</v>
      </c>
      <c r="E108" s="676" t="s">
        <v>3485</v>
      </c>
      <c r="F108" s="680">
        <v>2</v>
      </c>
      <c r="G108" s="680">
        <v>374</v>
      </c>
      <c r="H108" s="680"/>
      <c r="I108" s="680">
        <v>187</v>
      </c>
      <c r="J108" s="680"/>
      <c r="K108" s="680"/>
      <c r="L108" s="680"/>
      <c r="M108" s="680"/>
      <c r="N108" s="680">
        <v>1</v>
      </c>
      <c r="O108" s="680">
        <v>188</v>
      </c>
      <c r="P108" s="702"/>
      <c r="Q108" s="681">
        <v>188</v>
      </c>
    </row>
    <row r="109" spans="1:17" ht="14.4" customHeight="1" x14ac:dyDescent="0.3">
      <c r="A109" s="675" t="s">
        <v>3336</v>
      </c>
      <c r="B109" s="676" t="s">
        <v>3337</v>
      </c>
      <c r="C109" s="676" t="s">
        <v>2244</v>
      </c>
      <c r="D109" s="676" t="s">
        <v>3486</v>
      </c>
      <c r="E109" s="676" t="s">
        <v>3487</v>
      </c>
      <c r="F109" s="680"/>
      <c r="G109" s="680"/>
      <c r="H109" s="680"/>
      <c r="I109" s="680"/>
      <c r="J109" s="680"/>
      <c r="K109" s="680"/>
      <c r="L109" s="680"/>
      <c r="M109" s="680"/>
      <c r="N109" s="680">
        <v>1</v>
      </c>
      <c r="O109" s="680">
        <v>174</v>
      </c>
      <c r="P109" s="702"/>
      <c r="Q109" s="681">
        <v>174</v>
      </c>
    </row>
    <row r="110" spans="1:17" ht="14.4" customHeight="1" x14ac:dyDescent="0.3">
      <c r="A110" s="675" t="s">
        <v>3336</v>
      </c>
      <c r="B110" s="676" t="s">
        <v>3337</v>
      </c>
      <c r="C110" s="676" t="s">
        <v>2244</v>
      </c>
      <c r="D110" s="676" t="s">
        <v>3488</v>
      </c>
      <c r="E110" s="676" t="s">
        <v>3489</v>
      </c>
      <c r="F110" s="680">
        <v>81</v>
      </c>
      <c r="G110" s="680">
        <v>6804</v>
      </c>
      <c r="H110" s="680">
        <v>0.84375</v>
      </c>
      <c r="I110" s="680">
        <v>84</v>
      </c>
      <c r="J110" s="680">
        <v>96</v>
      </c>
      <c r="K110" s="680">
        <v>8064</v>
      </c>
      <c r="L110" s="680">
        <v>1</v>
      </c>
      <c r="M110" s="680">
        <v>84</v>
      </c>
      <c r="N110" s="680">
        <v>157</v>
      </c>
      <c r="O110" s="680">
        <v>13188</v>
      </c>
      <c r="P110" s="702">
        <v>1.6354166666666667</v>
      </c>
      <c r="Q110" s="681">
        <v>84</v>
      </c>
    </row>
    <row r="111" spans="1:17" ht="14.4" customHeight="1" x14ac:dyDescent="0.3">
      <c r="A111" s="675" t="s">
        <v>3336</v>
      </c>
      <c r="B111" s="676" t="s">
        <v>3337</v>
      </c>
      <c r="C111" s="676" t="s">
        <v>2244</v>
      </c>
      <c r="D111" s="676" t="s">
        <v>3490</v>
      </c>
      <c r="E111" s="676" t="s">
        <v>3491</v>
      </c>
      <c r="F111" s="680">
        <v>1</v>
      </c>
      <c r="G111" s="680">
        <v>647</v>
      </c>
      <c r="H111" s="680"/>
      <c r="I111" s="680">
        <v>647</v>
      </c>
      <c r="J111" s="680"/>
      <c r="K111" s="680"/>
      <c r="L111" s="680"/>
      <c r="M111" s="680"/>
      <c r="N111" s="680"/>
      <c r="O111" s="680"/>
      <c r="P111" s="702"/>
      <c r="Q111" s="681"/>
    </row>
    <row r="112" spans="1:17" ht="14.4" customHeight="1" x14ac:dyDescent="0.3">
      <c r="A112" s="675" t="s">
        <v>3336</v>
      </c>
      <c r="B112" s="676" t="s">
        <v>3337</v>
      </c>
      <c r="C112" s="676" t="s">
        <v>2244</v>
      </c>
      <c r="D112" s="676" t="s">
        <v>3492</v>
      </c>
      <c r="E112" s="676" t="s">
        <v>3493</v>
      </c>
      <c r="F112" s="680">
        <v>1</v>
      </c>
      <c r="G112" s="680">
        <v>78</v>
      </c>
      <c r="H112" s="680">
        <v>1</v>
      </c>
      <c r="I112" s="680">
        <v>78</v>
      </c>
      <c r="J112" s="680">
        <v>1</v>
      </c>
      <c r="K112" s="680">
        <v>78</v>
      </c>
      <c r="L112" s="680">
        <v>1</v>
      </c>
      <c r="M112" s="680">
        <v>78</v>
      </c>
      <c r="N112" s="680">
        <v>1</v>
      </c>
      <c r="O112" s="680">
        <v>78</v>
      </c>
      <c r="P112" s="702">
        <v>1</v>
      </c>
      <c r="Q112" s="681">
        <v>78</v>
      </c>
    </row>
    <row r="113" spans="1:17" ht="14.4" customHeight="1" x14ac:dyDescent="0.3">
      <c r="A113" s="675" t="s">
        <v>3336</v>
      </c>
      <c r="B113" s="676" t="s">
        <v>3337</v>
      </c>
      <c r="C113" s="676" t="s">
        <v>2244</v>
      </c>
      <c r="D113" s="676" t="s">
        <v>3494</v>
      </c>
      <c r="E113" s="676" t="s">
        <v>3495</v>
      </c>
      <c r="F113" s="680">
        <v>5</v>
      </c>
      <c r="G113" s="680">
        <v>1500</v>
      </c>
      <c r="H113" s="680"/>
      <c r="I113" s="680">
        <v>300</v>
      </c>
      <c r="J113" s="680"/>
      <c r="K113" s="680"/>
      <c r="L113" s="680"/>
      <c r="M113" s="680"/>
      <c r="N113" s="680">
        <v>4</v>
      </c>
      <c r="O113" s="680">
        <v>1204</v>
      </c>
      <c r="P113" s="702"/>
      <c r="Q113" s="681">
        <v>301</v>
      </c>
    </row>
    <row r="114" spans="1:17" ht="14.4" customHeight="1" x14ac:dyDescent="0.3">
      <c r="A114" s="675" t="s">
        <v>3336</v>
      </c>
      <c r="B114" s="676" t="s">
        <v>3337</v>
      </c>
      <c r="C114" s="676" t="s">
        <v>2244</v>
      </c>
      <c r="D114" s="676" t="s">
        <v>3496</v>
      </c>
      <c r="E114" s="676" t="s">
        <v>3497</v>
      </c>
      <c r="F114" s="680">
        <v>2</v>
      </c>
      <c r="G114" s="680">
        <v>42</v>
      </c>
      <c r="H114" s="680">
        <v>1</v>
      </c>
      <c r="I114" s="680">
        <v>21</v>
      </c>
      <c r="J114" s="680">
        <v>2</v>
      </c>
      <c r="K114" s="680">
        <v>42</v>
      </c>
      <c r="L114" s="680">
        <v>1</v>
      </c>
      <c r="M114" s="680">
        <v>21</v>
      </c>
      <c r="N114" s="680">
        <v>1</v>
      </c>
      <c r="O114" s="680">
        <v>21</v>
      </c>
      <c r="P114" s="702">
        <v>0.5</v>
      </c>
      <c r="Q114" s="681">
        <v>21</v>
      </c>
    </row>
    <row r="115" spans="1:17" ht="14.4" customHeight="1" x14ac:dyDescent="0.3">
      <c r="A115" s="675" t="s">
        <v>3336</v>
      </c>
      <c r="B115" s="676" t="s">
        <v>3337</v>
      </c>
      <c r="C115" s="676" t="s">
        <v>2244</v>
      </c>
      <c r="D115" s="676" t="s">
        <v>3498</v>
      </c>
      <c r="E115" s="676" t="s">
        <v>3499</v>
      </c>
      <c r="F115" s="680">
        <v>77</v>
      </c>
      <c r="G115" s="680">
        <v>1694</v>
      </c>
      <c r="H115" s="680">
        <v>1.2833333333333334</v>
      </c>
      <c r="I115" s="680">
        <v>22</v>
      </c>
      <c r="J115" s="680">
        <v>60</v>
      </c>
      <c r="K115" s="680">
        <v>1320</v>
      </c>
      <c r="L115" s="680">
        <v>1</v>
      </c>
      <c r="M115" s="680">
        <v>22</v>
      </c>
      <c r="N115" s="680">
        <v>86</v>
      </c>
      <c r="O115" s="680">
        <v>1892</v>
      </c>
      <c r="P115" s="702">
        <v>1.4333333333333333</v>
      </c>
      <c r="Q115" s="681">
        <v>22</v>
      </c>
    </row>
    <row r="116" spans="1:17" ht="14.4" customHeight="1" x14ac:dyDescent="0.3">
      <c r="A116" s="675" t="s">
        <v>3336</v>
      </c>
      <c r="B116" s="676" t="s">
        <v>3337</v>
      </c>
      <c r="C116" s="676" t="s">
        <v>2244</v>
      </c>
      <c r="D116" s="676" t="s">
        <v>3500</v>
      </c>
      <c r="E116" s="676" t="s">
        <v>3501</v>
      </c>
      <c r="F116" s="680">
        <v>1</v>
      </c>
      <c r="G116" s="680">
        <v>569</v>
      </c>
      <c r="H116" s="680"/>
      <c r="I116" s="680">
        <v>569</v>
      </c>
      <c r="J116" s="680"/>
      <c r="K116" s="680"/>
      <c r="L116" s="680"/>
      <c r="M116" s="680"/>
      <c r="N116" s="680"/>
      <c r="O116" s="680"/>
      <c r="P116" s="702"/>
      <c r="Q116" s="681"/>
    </row>
    <row r="117" spans="1:17" ht="14.4" customHeight="1" x14ac:dyDescent="0.3">
      <c r="A117" s="675" t="s">
        <v>3336</v>
      </c>
      <c r="B117" s="676" t="s">
        <v>3337</v>
      </c>
      <c r="C117" s="676" t="s">
        <v>2244</v>
      </c>
      <c r="D117" s="676" t="s">
        <v>3502</v>
      </c>
      <c r="E117" s="676" t="s">
        <v>3503</v>
      </c>
      <c r="F117" s="680">
        <v>5</v>
      </c>
      <c r="G117" s="680">
        <v>2475</v>
      </c>
      <c r="H117" s="680"/>
      <c r="I117" s="680">
        <v>495</v>
      </c>
      <c r="J117" s="680"/>
      <c r="K117" s="680"/>
      <c r="L117" s="680"/>
      <c r="M117" s="680"/>
      <c r="N117" s="680">
        <v>8</v>
      </c>
      <c r="O117" s="680">
        <v>3960</v>
      </c>
      <c r="P117" s="702"/>
      <c r="Q117" s="681">
        <v>495</v>
      </c>
    </row>
    <row r="118" spans="1:17" ht="14.4" customHeight="1" x14ac:dyDescent="0.3">
      <c r="A118" s="675" t="s">
        <v>3336</v>
      </c>
      <c r="B118" s="676" t="s">
        <v>3337</v>
      </c>
      <c r="C118" s="676" t="s">
        <v>2244</v>
      </c>
      <c r="D118" s="676" t="s">
        <v>3504</v>
      </c>
      <c r="E118" s="676" t="s">
        <v>3505</v>
      </c>
      <c r="F118" s="680"/>
      <c r="G118" s="680"/>
      <c r="H118" s="680"/>
      <c r="I118" s="680"/>
      <c r="J118" s="680">
        <v>3</v>
      </c>
      <c r="K118" s="680">
        <v>1737</v>
      </c>
      <c r="L118" s="680">
        <v>1</v>
      </c>
      <c r="M118" s="680">
        <v>579</v>
      </c>
      <c r="N118" s="680"/>
      <c r="O118" s="680"/>
      <c r="P118" s="702"/>
      <c r="Q118" s="681"/>
    </row>
    <row r="119" spans="1:17" ht="14.4" customHeight="1" x14ac:dyDescent="0.3">
      <c r="A119" s="675" t="s">
        <v>3336</v>
      </c>
      <c r="B119" s="676" t="s">
        <v>3337</v>
      </c>
      <c r="C119" s="676" t="s">
        <v>2244</v>
      </c>
      <c r="D119" s="676" t="s">
        <v>3318</v>
      </c>
      <c r="E119" s="676" t="s">
        <v>3319</v>
      </c>
      <c r="F119" s="680"/>
      <c r="G119" s="680"/>
      <c r="H119" s="680"/>
      <c r="I119" s="680"/>
      <c r="J119" s="680">
        <v>3</v>
      </c>
      <c r="K119" s="680">
        <v>3033</v>
      </c>
      <c r="L119" s="680">
        <v>1</v>
      </c>
      <c r="M119" s="680">
        <v>1011</v>
      </c>
      <c r="N119" s="680"/>
      <c r="O119" s="680"/>
      <c r="P119" s="702"/>
      <c r="Q119" s="681"/>
    </row>
    <row r="120" spans="1:17" ht="14.4" customHeight="1" x14ac:dyDescent="0.3">
      <c r="A120" s="675" t="s">
        <v>3336</v>
      </c>
      <c r="B120" s="676" t="s">
        <v>3337</v>
      </c>
      <c r="C120" s="676" t="s">
        <v>2244</v>
      </c>
      <c r="D120" s="676" t="s">
        <v>3506</v>
      </c>
      <c r="E120" s="676" t="s">
        <v>3507</v>
      </c>
      <c r="F120" s="680">
        <v>3</v>
      </c>
      <c r="G120" s="680">
        <v>501</v>
      </c>
      <c r="H120" s="680">
        <v>0.49702380952380953</v>
      </c>
      <c r="I120" s="680">
        <v>167</v>
      </c>
      <c r="J120" s="680">
        <v>6</v>
      </c>
      <c r="K120" s="680">
        <v>1008</v>
      </c>
      <c r="L120" s="680">
        <v>1</v>
      </c>
      <c r="M120" s="680">
        <v>168</v>
      </c>
      <c r="N120" s="680">
        <v>1</v>
      </c>
      <c r="O120" s="680">
        <v>168</v>
      </c>
      <c r="P120" s="702">
        <v>0.16666666666666666</v>
      </c>
      <c r="Q120" s="681">
        <v>168</v>
      </c>
    </row>
    <row r="121" spans="1:17" ht="14.4" customHeight="1" x14ac:dyDescent="0.3">
      <c r="A121" s="675" t="s">
        <v>3336</v>
      </c>
      <c r="B121" s="676" t="s">
        <v>3337</v>
      </c>
      <c r="C121" s="676" t="s">
        <v>2244</v>
      </c>
      <c r="D121" s="676" t="s">
        <v>3508</v>
      </c>
      <c r="E121" s="676" t="s">
        <v>3509</v>
      </c>
      <c r="F121" s="680"/>
      <c r="G121" s="680"/>
      <c r="H121" s="680"/>
      <c r="I121" s="680"/>
      <c r="J121" s="680">
        <v>1</v>
      </c>
      <c r="K121" s="680">
        <v>127</v>
      </c>
      <c r="L121" s="680">
        <v>1</v>
      </c>
      <c r="M121" s="680">
        <v>127</v>
      </c>
      <c r="N121" s="680">
        <v>2</v>
      </c>
      <c r="O121" s="680">
        <v>254</v>
      </c>
      <c r="P121" s="702">
        <v>2</v>
      </c>
      <c r="Q121" s="681">
        <v>127</v>
      </c>
    </row>
    <row r="122" spans="1:17" ht="14.4" customHeight="1" x14ac:dyDescent="0.3">
      <c r="A122" s="675" t="s">
        <v>3336</v>
      </c>
      <c r="B122" s="676" t="s">
        <v>3337</v>
      </c>
      <c r="C122" s="676" t="s">
        <v>2244</v>
      </c>
      <c r="D122" s="676" t="s">
        <v>3510</v>
      </c>
      <c r="E122" s="676" t="s">
        <v>3511</v>
      </c>
      <c r="F122" s="680">
        <v>1</v>
      </c>
      <c r="G122" s="680">
        <v>310</v>
      </c>
      <c r="H122" s="680"/>
      <c r="I122" s="680">
        <v>310</v>
      </c>
      <c r="J122" s="680"/>
      <c r="K122" s="680"/>
      <c r="L122" s="680"/>
      <c r="M122" s="680"/>
      <c r="N122" s="680"/>
      <c r="O122" s="680"/>
      <c r="P122" s="702"/>
      <c r="Q122" s="681"/>
    </row>
    <row r="123" spans="1:17" ht="14.4" customHeight="1" x14ac:dyDescent="0.3">
      <c r="A123" s="675" t="s">
        <v>3336</v>
      </c>
      <c r="B123" s="676" t="s">
        <v>3337</v>
      </c>
      <c r="C123" s="676" t="s">
        <v>2244</v>
      </c>
      <c r="D123" s="676" t="s">
        <v>3512</v>
      </c>
      <c r="E123" s="676" t="s">
        <v>3513</v>
      </c>
      <c r="F123" s="680">
        <v>4</v>
      </c>
      <c r="G123" s="680">
        <v>92</v>
      </c>
      <c r="H123" s="680">
        <v>0.8</v>
      </c>
      <c r="I123" s="680">
        <v>23</v>
      </c>
      <c r="J123" s="680">
        <v>5</v>
      </c>
      <c r="K123" s="680">
        <v>115</v>
      </c>
      <c r="L123" s="680">
        <v>1</v>
      </c>
      <c r="M123" s="680">
        <v>23</v>
      </c>
      <c r="N123" s="680">
        <v>1</v>
      </c>
      <c r="O123" s="680">
        <v>23</v>
      </c>
      <c r="P123" s="702">
        <v>0.2</v>
      </c>
      <c r="Q123" s="681">
        <v>23</v>
      </c>
    </row>
    <row r="124" spans="1:17" ht="14.4" customHeight="1" x14ac:dyDescent="0.3">
      <c r="A124" s="675" t="s">
        <v>3336</v>
      </c>
      <c r="B124" s="676" t="s">
        <v>3337</v>
      </c>
      <c r="C124" s="676" t="s">
        <v>2244</v>
      </c>
      <c r="D124" s="676" t="s">
        <v>3514</v>
      </c>
      <c r="E124" s="676" t="s">
        <v>3515</v>
      </c>
      <c r="F124" s="680"/>
      <c r="G124" s="680"/>
      <c r="H124" s="680"/>
      <c r="I124" s="680"/>
      <c r="J124" s="680">
        <v>2</v>
      </c>
      <c r="K124" s="680">
        <v>34</v>
      </c>
      <c r="L124" s="680">
        <v>1</v>
      </c>
      <c r="M124" s="680">
        <v>17</v>
      </c>
      <c r="N124" s="680"/>
      <c r="O124" s="680"/>
      <c r="P124" s="702"/>
      <c r="Q124" s="681"/>
    </row>
    <row r="125" spans="1:17" ht="14.4" customHeight="1" x14ac:dyDescent="0.3">
      <c r="A125" s="675" t="s">
        <v>3336</v>
      </c>
      <c r="B125" s="676" t="s">
        <v>3337</v>
      </c>
      <c r="C125" s="676" t="s">
        <v>2244</v>
      </c>
      <c r="D125" s="676" t="s">
        <v>3516</v>
      </c>
      <c r="E125" s="676" t="s">
        <v>3517</v>
      </c>
      <c r="F125" s="680">
        <v>3</v>
      </c>
      <c r="G125" s="680">
        <v>396</v>
      </c>
      <c r="H125" s="680">
        <v>2.9774436090225564</v>
      </c>
      <c r="I125" s="680">
        <v>132</v>
      </c>
      <c r="J125" s="680">
        <v>1</v>
      </c>
      <c r="K125" s="680">
        <v>133</v>
      </c>
      <c r="L125" s="680">
        <v>1</v>
      </c>
      <c r="M125" s="680">
        <v>133</v>
      </c>
      <c r="N125" s="680">
        <v>1</v>
      </c>
      <c r="O125" s="680">
        <v>133</v>
      </c>
      <c r="P125" s="702">
        <v>1</v>
      </c>
      <c r="Q125" s="681">
        <v>133</v>
      </c>
    </row>
    <row r="126" spans="1:17" ht="14.4" customHeight="1" x14ac:dyDescent="0.3">
      <c r="A126" s="675" t="s">
        <v>3336</v>
      </c>
      <c r="B126" s="676" t="s">
        <v>3337</v>
      </c>
      <c r="C126" s="676" t="s">
        <v>2244</v>
      </c>
      <c r="D126" s="676" t="s">
        <v>3518</v>
      </c>
      <c r="E126" s="676" t="s">
        <v>3519</v>
      </c>
      <c r="F126" s="680">
        <v>64</v>
      </c>
      <c r="G126" s="680">
        <v>18752</v>
      </c>
      <c r="H126" s="680">
        <v>0.75931324910916753</v>
      </c>
      <c r="I126" s="680">
        <v>293</v>
      </c>
      <c r="J126" s="680">
        <v>84</v>
      </c>
      <c r="K126" s="680">
        <v>24696</v>
      </c>
      <c r="L126" s="680">
        <v>1</v>
      </c>
      <c r="M126" s="680">
        <v>294</v>
      </c>
      <c r="N126" s="680">
        <v>83</v>
      </c>
      <c r="O126" s="680">
        <v>24402</v>
      </c>
      <c r="P126" s="702">
        <v>0.98809523809523814</v>
      </c>
      <c r="Q126" s="681">
        <v>294</v>
      </c>
    </row>
    <row r="127" spans="1:17" ht="14.4" customHeight="1" x14ac:dyDescent="0.3">
      <c r="A127" s="675" t="s">
        <v>3336</v>
      </c>
      <c r="B127" s="676" t="s">
        <v>3337</v>
      </c>
      <c r="C127" s="676" t="s">
        <v>2244</v>
      </c>
      <c r="D127" s="676" t="s">
        <v>3520</v>
      </c>
      <c r="E127" s="676" t="s">
        <v>3521</v>
      </c>
      <c r="F127" s="680">
        <v>2</v>
      </c>
      <c r="G127" s="680">
        <v>90</v>
      </c>
      <c r="H127" s="680">
        <v>0.5</v>
      </c>
      <c r="I127" s="680">
        <v>45</v>
      </c>
      <c r="J127" s="680">
        <v>4</v>
      </c>
      <c r="K127" s="680">
        <v>180</v>
      </c>
      <c r="L127" s="680">
        <v>1</v>
      </c>
      <c r="M127" s="680">
        <v>45</v>
      </c>
      <c r="N127" s="680">
        <v>1</v>
      </c>
      <c r="O127" s="680">
        <v>45</v>
      </c>
      <c r="P127" s="702">
        <v>0.25</v>
      </c>
      <c r="Q127" s="681">
        <v>45</v>
      </c>
    </row>
    <row r="128" spans="1:17" ht="14.4" customHeight="1" x14ac:dyDescent="0.3">
      <c r="A128" s="675" t="s">
        <v>3336</v>
      </c>
      <c r="B128" s="676" t="s">
        <v>3337</v>
      </c>
      <c r="C128" s="676" t="s">
        <v>2244</v>
      </c>
      <c r="D128" s="676" t="s">
        <v>3522</v>
      </c>
      <c r="E128" s="676" t="s">
        <v>3523</v>
      </c>
      <c r="F128" s="680"/>
      <c r="G128" s="680"/>
      <c r="H128" s="680"/>
      <c r="I128" s="680"/>
      <c r="J128" s="680">
        <v>3</v>
      </c>
      <c r="K128" s="680">
        <v>138</v>
      </c>
      <c r="L128" s="680">
        <v>1</v>
      </c>
      <c r="M128" s="680">
        <v>46</v>
      </c>
      <c r="N128" s="680">
        <v>5</v>
      </c>
      <c r="O128" s="680">
        <v>230</v>
      </c>
      <c r="P128" s="702">
        <v>1.6666666666666667</v>
      </c>
      <c r="Q128" s="681">
        <v>46</v>
      </c>
    </row>
    <row r="129" spans="1:17" ht="14.4" customHeight="1" x14ac:dyDescent="0.3">
      <c r="A129" s="675" t="s">
        <v>3336</v>
      </c>
      <c r="B129" s="676" t="s">
        <v>3337</v>
      </c>
      <c r="C129" s="676" t="s">
        <v>2244</v>
      </c>
      <c r="D129" s="676" t="s">
        <v>3524</v>
      </c>
      <c r="E129" s="676" t="s">
        <v>3525</v>
      </c>
      <c r="F129" s="680"/>
      <c r="G129" s="680"/>
      <c r="H129" s="680"/>
      <c r="I129" s="680"/>
      <c r="J129" s="680"/>
      <c r="K129" s="680"/>
      <c r="L129" s="680"/>
      <c r="M129" s="680"/>
      <c r="N129" s="680">
        <v>3</v>
      </c>
      <c r="O129" s="680">
        <v>1584</v>
      </c>
      <c r="P129" s="702"/>
      <c r="Q129" s="681">
        <v>528</v>
      </c>
    </row>
    <row r="130" spans="1:17" ht="14.4" customHeight="1" x14ac:dyDescent="0.3">
      <c r="A130" s="675" t="s">
        <v>3336</v>
      </c>
      <c r="B130" s="676" t="s">
        <v>3337</v>
      </c>
      <c r="C130" s="676" t="s">
        <v>2244</v>
      </c>
      <c r="D130" s="676" t="s">
        <v>3526</v>
      </c>
      <c r="E130" s="676" t="s">
        <v>3527</v>
      </c>
      <c r="F130" s="680">
        <v>6</v>
      </c>
      <c r="G130" s="680">
        <v>186</v>
      </c>
      <c r="H130" s="680">
        <v>3</v>
      </c>
      <c r="I130" s="680">
        <v>31</v>
      </c>
      <c r="J130" s="680">
        <v>2</v>
      </c>
      <c r="K130" s="680">
        <v>62</v>
      </c>
      <c r="L130" s="680">
        <v>1</v>
      </c>
      <c r="M130" s="680">
        <v>31</v>
      </c>
      <c r="N130" s="680">
        <v>1</v>
      </c>
      <c r="O130" s="680">
        <v>31</v>
      </c>
      <c r="P130" s="702">
        <v>0.5</v>
      </c>
      <c r="Q130" s="681">
        <v>31</v>
      </c>
    </row>
    <row r="131" spans="1:17" ht="14.4" customHeight="1" x14ac:dyDescent="0.3">
      <c r="A131" s="675" t="s">
        <v>3336</v>
      </c>
      <c r="B131" s="676" t="s">
        <v>3337</v>
      </c>
      <c r="C131" s="676" t="s">
        <v>2244</v>
      </c>
      <c r="D131" s="676" t="s">
        <v>3528</v>
      </c>
      <c r="E131" s="676" t="s">
        <v>3529</v>
      </c>
      <c r="F131" s="680"/>
      <c r="G131" s="680"/>
      <c r="H131" s="680"/>
      <c r="I131" s="680"/>
      <c r="J131" s="680">
        <v>1</v>
      </c>
      <c r="K131" s="680">
        <v>26</v>
      </c>
      <c r="L131" s="680">
        <v>1</v>
      </c>
      <c r="M131" s="680">
        <v>26</v>
      </c>
      <c r="N131" s="680">
        <v>2</v>
      </c>
      <c r="O131" s="680">
        <v>52</v>
      </c>
      <c r="P131" s="702">
        <v>2</v>
      </c>
      <c r="Q131" s="681">
        <v>26</v>
      </c>
    </row>
    <row r="132" spans="1:17" ht="14.4" customHeight="1" x14ac:dyDescent="0.3">
      <c r="A132" s="675" t="s">
        <v>3336</v>
      </c>
      <c r="B132" s="676" t="s">
        <v>3337</v>
      </c>
      <c r="C132" s="676" t="s">
        <v>2244</v>
      </c>
      <c r="D132" s="676" t="s">
        <v>3530</v>
      </c>
      <c r="E132" s="676" t="s">
        <v>3531</v>
      </c>
      <c r="F132" s="680"/>
      <c r="G132" s="680"/>
      <c r="H132" s="680"/>
      <c r="I132" s="680"/>
      <c r="J132" s="680"/>
      <c r="K132" s="680"/>
      <c r="L132" s="680"/>
      <c r="M132" s="680"/>
      <c r="N132" s="680">
        <v>1</v>
      </c>
      <c r="O132" s="680">
        <v>407</v>
      </c>
      <c r="P132" s="702"/>
      <c r="Q132" s="681">
        <v>407</v>
      </c>
    </row>
    <row r="133" spans="1:17" ht="14.4" customHeight="1" x14ac:dyDescent="0.3">
      <c r="A133" s="675" t="s">
        <v>3336</v>
      </c>
      <c r="B133" s="676" t="s">
        <v>3337</v>
      </c>
      <c r="C133" s="676" t="s">
        <v>2244</v>
      </c>
      <c r="D133" s="676" t="s">
        <v>3532</v>
      </c>
      <c r="E133" s="676" t="s">
        <v>3533</v>
      </c>
      <c r="F133" s="680"/>
      <c r="G133" s="680"/>
      <c r="H133" s="680"/>
      <c r="I133" s="680"/>
      <c r="J133" s="680"/>
      <c r="K133" s="680"/>
      <c r="L133" s="680"/>
      <c r="M133" s="680"/>
      <c r="N133" s="680">
        <v>1</v>
      </c>
      <c r="O133" s="680">
        <v>190</v>
      </c>
      <c r="P133" s="702"/>
      <c r="Q133" s="681">
        <v>190</v>
      </c>
    </row>
    <row r="134" spans="1:17" ht="14.4" customHeight="1" x14ac:dyDescent="0.3">
      <c r="A134" s="675" t="s">
        <v>3336</v>
      </c>
      <c r="B134" s="676" t="s">
        <v>3337</v>
      </c>
      <c r="C134" s="676" t="s">
        <v>2244</v>
      </c>
      <c r="D134" s="676" t="s">
        <v>3534</v>
      </c>
      <c r="E134" s="676" t="s">
        <v>3535</v>
      </c>
      <c r="F134" s="680">
        <v>3</v>
      </c>
      <c r="G134" s="680">
        <v>819</v>
      </c>
      <c r="H134" s="680">
        <v>0.37363138686131386</v>
      </c>
      <c r="I134" s="680">
        <v>273</v>
      </c>
      <c r="J134" s="680">
        <v>8</v>
      </c>
      <c r="K134" s="680">
        <v>2192</v>
      </c>
      <c r="L134" s="680">
        <v>1</v>
      </c>
      <c r="M134" s="680">
        <v>274</v>
      </c>
      <c r="N134" s="680">
        <v>3</v>
      </c>
      <c r="O134" s="680">
        <v>822</v>
      </c>
      <c r="P134" s="702">
        <v>0.375</v>
      </c>
      <c r="Q134" s="681">
        <v>274</v>
      </c>
    </row>
    <row r="135" spans="1:17" ht="14.4" customHeight="1" x14ac:dyDescent="0.3">
      <c r="A135" s="675" t="s">
        <v>3336</v>
      </c>
      <c r="B135" s="676" t="s">
        <v>3337</v>
      </c>
      <c r="C135" s="676" t="s">
        <v>2244</v>
      </c>
      <c r="D135" s="676" t="s">
        <v>3536</v>
      </c>
      <c r="E135" s="676" t="s">
        <v>3537</v>
      </c>
      <c r="F135" s="680"/>
      <c r="G135" s="680"/>
      <c r="H135" s="680"/>
      <c r="I135" s="680"/>
      <c r="J135" s="680">
        <v>8</v>
      </c>
      <c r="K135" s="680">
        <v>1064</v>
      </c>
      <c r="L135" s="680">
        <v>1</v>
      </c>
      <c r="M135" s="680">
        <v>133</v>
      </c>
      <c r="N135" s="680">
        <v>8</v>
      </c>
      <c r="O135" s="680">
        <v>1064</v>
      </c>
      <c r="P135" s="702">
        <v>1</v>
      </c>
      <c r="Q135" s="681">
        <v>133</v>
      </c>
    </row>
    <row r="136" spans="1:17" ht="14.4" customHeight="1" x14ac:dyDescent="0.3">
      <c r="A136" s="675" t="s">
        <v>3336</v>
      </c>
      <c r="B136" s="676" t="s">
        <v>3337</v>
      </c>
      <c r="C136" s="676" t="s">
        <v>2244</v>
      </c>
      <c r="D136" s="676" t="s">
        <v>3538</v>
      </c>
      <c r="E136" s="676" t="s">
        <v>3539</v>
      </c>
      <c r="F136" s="680"/>
      <c r="G136" s="680"/>
      <c r="H136" s="680"/>
      <c r="I136" s="680"/>
      <c r="J136" s="680">
        <v>194</v>
      </c>
      <c r="K136" s="680">
        <v>7178</v>
      </c>
      <c r="L136" s="680">
        <v>1</v>
      </c>
      <c r="M136" s="680">
        <v>37</v>
      </c>
      <c r="N136" s="680">
        <v>255</v>
      </c>
      <c r="O136" s="680">
        <v>9435</v>
      </c>
      <c r="P136" s="702">
        <v>1.3144329896907216</v>
      </c>
      <c r="Q136" s="681">
        <v>37</v>
      </c>
    </row>
    <row r="137" spans="1:17" ht="14.4" customHeight="1" x14ac:dyDescent="0.3">
      <c r="A137" s="675" t="s">
        <v>3336</v>
      </c>
      <c r="B137" s="676" t="s">
        <v>3337</v>
      </c>
      <c r="C137" s="676" t="s">
        <v>2244</v>
      </c>
      <c r="D137" s="676" t="s">
        <v>3540</v>
      </c>
      <c r="E137" s="676" t="s">
        <v>3541</v>
      </c>
      <c r="F137" s="680"/>
      <c r="G137" s="680"/>
      <c r="H137" s="680"/>
      <c r="I137" s="680"/>
      <c r="J137" s="680"/>
      <c r="K137" s="680"/>
      <c r="L137" s="680"/>
      <c r="M137" s="680"/>
      <c r="N137" s="680">
        <v>1</v>
      </c>
      <c r="O137" s="680">
        <v>232</v>
      </c>
      <c r="P137" s="702"/>
      <c r="Q137" s="681">
        <v>232</v>
      </c>
    </row>
    <row r="138" spans="1:17" ht="14.4" customHeight="1" x14ac:dyDescent="0.3">
      <c r="A138" s="675" t="s">
        <v>3336</v>
      </c>
      <c r="B138" s="676" t="s">
        <v>3337</v>
      </c>
      <c r="C138" s="676" t="s">
        <v>2244</v>
      </c>
      <c r="D138" s="676" t="s">
        <v>3542</v>
      </c>
      <c r="E138" s="676" t="s">
        <v>3543</v>
      </c>
      <c r="F138" s="680"/>
      <c r="G138" s="680"/>
      <c r="H138" s="680"/>
      <c r="I138" s="680"/>
      <c r="J138" s="680"/>
      <c r="K138" s="680"/>
      <c r="L138" s="680"/>
      <c r="M138" s="680"/>
      <c r="N138" s="680">
        <v>1</v>
      </c>
      <c r="O138" s="680">
        <v>930</v>
      </c>
      <c r="P138" s="702"/>
      <c r="Q138" s="681">
        <v>930</v>
      </c>
    </row>
    <row r="139" spans="1:17" ht="14.4" customHeight="1" x14ac:dyDescent="0.3">
      <c r="A139" s="675" t="s">
        <v>3336</v>
      </c>
      <c r="B139" s="676" t="s">
        <v>3337</v>
      </c>
      <c r="C139" s="676" t="s">
        <v>2244</v>
      </c>
      <c r="D139" s="676" t="s">
        <v>3544</v>
      </c>
      <c r="E139" s="676" t="s">
        <v>3545</v>
      </c>
      <c r="F139" s="680"/>
      <c r="G139" s="680"/>
      <c r="H139" s="680"/>
      <c r="I139" s="680"/>
      <c r="J139" s="680"/>
      <c r="K139" s="680"/>
      <c r="L139" s="680"/>
      <c r="M139" s="680"/>
      <c r="N139" s="680">
        <v>1</v>
      </c>
      <c r="O139" s="680">
        <v>932</v>
      </c>
      <c r="P139" s="702"/>
      <c r="Q139" s="681">
        <v>932</v>
      </c>
    </row>
    <row r="140" spans="1:17" ht="14.4" customHeight="1" x14ac:dyDescent="0.3">
      <c r="A140" s="675" t="s">
        <v>3336</v>
      </c>
      <c r="B140" s="676" t="s">
        <v>3337</v>
      </c>
      <c r="C140" s="676" t="s">
        <v>2244</v>
      </c>
      <c r="D140" s="676" t="s">
        <v>3546</v>
      </c>
      <c r="E140" s="676" t="s">
        <v>3547</v>
      </c>
      <c r="F140" s="680"/>
      <c r="G140" s="680"/>
      <c r="H140" s="680"/>
      <c r="I140" s="680"/>
      <c r="J140" s="680">
        <v>1</v>
      </c>
      <c r="K140" s="680">
        <v>93</v>
      </c>
      <c r="L140" s="680">
        <v>1</v>
      </c>
      <c r="M140" s="680">
        <v>93</v>
      </c>
      <c r="N140" s="680">
        <v>21</v>
      </c>
      <c r="O140" s="680">
        <v>1953</v>
      </c>
      <c r="P140" s="702">
        <v>21</v>
      </c>
      <c r="Q140" s="681">
        <v>93</v>
      </c>
    </row>
    <row r="141" spans="1:17" ht="14.4" customHeight="1" x14ac:dyDescent="0.3">
      <c r="A141" s="675" t="s">
        <v>3336</v>
      </c>
      <c r="B141" s="676" t="s">
        <v>3548</v>
      </c>
      <c r="C141" s="676" t="s">
        <v>2244</v>
      </c>
      <c r="D141" s="676" t="s">
        <v>3549</v>
      </c>
      <c r="E141" s="676" t="s">
        <v>3550</v>
      </c>
      <c r="F141" s="680">
        <v>5</v>
      </c>
      <c r="G141" s="680">
        <v>5185</v>
      </c>
      <c r="H141" s="680">
        <v>0.62439788053949907</v>
      </c>
      <c r="I141" s="680">
        <v>1037</v>
      </c>
      <c r="J141" s="680">
        <v>8</v>
      </c>
      <c r="K141" s="680">
        <v>8304</v>
      </c>
      <c r="L141" s="680">
        <v>1</v>
      </c>
      <c r="M141" s="680">
        <v>1038</v>
      </c>
      <c r="N141" s="680">
        <v>2</v>
      </c>
      <c r="O141" s="680">
        <v>2076</v>
      </c>
      <c r="P141" s="702">
        <v>0.25</v>
      </c>
      <c r="Q141" s="681">
        <v>1038</v>
      </c>
    </row>
    <row r="142" spans="1:17" ht="14.4" customHeight="1" x14ac:dyDescent="0.3">
      <c r="A142" s="675" t="s">
        <v>3551</v>
      </c>
      <c r="B142" s="676" t="s">
        <v>3133</v>
      </c>
      <c r="C142" s="676" t="s">
        <v>2521</v>
      </c>
      <c r="D142" s="676" t="s">
        <v>3552</v>
      </c>
      <c r="E142" s="676" t="s">
        <v>3553</v>
      </c>
      <c r="F142" s="680">
        <v>0.67</v>
      </c>
      <c r="G142" s="680">
        <v>1712.05</v>
      </c>
      <c r="H142" s="680"/>
      <c r="I142" s="680">
        <v>2555.2985074626863</v>
      </c>
      <c r="J142" s="680"/>
      <c r="K142" s="680"/>
      <c r="L142" s="680"/>
      <c r="M142" s="680"/>
      <c r="N142" s="680"/>
      <c r="O142" s="680"/>
      <c r="P142" s="702"/>
      <c r="Q142" s="681"/>
    </row>
    <row r="143" spans="1:17" ht="14.4" customHeight="1" x14ac:dyDescent="0.3">
      <c r="A143" s="675" t="s">
        <v>3551</v>
      </c>
      <c r="B143" s="676" t="s">
        <v>3133</v>
      </c>
      <c r="C143" s="676" t="s">
        <v>2521</v>
      </c>
      <c r="D143" s="676" t="s">
        <v>3554</v>
      </c>
      <c r="E143" s="676" t="s">
        <v>2548</v>
      </c>
      <c r="F143" s="680">
        <v>0.23</v>
      </c>
      <c r="G143" s="680">
        <v>1137.08</v>
      </c>
      <c r="H143" s="680">
        <v>0.25554886325838955</v>
      </c>
      <c r="I143" s="680">
        <v>4943.8260869565211</v>
      </c>
      <c r="J143" s="680">
        <v>0.9</v>
      </c>
      <c r="K143" s="680">
        <v>4449.5600000000004</v>
      </c>
      <c r="L143" s="680">
        <v>1</v>
      </c>
      <c r="M143" s="680">
        <v>4943.9555555555562</v>
      </c>
      <c r="N143" s="680">
        <v>0.28000000000000003</v>
      </c>
      <c r="O143" s="680">
        <v>1384.3</v>
      </c>
      <c r="P143" s="702">
        <v>0.3111094130655615</v>
      </c>
      <c r="Q143" s="681">
        <v>4943.9285714285706</v>
      </c>
    </row>
    <row r="144" spans="1:17" ht="14.4" customHeight="1" x14ac:dyDescent="0.3">
      <c r="A144" s="675" t="s">
        <v>3551</v>
      </c>
      <c r="B144" s="676" t="s">
        <v>3133</v>
      </c>
      <c r="C144" s="676" t="s">
        <v>2521</v>
      </c>
      <c r="D144" s="676" t="s">
        <v>3555</v>
      </c>
      <c r="E144" s="676" t="s">
        <v>3556</v>
      </c>
      <c r="F144" s="680">
        <v>8.370000000000001</v>
      </c>
      <c r="G144" s="680">
        <v>7962.6600000000008</v>
      </c>
      <c r="H144" s="680">
        <v>1.0499606396291028</v>
      </c>
      <c r="I144" s="680">
        <v>951.33333333333326</v>
      </c>
      <c r="J144" s="680">
        <v>7.55</v>
      </c>
      <c r="K144" s="680">
        <v>7583.7699999999995</v>
      </c>
      <c r="L144" s="680">
        <v>1</v>
      </c>
      <c r="M144" s="680">
        <v>1004.4728476821192</v>
      </c>
      <c r="N144" s="680">
        <v>14.400000000000002</v>
      </c>
      <c r="O144" s="680">
        <v>14469.52</v>
      </c>
      <c r="P144" s="702">
        <v>1.9079587065536008</v>
      </c>
      <c r="Q144" s="681">
        <v>1004.8277777777777</v>
      </c>
    </row>
    <row r="145" spans="1:17" ht="14.4" customHeight="1" x14ac:dyDescent="0.3">
      <c r="A145" s="675" t="s">
        <v>3551</v>
      </c>
      <c r="B145" s="676" t="s">
        <v>3133</v>
      </c>
      <c r="C145" s="676" t="s">
        <v>2521</v>
      </c>
      <c r="D145" s="676" t="s">
        <v>3557</v>
      </c>
      <c r="E145" s="676" t="s">
        <v>2548</v>
      </c>
      <c r="F145" s="680">
        <v>1.47</v>
      </c>
      <c r="G145" s="680">
        <v>14535.16</v>
      </c>
      <c r="H145" s="680">
        <v>0.60743752781707294</v>
      </c>
      <c r="I145" s="680">
        <v>9887.8639455782322</v>
      </c>
      <c r="J145" s="680">
        <v>2.42</v>
      </c>
      <c r="K145" s="680">
        <v>23928.649999999998</v>
      </c>
      <c r="L145" s="680">
        <v>1</v>
      </c>
      <c r="M145" s="680">
        <v>9887.8719008264452</v>
      </c>
      <c r="N145" s="680">
        <v>1.8699999999999999</v>
      </c>
      <c r="O145" s="680">
        <v>18490.34</v>
      </c>
      <c r="P145" s="702">
        <v>0.77272808954955674</v>
      </c>
      <c r="Q145" s="681">
        <v>9887.8823529411766</v>
      </c>
    </row>
    <row r="146" spans="1:17" ht="14.4" customHeight="1" x14ac:dyDescent="0.3">
      <c r="A146" s="675" t="s">
        <v>3551</v>
      </c>
      <c r="B146" s="676" t="s">
        <v>3133</v>
      </c>
      <c r="C146" s="676" t="s">
        <v>2521</v>
      </c>
      <c r="D146" s="676" t="s">
        <v>2569</v>
      </c>
      <c r="E146" s="676" t="s">
        <v>2570</v>
      </c>
      <c r="F146" s="680">
        <v>1.29</v>
      </c>
      <c r="G146" s="680">
        <v>5710.829999999999</v>
      </c>
      <c r="H146" s="680">
        <v>1.5636727552509588</v>
      </c>
      <c r="I146" s="680">
        <v>4426.9999999999991</v>
      </c>
      <c r="J146" s="680">
        <v>0.81</v>
      </c>
      <c r="K146" s="680">
        <v>3652.1899999999996</v>
      </c>
      <c r="L146" s="680">
        <v>1</v>
      </c>
      <c r="M146" s="680">
        <v>4508.8765432098753</v>
      </c>
      <c r="N146" s="680">
        <v>0.18000000000000002</v>
      </c>
      <c r="O146" s="680">
        <v>827.65</v>
      </c>
      <c r="P146" s="702">
        <v>0.22661745418502324</v>
      </c>
      <c r="Q146" s="681">
        <v>4598.0555555555547</v>
      </c>
    </row>
    <row r="147" spans="1:17" ht="14.4" customHeight="1" x14ac:dyDescent="0.3">
      <c r="A147" s="675" t="s">
        <v>3551</v>
      </c>
      <c r="B147" s="676" t="s">
        <v>3133</v>
      </c>
      <c r="C147" s="676" t="s">
        <v>2521</v>
      </c>
      <c r="D147" s="676" t="s">
        <v>3558</v>
      </c>
      <c r="E147" s="676" t="s">
        <v>2570</v>
      </c>
      <c r="F147" s="680">
        <v>0.36</v>
      </c>
      <c r="G147" s="680">
        <v>3187.44</v>
      </c>
      <c r="H147" s="680">
        <v>0.78260869565217395</v>
      </c>
      <c r="I147" s="680">
        <v>8854</v>
      </c>
      <c r="J147" s="680">
        <v>0.45999999999999996</v>
      </c>
      <c r="K147" s="680">
        <v>4072.84</v>
      </c>
      <c r="L147" s="680">
        <v>1</v>
      </c>
      <c r="M147" s="680">
        <v>8854.0000000000018</v>
      </c>
      <c r="N147" s="680">
        <v>0.32</v>
      </c>
      <c r="O147" s="680">
        <v>2910.45</v>
      </c>
      <c r="P147" s="702">
        <v>0.71459964054566338</v>
      </c>
      <c r="Q147" s="681">
        <v>9095.15625</v>
      </c>
    </row>
    <row r="148" spans="1:17" ht="14.4" customHeight="1" x14ac:dyDescent="0.3">
      <c r="A148" s="675" t="s">
        <v>3551</v>
      </c>
      <c r="B148" s="676" t="s">
        <v>3133</v>
      </c>
      <c r="C148" s="676" t="s">
        <v>2521</v>
      </c>
      <c r="D148" s="676" t="s">
        <v>3559</v>
      </c>
      <c r="E148" s="676" t="s">
        <v>3560</v>
      </c>
      <c r="F148" s="680">
        <v>2.1999999999999997</v>
      </c>
      <c r="G148" s="680">
        <v>4288.46</v>
      </c>
      <c r="H148" s="680">
        <v>1.6923076923076923</v>
      </c>
      <c r="I148" s="680">
        <v>1949.3000000000002</v>
      </c>
      <c r="J148" s="680">
        <v>1.3</v>
      </c>
      <c r="K148" s="680">
        <v>2534.09</v>
      </c>
      <c r="L148" s="680">
        <v>1</v>
      </c>
      <c r="M148" s="680">
        <v>1949.3</v>
      </c>
      <c r="N148" s="680">
        <v>1.6</v>
      </c>
      <c r="O148" s="680">
        <v>3118.88</v>
      </c>
      <c r="P148" s="702">
        <v>1.2307692307692308</v>
      </c>
      <c r="Q148" s="681">
        <v>1949.3</v>
      </c>
    </row>
    <row r="149" spans="1:17" ht="14.4" customHeight="1" x14ac:dyDescent="0.3">
      <c r="A149" s="675" t="s">
        <v>3551</v>
      </c>
      <c r="B149" s="676" t="s">
        <v>3133</v>
      </c>
      <c r="C149" s="676" t="s">
        <v>2521</v>
      </c>
      <c r="D149" s="676" t="s">
        <v>3561</v>
      </c>
      <c r="E149" s="676" t="s">
        <v>2570</v>
      </c>
      <c r="F149" s="680">
        <v>12</v>
      </c>
      <c r="G149" s="680">
        <v>21249.599999999999</v>
      </c>
      <c r="H149" s="680">
        <v>1.0850927912226851</v>
      </c>
      <c r="I149" s="680">
        <v>1770.8</v>
      </c>
      <c r="J149" s="680">
        <v>10.950000000000001</v>
      </c>
      <c r="K149" s="680">
        <v>19583.21</v>
      </c>
      <c r="L149" s="680">
        <v>1</v>
      </c>
      <c r="M149" s="680">
        <v>1788.4210045662098</v>
      </c>
      <c r="N149" s="680">
        <v>9.27</v>
      </c>
      <c r="O149" s="680">
        <v>16862.45</v>
      </c>
      <c r="P149" s="702">
        <v>0.86106669948389469</v>
      </c>
      <c r="Q149" s="681">
        <v>1819.0345199568503</v>
      </c>
    </row>
    <row r="150" spans="1:17" ht="14.4" customHeight="1" x14ac:dyDescent="0.3">
      <c r="A150" s="675" t="s">
        <v>3551</v>
      </c>
      <c r="B150" s="676" t="s">
        <v>3133</v>
      </c>
      <c r="C150" s="676" t="s">
        <v>2521</v>
      </c>
      <c r="D150" s="676" t="s">
        <v>3562</v>
      </c>
      <c r="E150" s="676" t="s">
        <v>3563</v>
      </c>
      <c r="F150" s="680">
        <v>0.95</v>
      </c>
      <c r="G150" s="680">
        <v>491.72</v>
      </c>
      <c r="H150" s="680">
        <v>2.8789227166276348</v>
      </c>
      <c r="I150" s="680">
        <v>517.6</v>
      </c>
      <c r="J150" s="680">
        <v>0.32999999999999996</v>
      </c>
      <c r="K150" s="680">
        <v>170.8</v>
      </c>
      <c r="L150" s="680">
        <v>1</v>
      </c>
      <c r="M150" s="680">
        <v>517.57575757575762</v>
      </c>
      <c r="N150" s="680">
        <v>0.15</v>
      </c>
      <c r="O150" s="680">
        <v>77.64</v>
      </c>
      <c r="P150" s="702">
        <v>0.45456674473067915</v>
      </c>
      <c r="Q150" s="681">
        <v>517.6</v>
      </c>
    </row>
    <row r="151" spans="1:17" ht="14.4" customHeight="1" x14ac:dyDescent="0.3">
      <c r="A151" s="675" t="s">
        <v>3551</v>
      </c>
      <c r="B151" s="676" t="s">
        <v>3133</v>
      </c>
      <c r="C151" s="676" t="s">
        <v>2521</v>
      </c>
      <c r="D151" s="676" t="s">
        <v>3564</v>
      </c>
      <c r="E151" s="676" t="s">
        <v>3565</v>
      </c>
      <c r="F151" s="680">
        <v>0.1</v>
      </c>
      <c r="G151" s="680">
        <v>90.38</v>
      </c>
      <c r="H151" s="680">
        <v>0.66666666666666663</v>
      </c>
      <c r="I151" s="680">
        <v>903.8</v>
      </c>
      <c r="J151" s="680">
        <v>0.15000000000000002</v>
      </c>
      <c r="K151" s="680">
        <v>135.57</v>
      </c>
      <c r="L151" s="680">
        <v>1</v>
      </c>
      <c r="M151" s="680">
        <v>903.79999999999984</v>
      </c>
      <c r="N151" s="680">
        <v>0.1</v>
      </c>
      <c r="O151" s="680">
        <v>90.38</v>
      </c>
      <c r="P151" s="702">
        <v>0.66666666666666663</v>
      </c>
      <c r="Q151" s="681">
        <v>903.8</v>
      </c>
    </row>
    <row r="152" spans="1:17" ht="14.4" customHeight="1" x14ac:dyDescent="0.3">
      <c r="A152" s="675" t="s">
        <v>3551</v>
      </c>
      <c r="B152" s="676" t="s">
        <v>3133</v>
      </c>
      <c r="C152" s="676" t="s">
        <v>2521</v>
      </c>
      <c r="D152" s="676" t="s">
        <v>3566</v>
      </c>
      <c r="E152" s="676" t="s">
        <v>2570</v>
      </c>
      <c r="F152" s="680">
        <v>0.39</v>
      </c>
      <c r="G152" s="680">
        <v>12785.2</v>
      </c>
      <c r="H152" s="680">
        <v>0.82739946946306275</v>
      </c>
      <c r="I152" s="680">
        <v>32782.564102564102</v>
      </c>
      <c r="J152" s="680">
        <v>0.49</v>
      </c>
      <c r="K152" s="680">
        <v>15452.27</v>
      </c>
      <c r="L152" s="680">
        <v>1</v>
      </c>
      <c r="M152" s="680">
        <v>31535.244897959186</v>
      </c>
      <c r="N152" s="680">
        <v>0.4</v>
      </c>
      <c r="O152" s="680">
        <v>13715.48</v>
      </c>
      <c r="P152" s="702">
        <v>0.88760292177136424</v>
      </c>
      <c r="Q152" s="681">
        <v>34288.699999999997</v>
      </c>
    </row>
    <row r="153" spans="1:17" ht="14.4" customHeight="1" x14ac:dyDescent="0.3">
      <c r="A153" s="675" t="s">
        <v>3551</v>
      </c>
      <c r="B153" s="676" t="s">
        <v>3133</v>
      </c>
      <c r="C153" s="676" t="s">
        <v>2675</v>
      </c>
      <c r="D153" s="676" t="s">
        <v>3567</v>
      </c>
      <c r="E153" s="676" t="s">
        <v>3568</v>
      </c>
      <c r="F153" s="680"/>
      <c r="G153" s="680"/>
      <c r="H153" s="680"/>
      <c r="I153" s="680"/>
      <c r="J153" s="680">
        <v>1</v>
      </c>
      <c r="K153" s="680">
        <v>589.59</v>
      </c>
      <c r="L153" s="680">
        <v>1</v>
      </c>
      <c r="M153" s="680">
        <v>589.59</v>
      </c>
      <c r="N153" s="680"/>
      <c r="O153" s="680"/>
      <c r="P153" s="702"/>
      <c r="Q153" s="681"/>
    </row>
    <row r="154" spans="1:17" ht="14.4" customHeight="1" x14ac:dyDescent="0.3">
      <c r="A154" s="675" t="s">
        <v>3551</v>
      </c>
      <c r="B154" s="676" t="s">
        <v>3133</v>
      </c>
      <c r="C154" s="676" t="s">
        <v>2675</v>
      </c>
      <c r="D154" s="676" t="s">
        <v>3569</v>
      </c>
      <c r="E154" s="676" t="s">
        <v>3570</v>
      </c>
      <c r="F154" s="680">
        <v>7</v>
      </c>
      <c r="G154" s="680">
        <v>6806.24</v>
      </c>
      <c r="H154" s="680">
        <v>1.4</v>
      </c>
      <c r="I154" s="680">
        <v>972.31999999999994</v>
      </c>
      <c r="J154" s="680">
        <v>5</v>
      </c>
      <c r="K154" s="680">
        <v>4861.6000000000004</v>
      </c>
      <c r="L154" s="680">
        <v>1</v>
      </c>
      <c r="M154" s="680">
        <v>972.32</v>
      </c>
      <c r="N154" s="680">
        <v>4</v>
      </c>
      <c r="O154" s="680">
        <v>3889.28</v>
      </c>
      <c r="P154" s="702">
        <v>0.79999999999999993</v>
      </c>
      <c r="Q154" s="681">
        <v>972.32</v>
      </c>
    </row>
    <row r="155" spans="1:17" ht="14.4" customHeight="1" x14ac:dyDescent="0.3">
      <c r="A155" s="675" t="s">
        <v>3551</v>
      </c>
      <c r="B155" s="676" t="s">
        <v>3133</v>
      </c>
      <c r="C155" s="676" t="s">
        <v>2675</v>
      </c>
      <c r="D155" s="676" t="s">
        <v>3571</v>
      </c>
      <c r="E155" s="676" t="s">
        <v>3570</v>
      </c>
      <c r="F155" s="680"/>
      <c r="G155" s="680"/>
      <c r="H155" s="680"/>
      <c r="I155" s="680"/>
      <c r="J155" s="680">
        <v>1</v>
      </c>
      <c r="K155" s="680">
        <v>1408.42</v>
      </c>
      <c r="L155" s="680">
        <v>1</v>
      </c>
      <c r="M155" s="680">
        <v>1408.42</v>
      </c>
      <c r="N155" s="680"/>
      <c r="O155" s="680"/>
      <c r="P155" s="702"/>
      <c r="Q155" s="681"/>
    </row>
    <row r="156" spans="1:17" ht="14.4" customHeight="1" x14ac:dyDescent="0.3">
      <c r="A156" s="675" t="s">
        <v>3551</v>
      </c>
      <c r="B156" s="676" t="s">
        <v>3133</v>
      </c>
      <c r="C156" s="676" t="s">
        <v>2675</v>
      </c>
      <c r="D156" s="676" t="s">
        <v>3572</v>
      </c>
      <c r="E156" s="676" t="s">
        <v>3570</v>
      </c>
      <c r="F156" s="680">
        <v>6</v>
      </c>
      <c r="G156" s="680">
        <v>10243.859999999999</v>
      </c>
      <c r="H156" s="680">
        <v>0.31578947368421051</v>
      </c>
      <c r="I156" s="680">
        <v>1707.3099999999997</v>
      </c>
      <c r="J156" s="680">
        <v>19</v>
      </c>
      <c r="K156" s="680">
        <v>32438.89</v>
      </c>
      <c r="L156" s="680">
        <v>1</v>
      </c>
      <c r="M156" s="680">
        <v>1707.31</v>
      </c>
      <c r="N156" s="680">
        <v>10</v>
      </c>
      <c r="O156" s="680">
        <v>17073.099999999999</v>
      </c>
      <c r="P156" s="702">
        <v>0.52631578947368418</v>
      </c>
      <c r="Q156" s="681">
        <v>1707.31</v>
      </c>
    </row>
    <row r="157" spans="1:17" ht="14.4" customHeight="1" x14ac:dyDescent="0.3">
      <c r="A157" s="675" t="s">
        <v>3551</v>
      </c>
      <c r="B157" s="676" t="s">
        <v>3133</v>
      </c>
      <c r="C157" s="676" t="s">
        <v>2675</v>
      </c>
      <c r="D157" s="676" t="s">
        <v>3573</v>
      </c>
      <c r="E157" s="676" t="s">
        <v>3570</v>
      </c>
      <c r="F157" s="680">
        <v>1</v>
      </c>
      <c r="G157" s="680">
        <v>2066.3000000000002</v>
      </c>
      <c r="H157" s="680">
        <v>0.33333333333333331</v>
      </c>
      <c r="I157" s="680">
        <v>2066.3000000000002</v>
      </c>
      <c r="J157" s="680">
        <v>3</v>
      </c>
      <c r="K157" s="680">
        <v>6198.9000000000005</v>
      </c>
      <c r="L157" s="680">
        <v>1</v>
      </c>
      <c r="M157" s="680">
        <v>2066.3000000000002</v>
      </c>
      <c r="N157" s="680">
        <v>5</v>
      </c>
      <c r="O157" s="680">
        <v>10331.5</v>
      </c>
      <c r="P157" s="702">
        <v>1.6666666666666665</v>
      </c>
      <c r="Q157" s="681">
        <v>2066.3000000000002</v>
      </c>
    </row>
    <row r="158" spans="1:17" ht="14.4" customHeight="1" x14ac:dyDescent="0.3">
      <c r="A158" s="675" t="s">
        <v>3551</v>
      </c>
      <c r="B158" s="676" t="s">
        <v>3133</v>
      </c>
      <c r="C158" s="676" t="s">
        <v>2675</v>
      </c>
      <c r="D158" s="676" t="s">
        <v>3574</v>
      </c>
      <c r="E158" s="676" t="s">
        <v>3575</v>
      </c>
      <c r="F158" s="680">
        <v>1</v>
      </c>
      <c r="G158" s="680">
        <v>1932.09</v>
      </c>
      <c r="H158" s="680">
        <v>0.5</v>
      </c>
      <c r="I158" s="680">
        <v>1932.09</v>
      </c>
      <c r="J158" s="680">
        <v>2</v>
      </c>
      <c r="K158" s="680">
        <v>3864.18</v>
      </c>
      <c r="L158" s="680">
        <v>1</v>
      </c>
      <c r="M158" s="680">
        <v>1932.09</v>
      </c>
      <c r="N158" s="680">
        <v>1</v>
      </c>
      <c r="O158" s="680">
        <v>1932.09</v>
      </c>
      <c r="P158" s="702">
        <v>0.5</v>
      </c>
      <c r="Q158" s="681">
        <v>1932.09</v>
      </c>
    </row>
    <row r="159" spans="1:17" ht="14.4" customHeight="1" x14ac:dyDescent="0.3">
      <c r="A159" s="675" t="s">
        <v>3551</v>
      </c>
      <c r="B159" s="676" t="s">
        <v>3133</v>
      </c>
      <c r="C159" s="676" t="s">
        <v>2675</v>
      </c>
      <c r="D159" s="676" t="s">
        <v>3576</v>
      </c>
      <c r="E159" s="676" t="s">
        <v>3577</v>
      </c>
      <c r="F159" s="680">
        <v>4</v>
      </c>
      <c r="G159" s="680">
        <v>4111.04</v>
      </c>
      <c r="H159" s="680">
        <v>0.30769230769230765</v>
      </c>
      <c r="I159" s="680">
        <v>1027.76</v>
      </c>
      <c r="J159" s="680">
        <v>13</v>
      </c>
      <c r="K159" s="680">
        <v>13360.880000000001</v>
      </c>
      <c r="L159" s="680">
        <v>1</v>
      </c>
      <c r="M159" s="680">
        <v>1027.76</v>
      </c>
      <c r="N159" s="680">
        <v>7</v>
      </c>
      <c r="O159" s="680">
        <v>7194.32</v>
      </c>
      <c r="P159" s="702">
        <v>0.53846153846153844</v>
      </c>
      <c r="Q159" s="681">
        <v>1027.76</v>
      </c>
    </row>
    <row r="160" spans="1:17" ht="14.4" customHeight="1" x14ac:dyDescent="0.3">
      <c r="A160" s="675" t="s">
        <v>3551</v>
      </c>
      <c r="B160" s="676" t="s">
        <v>3133</v>
      </c>
      <c r="C160" s="676" t="s">
        <v>2675</v>
      </c>
      <c r="D160" s="676" t="s">
        <v>3578</v>
      </c>
      <c r="E160" s="676" t="s">
        <v>3577</v>
      </c>
      <c r="F160" s="680">
        <v>2</v>
      </c>
      <c r="G160" s="680">
        <v>4283.7</v>
      </c>
      <c r="H160" s="680">
        <v>0.33333333333333331</v>
      </c>
      <c r="I160" s="680">
        <v>2141.85</v>
      </c>
      <c r="J160" s="680">
        <v>6</v>
      </c>
      <c r="K160" s="680">
        <v>12851.1</v>
      </c>
      <c r="L160" s="680">
        <v>1</v>
      </c>
      <c r="M160" s="680">
        <v>2141.85</v>
      </c>
      <c r="N160" s="680">
        <v>4</v>
      </c>
      <c r="O160" s="680">
        <v>8567.4</v>
      </c>
      <c r="P160" s="702">
        <v>0.66666666666666663</v>
      </c>
      <c r="Q160" s="681">
        <v>2141.85</v>
      </c>
    </row>
    <row r="161" spans="1:17" ht="14.4" customHeight="1" x14ac:dyDescent="0.3">
      <c r="A161" s="675" t="s">
        <v>3551</v>
      </c>
      <c r="B161" s="676" t="s">
        <v>3133</v>
      </c>
      <c r="C161" s="676" t="s">
        <v>2675</v>
      </c>
      <c r="D161" s="676" t="s">
        <v>3579</v>
      </c>
      <c r="E161" s="676" t="s">
        <v>3580</v>
      </c>
      <c r="F161" s="680"/>
      <c r="G161" s="680"/>
      <c r="H161" s="680"/>
      <c r="I161" s="680"/>
      <c r="J161" s="680">
        <v>1</v>
      </c>
      <c r="K161" s="680">
        <v>8536.5499999999993</v>
      </c>
      <c r="L161" s="680">
        <v>1</v>
      </c>
      <c r="M161" s="680">
        <v>8536.5499999999993</v>
      </c>
      <c r="N161" s="680">
        <v>1</v>
      </c>
      <c r="O161" s="680">
        <v>8536.5499999999993</v>
      </c>
      <c r="P161" s="702">
        <v>1</v>
      </c>
      <c r="Q161" s="681">
        <v>8536.5499999999993</v>
      </c>
    </row>
    <row r="162" spans="1:17" ht="14.4" customHeight="1" x14ac:dyDescent="0.3">
      <c r="A162" s="675" t="s">
        <v>3551</v>
      </c>
      <c r="B162" s="676" t="s">
        <v>3133</v>
      </c>
      <c r="C162" s="676" t="s">
        <v>2675</v>
      </c>
      <c r="D162" s="676" t="s">
        <v>3581</v>
      </c>
      <c r="E162" s="676" t="s">
        <v>3582</v>
      </c>
      <c r="F162" s="680"/>
      <c r="G162" s="680"/>
      <c r="H162" s="680"/>
      <c r="I162" s="680"/>
      <c r="J162" s="680"/>
      <c r="K162" s="680"/>
      <c r="L162" s="680"/>
      <c r="M162" s="680"/>
      <c r="N162" s="680">
        <v>2</v>
      </c>
      <c r="O162" s="680">
        <v>110794.4</v>
      </c>
      <c r="P162" s="702"/>
      <c r="Q162" s="681">
        <v>55397.2</v>
      </c>
    </row>
    <row r="163" spans="1:17" ht="14.4" customHeight="1" x14ac:dyDescent="0.3">
      <c r="A163" s="675" t="s">
        <v>3551</v>
      </c>
      <c r="B163" s="676" t="s">
        <v>3133</v>
      </c>
      <c r="C163" s="676" t="s">
        <v>2675</v>
      </c>
      <c r="D163" s="676" t="s">
        <v>3583</v>
      </c>
      <c r="E163" s="676" t="s">
        <v>3584</v>
      </c>
      <c r="F163" s="680">
        <v>1</v>
      </c>
      <c r="G163" s="680">
        <v>3003.38</v>
      </c>
      <c r="H163" s="680">
        <v>0.33333333333333337</v>
      </c>
      <c r="I163" s="680">
        <v>3003.38</v>
      </c>
      <c r="J163" s="680">
        <v>3</v>
      </c>
      <c r="K163" s="680">
        <v>9010.14</v>
      </c>
      <c r="L163" s="680">
        <v>1</v>
      </c>
      <c r="M163" s="680">
        <v>3003.3799999999997</v>
      </c>
      <c r="N163" s="680">
        <v>1</v>
      </c>
      <c r="O163" s="680">
        <v>3003.38</v>
      </c>
      <c r="P163" s="702">
        <v>0.33333333333333337</v>
      </c>
      <c r="Q163" s="681">
        <v>3003.38</v>
      </c>
    </row>
    <row r="164" spans="1:17" ht="14.4" customHeight="1" x14ac:dyDescent="0.3">
      <c r="A164" s="675" t="s">
        <v>3551</v>
      </c>
      <c r="B164" s="676" t="s">
        <v>3133</v>
      </c>
      <c r="C164" s="676" t="s">
        <v>2675</v>
      </c>
      <c r="D164" s="676" t="s">
        <v>3585</v>
      </c>
      <c r="E164" s="676" t="s">
        <v>3586</v>
      </c>
      <c r="F164" s="680"/>
      <c r="G164" s="680"/>
      <c r="H164" s="680"/>
      <c r="I164" s="680"/>
      <c r="J164" s="680">
        <v>2</v>
      </c>
      <c r="K164" s="680">
        <v>4473</v>
      </c>
      <c r="L164" s="680">
        <v>1</v>
      </c>
      <c r="M164" s="680">
        <v>2236.5</v>
      </c>
      <c r="N164" s="680"/>
      <c r="O164" s="680"/>
      <c r="P164" s="702"/>
      <c r="Q164" s="681"/>
    </row>
    <row r="165" spans="1:17" ht="14.4" customHeight="1" x14ac:dyDescent="0.3">
      <c r="A165" s="675" t="s">
        <v>3551</v>
      </c>
      <c r="B165" s="676" t="s">
        <v>3133</v>
      </c>
      <c r="C165" s="676" t="s">
        <v>2675</v>
      </c>
      <c r="D165" s="676" t="s">
        <v>3587</v>
      </c>
      <c r="E165" s="676" t="s">
        <v>3588</v>
      </c>
      <c r="F165" s="680"/>
      <c r="G165" s="680"/>
      <c r="H165" s="680"/>
      <c r="I165" s="680"/>
      <c r="J165" s="680"/>
      <c r="K165" s="680"/>
      <c r="L165" s="680"/>
      <c r="M165" s="680"/>
      <c r="N165" s="680">
        <v>1</v>
      </c>
      <c r="O165" s="680">
        <v>3991.04</v>
      </c>
      <c r="P165" s="702"/>
      <c r="Q165" s="681">
        <v>3991.04</v>
      </c>
    </row>
    <row r="166" spans="1:17" ht="14.4" customHeight="1" x14ac:dyDescent="0.3">
      <c r="A166" s="675" t="s">
        <v>3551</v>
      </c>
      <c r="B166" s="676" t="s">
        <v>3133</v>
      </c>
      <c r="C166" s="676" t="s">
        <v>2675</v>
      </c>
      <c r="D166" s="676" t="s">
        <v>3589</v>
      </c>
      <c r="E166" s="676" t="s">
        <v>3590</v>
      </c>
      <c r="F166" s="680">
        <v>5</v>
      </c>
      <c r="G166" s="680">
        <v>34453.9</v>
      </c>
      <c r="H166" s="680">
        <v>0.2</v>
      </c>
      <c r="I166" s="680">
        <v>6890.7800000000007</v>
      </c>
      <c r="J166" s="680">
        <v>25</v>
      </c>
      <c r="K166" s="680">
        <v>172269.5</v>
      </c>
      <c r="L166" s="680">
        <v>1</v>
      </c>
      <c r="M166" s="680">
        <v>6890.78</v>
      </c>
      <c r="N166" s="680">
        <v>11</v>
      </c>
      <c r="O166" s="680">
        <v>75798.58</v>
      </c>
      <c r="P166" s="702">
        <v>0.44</v>
      </c>
      <c r="Q166" s="681">
        <v>6890.78</v>
      </c>
    </row>
    <row r="167" spans="1:17" ht="14.4" customHeight="1" x14ac:dyDescent="0.3">
      <c r="A167" s="675" t="s">
        <v>3551</v>
      </c>
      <c r="B167" s="676" t="s">
        <v>3133</v>
      </c>
      <c r="C167" s="676" t="s">
        <v>2675</v>
      </c>
      <c r="D167" s="676" t="s">
        <v>3591</v>
      </c>
      <c r="E167" s="676" t="s">
        <v>3592</v>
      </c>
      <c r="F167" s="680">
        <v>1</v>
      </c>
      <c r="G167" s="680">
        <v>19196.8</v>
      </c>
      <c r="H167" s="680"/>
      <c r="I167" s="680">
        <v>19196.8</v>
      </c>
      <c r="J167" s="680"/>
      <c r="K167" s="680"/>
      <c r="L167" s="680"/>
      <c r="M167" s="680"/>
      <c r="N167" s="680"/>
      <c r="O167" s="680"/>
      <c r="P167" s="702"/>
      <c r="Q167" s="681"/>
    </row>
    <row r="168" spans="1:17" ht="14.4" customHeight="1" x14ac:dyDescent="0.3">
      <c r="A168" s="675" t="s">
        <v>3551</v>
      </c>
      <c r="B168" s="676" t="s">
        <v>3133</v>
      </c>
      <c r="C168" s="676" t="s">
        <v>2675</v>
      </c>
      <c r="D168" s="676" t="s">
        <v>3593</v>
      </c>
      <c r="E168" s="676" t="s">
        <v>3594</v>
      </c>
      <c r="F168" s="680">
        <v>1</v>
      </c>
      <c r="G168" s="680">
        <v>4137.8900000000003</v>
      </c>
      <c r="H168" s="680">
        <v>1</v>
      </c>
      <c r="I168" s="680">
        <v>4137.8900000000003</v>
      </c>
      <c r="J168" s="680">
        <v>1</v>
      </c>
      <c r="K168" s="680">
        <v>4137.8900000000003</v>
      </c>
      <c r="L168" s="680">
        <v>1</v>
      </c>
      <c r="M168" s="680">
        <v>4137.8900000000003</v>
      </c>
      <c r="N168" s="680">
        <v>1</v>
      </c>
      <c r="O168" s="680">
        <v>4137.8900000000003</v>
      </c>
      <c r="P168" s="702">
        <v>1</v>
      </c>
      <c r="Q168" s="681">
        <v>4137.8900000000003</v>
      </c>
    </row>
    <row r="169" spans="1:17" ht="14.4" customHeight="1" x14ac:dyDescent="0.3">
      <c r="A169" s="675" t="s">
        <v>3551</v>
      </c>
      <c r="B169" s="676" t="s">
        <v>3133</v>
      </c>
      <c r="C169" s="676" t="s">
        <v>2675</v>
      </c>
      <c r="D169" s="676" t="s">
        <v>3595</v>
      </c>
      <c r="E169" s="676" t="s">
        <v>3596</v>
      </c>
      <c r="F169" s="680">
        <v>1</v>
      </c>
      <c r="G169" s="680">
        <v>17073.05</v>
      </c>
      <c r="H169" s="680"/>
      <c r="I169" s="680">
        <v>17073.05</v>
      </c>
      <c r="J169" s="680"/>
      <c r="K169" s="680"/>
      <c r="L169" s="680"/>
      <c r="M169" s="680"/>
      <c r="N169" s="680"/>
      <c r="O169" s="680"/>
      <c r="P169" s="702"/>
      <c r="Q169" s="681"/>
    </row>
    <row r="170" spans="1:17" ht="14.4" customHeight="1" x14ac:dyDescent="0.3">
      <c r="A170" s="675" t="s">
        <v>3551</v>
      </c>
      <c r="B170" s="676" t="s">
        <v>3133</v>
      </c>
      <c r="C170" s="676" t="s">
        <v>2675</v>
      </c>
      <c r="D170" s="676" t="s">
        <v>3597</v>
      </c>
      <c r="E170" s="676" t="s">
        <v>3598</v>
      </c>
      <c r="F170" s="680">
        <v>2</v>
      </c>
      <c r="G170" s="680">
        <v>2005.6</v>
      </c>
      <c r="H170" s="680">
        <v>0.33333333333333331</v>
      </c>
      <c r="I170" s="680">
        <v>1002.8</v>
      </c>
      <c r="J170" s="680">
        <v>6</v>
      </c>
      <c r="K170" s="680">
        <v>6016.8</v>
      </c>
      <c r="L170" s="680">
        <v>1</v>
      </c>
      <c r="M170" s="680">
        <v>1002.8000000000001</v>
      </c>
      <c r="N170" s="680">
        <v>14</v>
      </c>
      <c r="O170" s="680">
        <v>14039.2</v>
      </c>
      <c r="P170" s="702">
        <v>2.3333333333333335</v>
      </c>
      <c r="Q170" s="681">
        <v>1002.8000000000001</v>
      </c>
    </row>
    <row r="171" spans="1:17" ht="14.4" customHeight="1" x14ac:dyDescent="0.3">
      <c r="A171" s="675" t="s">
        <v>3551</v>
      </c>
      <c r="B171" s="676" t="s">
        <v>3133</v>
      </c>
      <c r="C171" s="676" t="s">
        <v>2675</v>
      </c>
      <c r="D171" s="676" t="s">
        <v>3599</v>
      </c>
      <c r="E171" s="676" t="s">
        <v>3600</v>
      </c>
      <c r="F171" s="680">
        <v>1</v>
      </c>
      <c r="G171" s="680">
        <v>7650</v>
      </c>
      <c r="H171" s="680">
        <v>0.14285714285714285</v>
      </c>
      <c r="I171" s="680">
        <v>7650</v>
      </c>
      <c r="J171" s="680">
        <v>7</v>
      </c>
      <c r="K171" s="680">
        <v>53550</v>
      </c>
      <c r="L171" s="680">
        <v>1</v>
      </c>
      <c r="M171" s="680">
        <v>7650</v>
      </c>
      <c r="N171" s="680">
        <v>1</v>
      </c>
      <c r="O171" s="680">
        <v>7650</v>
      </c>
      <c r="P171" s="702">
        <v>0.14285714285714285</v>
      </c>
      <c r="Q171" s="681">
        <v>7650</v>
      </c>
    </row>
    <row r="172" spans="1:17" ht="14.4" customHeight="1" x14ac:dyDescent="0.3">
      <c r="A172" s="675" t="s">
        <v>3551</v>
      </c>
      <c r="B172" s="676" t="s">
        <v>3133</v>
      </c>
      <c r="C172" s="676" t="s">
        <v>2675</v>
      </c>
      <c r="D172" s="676" t="s">
        <v>3601</v>
      </c>
      <c r="E172" s="676" t="s">
        <v>3602</v>
      </c>
      <c r="F172" s="680"/>
      <c r="G172" s="680"/>
      <c r="H172" s="680"/>
      <c r="I172" s="680"/>
      <c r="J172" s="680"/>
      <c r="K172" s="680"/>
      <c r="L172" s="680"/>
      <c r="M172" s="680"/>
      <c r="N172" s="680">
        <v>1</v>
      </c>
      <c r="O172" s="680">
        <v>13284.52</v>
      </c>
      <c r="P172" s="702"/>
      <c r="Q172" s="681">
        <v>13284.52</v>
      </c>
    </row>
    <row r="173" spans="1:17" ht="14.4" customHeight="1" x14ac:dyDescent="0.3">
      <c r="A173" s="675" t="s">
        <v>3551</v>
      </c>
      <c r="B173" s="676" t="s">
        <v>3133</v>
      </c>
      <c r="C173" s="676" t="s">
        <v>2675</v>
      </c>
      <c r="D173" s="676" t="s">
        <v>3603</v>
      </c>
      <c r="E173" s="676" t="s">
        <v>3604</v>
      </c>
      <c r="F173" s="680">
        <v>1</v>
      </c>
      <c r="G173" s="680">
        <v>2170.9699999999998</v>
      </c>
      <c r="H173" s="680">
        <v>0.33333333333333331</v>
      </c>
      <c r="I173" s="680">
        <v>2170.9699999999998</v>
      </c>
      <c r="J173" s="680">
        <v>3</v>
      </c>
      <c r="K173" s="680">
        <v>6512.91</v>
      </c>
      <c r="L173" s="680">
        <v>1</v>
      </c>
      <c r="M173" s="680">
        <v>2170.9699999999998</v>
      </c>
      <c r="N173" s="680">
        <v>1</v>
      </c>
      <c r="O173" s="680">
        <v>2170.9699999999998</v>
      </c>
      <c r="P173" s="702">
        <v>0.33333333333333331</v>
      </c>
      <c r="Q173" s="681">
        <v>2170.9699999999998</v>
      </c>
    </row>
    <row r="174" spans="1:17" ht="14.4" customHeight="1" x14ac:dyDescent="0.3">
      <c r="A174" s="675" t="s">
        <v>3551</v>
      </c>
      <c r="B174" s="676" t="s">
        <v>3133</v>
      </c>
      <c r="C174" s="676" t="s">
        <v>2675</v>
      </c>
      <c r="D174" s="676" t="s">
        <v>3605</v>
      </c>
      <c r="E174" s="676" t="s">
        <v>3606</v>
      </c>
      <c r="F174" s="680">
        <v>1</v>
      </c>
      <c r="G174" s="680">
        <v>797</v>
      </c>
      <c r="H174" s="680">
        <v>0.16666666666666666</v>
      </c>
      <c r="I174" s="680">
        <v>797</v>
      </c>
      <c r="J174" s="680">
        <v>6</v>
      </c>
      <c r="K174" s="680">
        <v>4782</v>
      </c>
      <c r="L174" s="680">
        <v>1</v>
      </c>
      <c r="M174" s="680">
        <v>797</v>
      </c>
      <c r="N174" s="680"/>
      <c r="O174" s="680"/>
      <c r="P174" s="702"/>
      <c r="Q174" s="681"/>
    </row>
    <row r="175" spans="1:17" ht="14.4" customHeight="1" x14ac:dyDescent="0.3">
      <c r="A175" s="675" t="s">
        <v>3551</v>
      </c>
      <c r="B175" s="676" t="s">
        <v>3133</v>
      </c>
      <c r="C175" s="676" t="s">
        <v>2675</v>
      </c>
      <c r="D175" s="676" t="s">
        <v>3607</v>
      </c>
      <c r="E175" s="676" t="s">
        <v>3608</v>
      </c>
      <c r="F175" s="680"/>
      <c r="G175" s="680"/>
      <c r="H175" s="680"/>
      <c r="I175" s="680"/>
      <c r="J175" s="680"/>
      <c r="K175" s="680"/>
      <c r="L175" s="680"/>
      <c r="M175" s="680"/>
      <c r="N175" s="680">
        <v>1</v>
      </c>
      <c r="O175" s="680">
        <v>10072.94</v>
      </c>
      <c r="P175" s="702"/>
      <c r="Q175" s="681">
        <v>10072.94</v>
      </c>
    </row>
    <row r="176" spans="1:17" ht="14.4" customHeight="1" x14ac:dyDescent="0.3">
      <c r="A176" s="675" t="s">
        <v>3551</v>
      </c>
      <c r="B176" s="676" t="s">
        <v>3133</v>
      </c>
      <c r="C176" s="676" t="s">
        <v>2675</v>
      </c>
      <c r="D176" s="676" t="s">
        <v>2810</v>
      </c>
      <c r="E176" s="676" t="s">
        <v>2811</v>
      </c>
      <c r="F176" s="680">
        <v>1</v>
      </c>
      <c r="G176" s="680">
        <v>3360</v>
      </c>
      <c r="H176" s="680"/>
      <c r="I176" s="680">
        <v>3360</v>
      </c>
      <c r="J176" s="680"/>
      <c r="K176" s="680"/>
      <c r="L176" s="680"/>
      <c r="M176" s="680"/>
      <c r="N176" s="680"/>
      <c r="O176" s="680"/>
      <c r="P176" s="702"/>
      <c r="Q176" s="681"/>
    </row>
    <row r="177" spans="1:17" ht="14.4" customHeight="1" x14ac:dyDescent="0.3">
      <c r="A177" s="675" t="s">
        <v>3551</v>
      </c>
      <c r="B177" s="676" t="s">
        <v>3133</v>
      </c>
      <c r="C177" s="676" t="s">
        <v>2675</v>
      </c>
      <c r="D177" s="676" t="s">
        <v>3609</v>
      </c>
      <c r="E177" s="676" t="s">
        <v>3610</v>
      </c>
      <c r="F177" s="680"/>
      <c r="G177" s="680"/>
      <c r="H177" s="680"/>
      <c r="I177" s="680"/>
      <c r="J177" s="680"/>
      <c r="K177" s="680"/>
      <c r="L177" s="680"/>
      <c r="M177" s="680"/>
      <c r="N177" s="680">
        <v>1</v>
      </c>
      <c r="O177" s="680">
        <v>2697.24</v>
      </c>
      <c r="P177" s="702"/>
      <c r="Q177" s="681">
        <v>2697.24</v>
      </c>
    </row>
    <row r="178" spans="1:17" ht="14.4" customHeight="1" x14ac:dyDescent="0.3">
      <c r="A178" s="675" t="s">
        <v>3551</v>
      </c>
      <c r="B178" s="676" t="s">
        <v>3133</v>
      </c>
      <c r="C178" s="676" t="s">
        <v>2675</v>
      </c>
      <c r="D178" s="676" t="s">
        <v>3611</v>
      </c>
      <c r="E178" s="676" t="s">
        <v>3610</v>
      </c>
      <c r="F178" s="680">
        <v>7</v>
      </c>
      <c r="G178" s="680">
        <v>36814.61</v>
      </c>
      <c r="H178" s="680">
        <v>0.87499999999999989</v>
      </c>
      <c r="I178" s="680">
        <v>5259.2300000000005</v>
      </c>
      <c r="J178" s="680">
        <v>8</v>
      </c>
      <c r="K178" s="680">
        <v>42073.840000000004</v>
      </c>
      <c r="L178" s="680">
        <v>1</v>
      </c>
      <c r="M178" s="680">
        <v>5259.2300000000005</v>
      </c>
      <c r="N178" s="680">
        <v>6</v>
      </c>
      <c r="O178" s="680">
        <v>31555.38</v>
      </c>
      <c r="P178" s="702">
        <v>0.75</v>
      </c>
      <c r="Q178" s="681">
        <v>5259.2300000000005</v>
      </c>
    </row>
    <row r="179" spans="1:17" ht="14.4" customHeight="1" x14ac:dyDescent="0.3">
      <c r="A179" s="675" t="s">
        <v>3551</v>
      </c>
      <c r="B179" s="676" t="s">
        <v>3133</v>
      </c>
      <c r="C179" s="676" t="s">
        <v>2675</v>
      </c>
      <c r="D179" s="676" t="s">
        <v>3612</v>
      </c>
      <c r="E179" s="676" t="s">
        <v>3613</v>
      </c>
      <c r="F179" s="680"/>
      <c r="G179" s="680"/>
      <c r="H179" s="680"/>
      <c r="I179" s="680"/>
      <c r="J179" s="680"/>
      <c r="K179" s="680"/>
      <c r="L179" s="680"/>
      <c r="M179" s="680"/>
      <c r="N179" s="680">
        <v>1</v>
      </c>
      <c r="O179" s="680">
        <v>4041.82</v>
      </c>
      <c r="P179" s="702"/>
      <c r="Q179" s="681">
        <v>4041.82</v>
      </c>
    </row>
    <row r="180" spans="1:17" ht="14.4" customHeight="1" x14ac:dyDescent="0.3">
      <c r="A180" s="675" t="s">
        <v>3551</v>
      </c>
      <c r="B180" s="676" t="s">
        <v>3133</v>
      </c>
      <c r="C180" s="676" t="s">
        <v>2675</v>
      </c>
      <c r="D180" s="676" t="s">
        <v>3614</v>
      </c>
      <c r="E180" s="676" t="s">
        <v>3615</v>
      </c>
      <c r="F180" s="680">
        <v>1</v>
      </c>
      <c r="G180" s="680">
        <v>605.65</v>
      </c>
      <c r="H180" s="680">
        <v>1</v>
      </c>
      <c r="I180" s="680">
        <v>605.65</v>
      </c>
      <c r="J180" s="680">
        <v>1</v>
      </c>
      <c r="K180" s="680">
        <v>605.65</v>
      </c>
      <c r="L180" s="680">
        <v>1</v>
      </c>
      <c r="M180" s="680">
        <v>605.65</v>
      </c>
      <c r="N180" s="680">
        <v>1</v>
      </c>
      <c r="O180" s="680">
        <v>605.65</v>
      </c>
      <c r="P180" s="702">
        <v>1</v>
      </c>
      <c r="Q180" s="681">
        <v>605.65</v>
      </c>
    </row>
    <row r="181" spans="1:17" ht="14.4" customHeight="1" x14ac:dyDescent="0.3">
      <c r="A181" s="675" t="s">
        <v>3551</v>
      </c>
      <c r="B181" s="676" t="s">
        <v>3133</v>
      </c>
      <c r="C181" s="676" t="s">
        <v>2675</v>
      </c>
      <c r="D181" s="676" t="s">
        <v>3616</v>
      </c>
      <c r="E181" s="676" t="s">
        <v>3617</v>
      </c>
      <c r="F181" s="680"/>
      <c r="G181" s="680"/>
      <c r="H181" s="680"/>
      <c r="I181" s="680"/>
      <c r="J181" s="680">
        <v>2</v>
      </c>
      <c r="K181" s="680">
        <v>1662.32</v>
      </c>
      <c r="L181" s="680">
        <v>1</v>
      </c>
      <c r="M181" s="680">
        <v>831.16</v>
      </c>
      <c r="N181" s="680">
        <v>3</v>
      </c>
      <c r="O181" s="680">
        <v>2493.48</v>
      </c>
      <c r="P181" s="702">
        <v>1.5</v>
      </c>
      <c r="Q181" s="681">
        <v>831.16</v>
      </c>
    </row>
    <row r="182" spans="1:17" ht="14.4" customHeight="1" x14ac:dyDescent="0.3">
      <c r="A182" s="675" t="s">
        <v>3551</v>
      </c>
      <c r="B182" s="676" t="s">
        <v>3133</v>
      </c>
      <c r="C182" s="676" t="s">
        <v>2675</v>
      </c>
      <c r="D182" s="676" t="s">
        <v>3618</v>
      </c>
      <c r="E182" s="676" t="s">
        <v>3617</v>
      </c>
      <c r="F182" s="680">
        <v>8</v>
      </c>
      <c r="G182" s="680">
        <v>7104.48</v>
      </c>
      <c r="H182" s="680">
        <v>1</v>
      </c>
      <c r="I182" s="680">
        <v>888.06</v>
      </c>
      <c r="J182" s="680">
        <v>8</v>
      </c>
      <c r="K182" s="680">
        <v>7104.48</v>
      </c>
      <c r="L182" s="680">
        <v>1</v>
      </c>
      <c r="M182" s="680">
        <v>888.06</v>
      </c>
      <c r="N182" s="680">
        <v>2</v>
      </c>
      <c r="O182" s="680">
        <v>1776.12</v>
      </c>
      <c r="P182" s="702">
        <v>0.25</v>
      </c>
      <c r="Q182" s="681">
        <v>888.06</v>
      </c>
    </row>
    <row r="183" spans="1:17" ht="14.4" customHeight="1" x14ac:dyDescent="0.3">
      <c r="A183" s="675" t="s">
        <v>3551</v>
      </c>
      <c r="B183" s="676" t="s">
        <v>3133</v>
      </c>
      <c r="C183" s="676" t="s">
        <v>2675</v>
      </c>
      <c r="D183" s="676" t="s">
        <v>3619</v>
      </c>
      <c r="E183" s="676" t="s">
        <v>3620</v>
      </c>
      <c r="F183" s="680">
        <v>3</v>
      </c>
      <c r="G183" s="680">
        <v>2664.18</v>
      </c>
      <c r="H183" s="680">
        <v>1</v>
      </c>
      <c r="I183" s="680">
        <v>888.06</v>
      </c>
      <c r="J183" s="680">
        <v>3</v>
      </c>
      <c r="K183" s="680">
        <v>2664.18</v>
      </c>
      <c r="L183" s="680">
        <v>1</v>
      </c>
      <c r="M183" s="680">
        <v>888.06</v>
      </c>
      <c r="N183" s="680"/>
      <c r="O183" s="680"/>
      <c r="P183" s="702"/>
      <c r="Q183" s="681"/>
    </row>
    <row r="184" spans="1:17" ht="14.4" customHeight="1" x14ac:dyDescent="0.3">
      <c r="A184" s="675" t="s">
        <v>3551</v>
      </c>
      <c r="B184" s="676" t="s">
        <v>3133</v>
      </c>
      <c r="C184" s="676" t="s">
        <v>2675</v>
      </c>
      <c r="D184" s="676" t="s">
        <v>3621</v>
      </c>
      <c r="E184" s="676" t="s">
        <v>3622</v>
      </c>
      <c r="F184" s="680"/>
      <c r="G184" s="680"/>
      <c r="H184" s="680"/>
      <c r="I184" s="680"/>
      <c r="J184" s="680">
        <v>2</v>
      </c>
      <c r="K184" s="680">
        <v>2187.7600000000002</v>
      </c>
      <c r="L184" s="680">
        <v>1</v>
      </c>
      <c r="M184" s="680">
        <v>1093.8800000000001</v>
      </c>
      <c r="N184" s="680"/>
      <c r="O184" s="680"/>
      <c r="P184" s="702"/>
      <c r="Q184" s="681"/>
    </row>
    <row r="185" spans="1:17" ht="14.4" customHeight="1" x14ac:dyDescent="0.3">
      <c r="A185" s="675" t="s">
        <v>3551</v>
      </c>
      <c r="B185" s="676" t="s">
        <v>3133</v>
      </c>
      <c r="C185" s="676" t="s">
        <v>2675</v>
      </c>
      <c r="D185" s="676" t="s">
        <v>3623</v>
      </c>
      <c r="E185" s="676" t="s">
        <v>3624</v>
      </c>
      <c r="F185" s="680">
        <v>1</v>
      </c>
      <c r="G185" s="680">
        <v>3898.8</v>
      </c>
      <c r="H185" s="680"/>
      <c r="I185" s="680">
        <v>3898.8</v>
      </c>
      <c r="J185" s="680"/>
      <c r="K185" s="680"/>
      <c r="L185" s="680"/>
      <c r="M185" s="680"/>
      <c r="N185" s="680"/>
      <c r="O185" s="680"/>
      <c r="P185" s="702"/>
      <c r="Q185" s="681"/>
    </row>
    <row r="186" spans="1:17" ht="14.4" customHeight="1" x14ac:dyDescent="0.3">
      <c r="A186" s="675" t="s">
        <v>3551</v>
      </c>
      <c r="B186" s="676" t="s">
        <v>3133</v>
      </c>
      <c r="C186" s="676" t="s">
        <v>2675</v>
      </c>
      <c r="D186" s="676" t="s">
        <v>3625</v>
      </c>
      <c r="E186" s="676" t="s">
        <v>3626</v>
      </c>
      <c r="F186" s="680">
        <v>2</v>
      </c>
      <c r="G186" s="680">
        <v>2624.28</v>
      </c>
      <c r="H186" s="680"/>
      <c r="I186" s="680">
        <v>1312.14</v>
      </c>
      <c r="J186" s="680"/>
      <c r="K186" s="680"/>
      <c r="L186" s="680"/>
      <c r="M186" s="680"/>
      <c r="N186" s="680">
        <v>2</v>
      </c>
      <c r="O186" s="680">
        <v>2624.28</v>
      </c>
      <c r="P186" s="702"/>
      <c r="Q186" s="681">
        <v>1312.14</v>
      </c>
    </row>
    <row r="187" spans="1:17" ht="14.4" customHeight="1" x14ac:dyDescent="0.3">
      <c r="A187" s="675" t="s">
        <v>3551</v>
      </c>
      <c r="B187" s="676" t="s">
        <v>3133</v>
      </c>
      <c r="C187" s="676" t="s">
        <v>2675</v>
      </c>
      <c r="D187" s="676" t="s">
        <v>3627</v>
      </c>
      <c r="E187" s="676" t="s">
        <v>3628</v>
      </c>
      <c r="F187" s="680">
        <v>7</v>
      </c>
      <c r="G187" s="680">
        <v>25512.06</v>
      </c>
      <c r="H187" s="680">
        <v>0.4375</v>
      </c>
      <c r="I187" s="680">
        <v>3644.5800000000004</v>
      </c>
      <c r="J187" s="680">
        <v>16</v>
      </c>
      <c r="K187" s="680">
        <v>58313.280000000006</v>
      </c>
      <c r="L187" s="680">
        <v>1</v>
      </c>
      <c r="M187" s="680">
        <v>3644.5800000000004</v>
      </c>
      <c r="N187" s="680">
        <v>12</v>
      </c>
      <c r="O187" s="680">
        <v>43734.96</v>
      </c>
      <c r="P187" s="702">
        <v>0.74999999999999989</v>
      </c>
      <c r="Q187" s="681">
        <v>3644.58</v>
      </c>
    </row>
    <row r="188" spans="1:17" ht="14.4" customHeight="1" x14ac:dyDescent="0.3">
      <c r="A188" s="675" t="s">
        <v>3551</v>
      </c>
      <c r="B188" s="676" t="s">
        <v>3133</v>
      </c>
      <c r="C188" s="676" t="s">
        <v>2675</v>
      </c>
      <c r="D188" s="676" t="s">
        <v>3629</v>
      </c>
      <c r="E188" s="676" t="s">
        <v>3630</v>
      </c>
      <c r="F188" s="680">
        <v>6</v>
      </c>
      <c r="G188" s="680">
        <v>6877.98</v>
      </c>
      <c r="H188" s="680">
        <v>0.375</v>
      </c>
      <c r="I188" s="680">
        <v>1146.33</v>
      </c>
      <c r="J188" s="680">
        <v>16</v>
      </c>
      <c r="K188" s="680">
        <v>18341.28</v>
      </c>
      <c r="L188" s="680">
        <v>1</v>
      </c>
      <c r="M188" s="680">
        <v>1146.33</v>
      </c>
      <c r="N188" s="680">
        <v>9</v>
      </c>
      <c r="O188" s="680">
        <v>10316.969999999999</v>
      </c>
      <c r="P188" s="702">
        <v>0.5625</v>
      </c>
      <c r="Q188" s="681">
        <v>1146.33</v>
      </c>
    </row>
    <row r="189" spans="1:17" ht="14.4" customHeight="1" x14ac:dyDescent="0.3">
      <c r="A189" s="675" t="s">
        <v>3551</v>
      </c>
      <c r="B189" s="676" t="s">
        <v>3133</v>
      </c>
      <c r="C189" s="676" t="s">
        <v>2675</v>
      </c>
      <c r="D189" s="676" t="s">
        <v>3631</v>
      </c>
      <c r="E189" s="676" t="s">
        <v>3632</v>
      </c>
      <c r="F189" s="680">
        <v>8</v>
      </c>
      <c r="G189" s="680">
        <v>2872.7999999999997</v>
      </c>
      <c r="H189" s="680">
        <v>1.3333333333333333</v>
      </c>
      <c r="I189" s="680">
        <v>359.09999999999997</v>
      </c>
      <c r="J189" s="680">
        <v>6</v>
      </c>
      <c r="K189" s="680">
        <v>2154.6</v>
      </c>
      <c r="L189" s="680">
        <v>1</v>
      </c>
      <c r="M189" s="680">
        <v>359.09999999999997</v>
      </c>
      <c r="N189" s="680">
        <v>2</v>
      </c>
      <c r="O189" s="680">
        <v>718.2</v>
      </c>
      <c r="P189" s="702">
        <v>0.33333333333333337</v>
      </c>
      <c r="Q189" s="681">
        <v>359.1</v>
      </c>
    </row>
    <row r="190" spans="1:17" ht="14.4" customHeight="1" x14ac:dyDescent="0.3">
      <c r="A190" s="675" t="s">
        <v>3551</v>
      </c>
      <c r="B190" s="676" t="s">
        <v>3133</v>
      </c>
      <c r="C190" s="676" t="s">
        <v>2675</v>
      </c>
      <c r="D190" s="676" t="s">
        <v>3633</v>
      </c>
      <c r="E190" s="676" t="s">
        <v>3634</v>
      </c>
      <c r="F190" s="680">
        <v>5</v>
      </c>
      <c r="G190" s="680">
        <v>84158.45</v>
      </c>
      <c r="H190" s="680">
        <v>2.5</v>
      </c>
      <c r="I190" s="680">
        <v>16831.689999999999</v>
      </c>
      <c r="J190" s="680">
        <v>2</v>
      </c>
      <c r="K190" s="680">
        <v>33663.379999999997</v>
      </c>
      <c r="L190" s="680">
        <v>1</v>
      </c>
      <c r="M190" s="680">
        <v>16831.689999999999</v>
      </c>
      <c r="N190" s="680">
        <v>4</v>
      </c>
      <c r="O190" s="680">
        <v>67326.759999999995</v>
      </c>
      <c r="P190" s="702">
        <v>2</v>
      </c>
      <c r="Q190" s="681">
        <v>16831.689999999999</v>
      </c>
    </row>
    <row r="191" spans="1:17" ht="14.4" customHeight="1" x14ac:dyDescent="0.3">
      <c r="A191" s="675" t="s">
        <v>3551</v>
      </c>
      <c r="B191" s="676" t="s">
        <v>3133</v>
      </c>
      <c r="C191" s="676" t="s">
        <v>2675</v>
      </c>
      <c r="D191" s="676" t="s">
        <v>3635</v>
      </c>
      <c r="E191" s="676" t="s">
        <v>3636</v>
      </c>
      <c r="F191" s="680">
        <v>1</v>
      </c>
      <c r="G191" s="680">
        <v>10645.01</v>
      </c>
      <c r="H191" s="680"/>
      <c r="I191" s="680">
        <v>10645.01</v>
      </c>
      <c r="J191" s="680"/>
      <c r="K191" s="680"/>
      <c r="L191" s="680"/>
      <c r="M191" s="680"/>
      <c r="N191" s="680">
        <v>1</v>
      </c>
      <c r="O191" s="680">
        <v>10645.01</v>
      </c>
      <c r="P191" s="702"/>
      <c r="Q191" s="681">
        <v>10645.01</v>
      </c>
    </row>
    <row r="192" spans="1:17" ht="14.4" customHeight="1" x14ac:dyDescent="0.3">
      <c r="A192" s="675" t="s">
        <v>3551</v>
      </c>
      <c r="B192" s="676" t="s">
        <v>3133</v>
      </c>
      <c r="C192" s="676" t="s">
        <v>2675</v>
      </c>
      <c r="D192" s="676" t="s">
        <v>3637</v>
      </c>
      <c r="E192" s="676" t="s">
        <v>3638</v>
      </c>
      <c r="F192" s="680"/>
      <c r="G192" s="680"/>
      <c r="H192" s="680"/>
      <c r="I192" s="680"/>
      <c r="J192" s="680"/>
      <c r="K192" s="680"/>
      <c r="L192" s="680"/>
      <c r="M192" s="680"/>
      <c r="N192" s="680">
        <v>1</v>
      </c>
      <c r="O192" s="680">
        <v>5200.68</v>
      </c>
      <c r="P192" s="702"/>
      <c r="Q192" s="681">
        <v>5200.68</v>
      </c>
    </row>
    <row r="193" spans="1:17" ht="14.4" customHeight="1" x14ac:dyDescent="0.3">
      <c r="A193" s="675" t="s">
        <v>3551</v>
      </c>
      <c r="B193" s="676" t="s">
        <v>3133</v>
      </c>
      <c r="C193" s="676" t="s">
        <v>2675</v>
      </c>
      <c r="D193" s="676" t="s">
        <v>3639</v>
      </c>
      <c r="E193" s="676" t="s">
        <v>3640</v>
      </c>
      <c r="F193" s="680">
        <v>2</v>
      </c>
      <c r="G193" s="680">
        <v>64358.18</v>
      </c>
      <c r="H193" s="680">
        <v>2.5000001942255197</v>
      </c>
      <c r="I193" s="680">
        <v>32179.09</v>
      </c>
      <c r="J193" s="680">
        <v>1</v>
      </c>
      <c r="K193" s="680">
        <v>25743.27</v>
      </c>
      <c r="L193" s="680">
        <v>1</v>
      </c>
      <c r="M193" s="680">
        <v>25743.27</v>
      </c>
      <c r="N193" s="680"/>
      <c r="O193" s="680"/>
      <c r="P193" s="702"/>
      <c r="Q193" s="681"/>
    </row>
    <row r="194" spans="1:17" ht="14.4" customHeight="1" x14ac:dyDescent="0.3">
      <c r="A194" s="675" t="s">
        <v>3551</v>
      </c>
      <c r="B194" s="676" t="s">
        <v>3133</v>
      </c>
      <c r="C194" s="676" t="s">
        <v>2675</v>
      </c>
      <c r="D194" s="676" t="s">
        <v>3641</v>
      </c>
      <c r="E194" s="676" t="s">
        <v>3642</v>
      </c>
      <c r="F194" s="680">
        <v>8</v>
      </c>
      <c r="G194" s="680">
        <v>52697.04</v>
      </c>
      <c r="H194" s="680">
        <v>1.142857142857143</v>
      </c>
      <c r="I194" s="680">
        <v>6587.13</v>
      </c>
      <c r="J194" s="680">
        <v>7</v>
      </c>
      <c r="K194" s="680">
        <v>46109.909999999996</v>
      </c>
      <c r="L194" s="680">
        <v>1</v>
      </c>
      <c r="M194" s="680">
        <v>6587.1299999999992</v>
      </c>
      <c r="N194" s="680">
        <v>7</v>
      </c>
      <c r="O194" s="680">
        <v>46109.91</v>
      </c>
      <c r="P194" s="702">
        <v>1.0000000000000002</v>
      </c>
      <c r="Q194" s="681">
        <v>6587.13</v>
      </c>
    </row>
    <row r="195" spans="1:17" ht="14.4" customHeight="1" x14ac:dyDescent="0.3">
      <c r="A195" s="675" t="s">
        <v>3551</v>
      </c>
      <c r="B195" s="676" t="s">
        <v>3133</v>
      </c>
      <c r="C195" s="676" t="s">
        <v>2675</v>
      </c>
      <c r="D195" s="676" t="s">
        <v>3643</v>
      </c>
      <c r="E195" s="676" t="s">
        <v>3644</v>
      </c>
      <c r="F195" s="680"/>
      <c r="G195" s="680"/>
      <c r="H195" s="680"/>
      <c r="I195" s="680"/>
      <c r="J195" s="680">
        <v>2</v>
      </c>
      <c r="K195" s="680">
        <v>3683.24</v>
      </c>
      <c r="L195" s="680">
        <v>1</v>
      </c>
      <c r="M195" s="680">
        <v>1841.62</v>
      </c>
      <c r="N195" s="680">
        <v>2</v>
      </c>
      <c r="O195" s="680">
        <v>3683.24</v>
      </c>
      <c r="P195" s="702">
        <v>1</v>
      </c>
      <c r="Q195" s="681">
        <v>1841.62</v>
      </c>
    </row>
    <row r="196" spans="1:17" ht="14.4" customHeight="1" x14ac:dyDescent="0.3">
      <c r="A196" s="675" t="s">
        <v>3551</v>
      </c>
      <c r="B196" s="676" t="s">
        <v>3133</v>
      </c>
      <c r="C196" s="676" t="s">
        <v>2675</v>
      </c>
      <c r="D196" s="676" t="s">
        <v>3645</v>
      </c>
      <c r="E196" s="676" t="s">
        <v>3646</v>
      </c>
      <c r="F196" s="680">
        <v>2</v>
      </c>
      <c r="G196" s="680">
        <v>52999.64</v>
      </c>
      <c r="H196" s="680"/>
      <c r="I196" s="680">
        <v>26499.82</v>
      </c>
      <c r="J196" s="680"/>
      <c r="K196" s="680"/>
      <c r="L196" s="680"/>
      <c r="M196" s="680"/>
      <c r="N196" s="680"/>
      <c r="O196" s="680"/>
      <c r="P196" s="702"/>
      <c r="Q196" s="681"/>
    </row>
    <row r="197" spans="1:17" ht="14.4" customHeight="1" x14ac:dyDescent="0.3">
      <c r="A197" s="675" t="s">
        <v>3551</v>
      </c>
      <c r="B197" s="676" t="s">
        <v>3133</v>
      </c>
      <c r="C197" s="676" t="s">
        <v>2675</v>
      </c>
      <c r="D197" s="676" t="s">
        <v>3647</v>
      </c>
      <c r="E197" s="676" t="s">
        <v>3648</v>
      </c>
      <c r="F197" s="680"/>
      <c r="G197" s="680"/>
      <c r="H197" s="680"/>
      <c r="I197" s="680"/>
      <c r="J197" s="680"/>
      <c r="K197" s="680"/>
      <c r="L197" s="680"/>
      <c r="M197" s="680"/>
      <c r="N197" s="680">
        <v>1</v>
      </c>
      <c r="O197" s="680">
        <v>216229.87</v>
      </c>
      <c r="P197" s="702"/>
      <c r="Q197" s="681">
        <v>216229.87</v>
      </c>
    </row>
    <row r="198" spans="1:17" ht="14.4" customHeight="1" x14ac:dyDescent="0.3">
      <c r="A198" s="675" t="s">
        <v>3551</v>
      </c>
      <c r="B198" s="676" t="s">
        <v>3133</v>
      </c>
      <c r="C198" s="676" t="s">
        <v>2675</v>
      </c>
      <c r="D198" s="676" t="s">
        <v>3649</v>
      </c>
      <c r="E198" s="676" t="s">
        <v>3650</v>
      </c>
      <c r="F198" s="680"/>
      <c r="G198" s="680"/>
      <c r="H198" s="680"/>
      <c r="I198" s="680"/>
      <c r="J198" s="680"/>
      <c r="K198" s="680"/>
      <c r="L198" s="680"/>
      <c r="M198" s="680"/>
      <c r="N198" s="680">
        <v>2</v>
      </c>
      <c r="O198" s="680">
        <v>14393.02</v>
      </c>
      <c r="P198" s="702"/>
      <c r="Q198" s="681">
        <v>7196.51</v>
      </c>
    </row>
    <row r="199" spans="1:17" ht="14.4" customHeight="1" x14ac:dyDescent="0.3">
      <c r="A199" s="675" t="s">
        <v>3551</v>
      </c>
      <c r="B199" s="676" t="s">
        <v>3133</v>
      </c>
      <c r="C199" s="676" t="s">
        <v>2675</v>
      </c>
      <c r="D199" s="676" t="s">
        <v>3651</v>
      </c>
      <c r="E199" s="676" t="s">
        <v>3652</v>
      </c>
      <c r="F199" s="680"/>
      <c r="G199" s="680"/>
      <c r="H199" s="680"/>
      <c r="I199" s="680"/>
      <c r="J199" s="680">
        <v>12</v>
      </c>
      <c r="K199" s="680">
        <v>52320</v>
      </c>
      <c r="L199" s="680">
        <v>1</v>
      </c>
      <c r="M199" s="680">
        <v>4360</v>
      </c>
      <c r="N199" s="680">
        <v>7</v>
      </c>
      <c r="O199" s="680">
        <v>30520</v>
      </c>
      <c r="P199" s="702">
        <v>0.58333333333333337</v>
      </c>
      <c r="Q199" s="681">
        <v>4360</v>
      </c>
    </row>
    <row r="200" spans="1:17" ht="14.4" customHeight="1" x14ac:dyDescent="0.3">
      <c r="A200" s="675" t="s">
        <v>3551</v>
      </c>
      <c r="B200" s="676" t="s">
        <v>3133</v>
      </c>
      <c r="C200" s="676" t="s">
        <v>2675</v>
      </c>
      <c r="D200" s="676" t="s">
        <v>3653</v>
      </c>
      <c r="E200" s="676" t="s">
        <v>3654</v>
      </c>
      <c r="F200" s="680">
        <v>1</v>
      </c>
      <c r="G200" s="680">
        <v>33125.26</v>
      </c>
      <c r="H200" s="680">
        <v>0.62499995283056253</v>
      </c>
      <c r="I200" s="680">
        <v>33125.26</v>
      </c>
      <c r="J200" s="680">
        <v>2</v>
      </c>
      <c r="K200" s="680">
        <v>53000.42</v>
      </c>
      <c r="L200" s="680">
        <v>1</v>
      </c>
      <c r="M200" s="680">
        <v>26500.21</v>
      </c>
      <c r="N200" s="680">
        <v>1</v>
      </c>
      <c r="O200" s="680">
        <v>26500.21</v>
      </c>
      <c r="P200" s="702">
        <v>0.5</v>
      </c>
      <c r="Q200" s="681">
        <v>26500.21</v>
      </c>
    </row>
    <row r="201" spans="1:17" ht="14.4" customHeight="1" x14ac:dyDescent="0.3">
      <c r="A201" s="675" t="s">
        <v>3551</v>
      </c>
      <c r="B201" s="676" t="s">
        <v>3133</v>
      </c>
      <c r="C201" s="676" t="s">
        <v>2675</v>
      </c>
      <c r="D201" s="676" t="s">
        <v>3655</v>
      </c>
      <c r="E201" s="676" t="s">
        <v>3656</v>
      </c>
      <c r="F201" s="680">
        <v>1</v>
      </c>
      <c r="G201" s="680">
        <v>380.86</v>
      </c>
      <c r="H201" s="680">
        <v>1</v>
      </c>
      <c r="I201" s="680">
        <v>380.86</v>
      </c>
      <c r="J201" s="680">
        <v>1</v>
      </c>
      <c r="K201" s="680">
        <v>380.86</v>
      </c>
      <c r="L201" s="680">
        <v>1</v>
      </c>
      <c r="M201" s="680">
        <v>380.86</v>
      </c>
      <c r="N201" s="680">
        <v>3</v>
      </c>
      <c r="O201" s="680">
        <v>1142.58</v>
      </c>
      <c r="P201" s="702">
        <v>2.9999999999999996</v>
      </c>
      <c r="Q201" s="681">
        <v>380.85999999999996</v>
      </c>
    </row>
    <row r="202" spans="1:17" ht="14.4" customHeight="1" x14ac:dyDescent="0.3">
      <c r="A202" s="675" t="s">
        <v>3551</v>
      </c>
      <c r="B202" s="676" t="s">
        <v>3133</v>
      </c>
      <c r="C202" s="676" t="s">
        <v>2675</v>
      </c>
      <c r="D202" s="676" t="s">
        <v>3657</v>
      </c>
      <c r="E202" s="676" t="s">
        <v>3658</v>
      </c>
      <c r="F202" s="680">
        <v>4</v>
      </c>
      <c r="G202" s="680">
        <v>12714.52</v>
      </c>
      <c r="H202" s="680"/>
      <c r="I202" s="680">
        <v>3178.63</v>
      </c>
      <c r="J202" s="680"/>
      <c r="K202" s="680"/>
      <c r="L202" s="680"/>
      <c r="M202" s="680"/>
      <c r="N202" s="680"/>
      <c r="O202" s="680"/>
      <c r="P202" s="702"/>
      <c r="Q202" s="681"/>
    </row>
    <row r="203" spans="1:17" ht="14.4" customHeight="1" x14ac:dyDescent="0.3">
      <c r="A203" s="675" t="s">
        <v>3551</v>
      </c>
      <c r="B203" s="676" t="s">
        <v>3133</v>
      </c>
      <c r="C203" s="676" t="s">
        <v>2675</v>
      </c>
      <c r="D203" s="676" t="s">
        <v>3659</v>
      </c>
      <c r="E203" s="676" t="s">
        <v>3660</v>
      </c>
      <c r="F203" s="680"/>
      <c r="G203" s="680"/>
      <c r="H203" s="680"/>
      <c r="I203" s="680"/>
      <c r="J203" s="680">
        <v>1</v>
      </c>
      <c r="K203" s="680">
        <v>17527.810000000001</v>
      </c>
      <c r="L203" s="680">
        <v>1</v>
      </c>
      <c r="M203" s="680">
        <v>17527.810000000001</v>
      </c>
      <c r="N203" s="680"/>
      <c r="O203" s="680"/>
      <c r="P203" s="702"/>
      <c r="Q203" s="681"/>
    </row>
    <row r="204" spans="1:17" ht="14.4" customHeight="1" x14ac:dyDescent="0.3">
      <c r="A204" s="675" t="s">
        <v>3551</v>
      </c>
      <c r="B204" s="676" t="s">
        <v>3133</v>
      </c>
      <c r="C204" s="676" t="s">
        <v>2675</v>
      </c>
      <c r="D204" s="676" t="s">
        <v>3661</v>
      </c>
      <c r="E204" s="676" t="s">
        <v>3662</v>
      </c>
      <c r="F204" s="680"/>
      <c r="G204" s="680"/>
      <c r="H204" s="680"/>
      <c r="I204" s="680"/>
      <c r="J204" s="680">
        <v>1</v>
      </c>
      <c r="K204" s="680">
        <v>33448</v>
      </c>
      <c r="L204" s="680">
        <v>1</v>
      </c>
      <c r="M204" s="680">
        <v>33448</v>
      </c>
      <c r="N204" s="680"/>
      <c r="O204" s="680"/>
      <c r="P204" s="702"/>
      <c r="Q204" s="681"/>
    </row>
    <row r="205" spans="1:17" ht="14.4" customHeight="1" x14ac:dyDescent="0.3">
      <c r="A205" s="675" t="s">
        <v>3551</v>
      </c>
      <c r="B205" s="676" t="s">
        <v>3133</v>
      </c>
      <c r="C205" s="676" t="s">
        <v>2675</v>
      </c>
      <c r="D205" s="676" t="s">
        <v>3663</v>
      </c>
      <c r="E205" s="676" t="s">
        <v>3664</v>
      </c>
      <c r="F205" s="680"/>
      <c r="G205" s="680"/>
      <c r="H205" s="680"/>
      <c r="I205" s="680"/>
      <c r="J205" s="680">
        <v>1</v>
      </c>
      <c r="K205" s="680">
        <v>44071.360000000001</v>
      </c>
      <c r="L205" s="680">
        <v>1</v>
      </c>
      <c r="M205" s="680">
        <v>44071.360000000001</v>
      </c>
      <c r="N205" s="680"/>
      <c r="O205" s="680"/>
      <c r="P205" s="702"/>
      <c r="Q205" s="681"/>
    </row>
    <row r="206" spans="1:17" ht="14.4" customHeight="1" x14ac:dyDescent="0.3">
      <c r="A206" s="675" t="s">
        <v>3551</v>
      </c>
      <c r="B206" s="676" t="s">
        <v>3133</v>
      </c>
      <c r="C206" s="676" t="s">
        <v>2675</v>
      </c>
      <c r="D206" s="676" t="s">
        <v>3665</v>
      </c>
      <c r="E206" s="676" t="s">
        <v>3666</v>
      </c>
      <c r="F206" s="680"/>
      <c r="G206" s="680"/>
      <c r="H206" s="680"/>
      <c r="I206" s="680"/>
      <c r="J206" s="680">
        <v>1</v>
      </c>
      <c r="K206" s="680">
        <v>34650</v>
      </c>
      <c r="L206" s="680">
        <v>1</v>
      </c>
      <c r="M206" s="680">
        <v>34650</v>
      </c>
      <c r="N206" s="680"/>
      <c r="O206" s="680"/>
      <c r="P206" s="702"/>
      <c r="Q206" s="681"/>
    </row>
    <row r="207" spans="1:17" ht="14.4" customHeight="1" x14ac:dyDescent="0.3">
      <c r="A207" s="675" t="s">
        <v>3551</v>
      </c>
      <c r="B207" s="676" t="s">
        <v>3133</v>
      </c>
      <c r="C207" s="676" t="s">
        <v>2675</v>
      </c>
      <c r="D207" s="676" t="s">
        <v>3667</v>
      </c>
      <c r="E207" s="676" t="s">
        <v>3668</v>
      </c>
      <c r="F207" s="680"/>
      <c r="G207" s="680"/>
      <c r="H207" s="680"/>
      <c r="I207" s="680"/>
      <c r="J207" s="680">
        <v>1</v>
      </c>
      <c r="K207" s="680">
        <v>1261.46</v>
      </c>
      <c r="L207" s="680">
        <v>1</v>
      </c>
      <c r="M207" s="680">
        <v>1261.46</v>
      </c>
      <c r="N207" s="680"/>
      <c r="O207" s="680"/>
      <c r="P207" s="702"/>
      <c r="Q207" s="681"/>
    </row>
    <row r="208" spans="1:17" ht="14.4" customHeight="1" x14ac:dyDescent="0.3">
      <c r="A208" s="675" t="s">
        <v>3551</v>
      </c>
      <c r="B208" s="676" t="s">
        <v>3133</v>
      </c>
      <c r="C208" s="676" t="s">
        <v>2675</v>
      </c>
      <c r="D208" s="676" t="s">
        <v>3669</v>
      </c>
      <c r="E208" s="676" t="s">
        <v>3670</v>
      </c>
      <c r="F208" s="680"/>
      <c r="G208" s="680"/>
      <c r="H208" s="680"/>
      <c r="I208" s="680"/>
      <c r="J208" s="680"/>
      <c r="K208" s="680"/>
      <c r="L208" s="680"/>
      <c r="M208" s="680"/>
      <c r="N208" s="680">
        <v>1</v>
      </c>
      <c r="O208" s="680">
        <v>8860.39</v>
      </c>
      <c r="P208" s="702"/>
      <c r="Q208" s="681">
        <v>8860.39</v>
      </c>
    </row>
    <row r="209" spans="1:17" ht="14.4" customHeight="1" x14ac:dyDescent="0.3">
      <c r="A209" s="675" t="s">
        <v>3551</v>
      </c>
      <c r="B209" s="676" t="s">
        <v>3133</v>
      </c>
      <c r="C209" s="676" t="s">
        <v>2244</v>
      </c>
      <c r="D209" s="676" t="s">
        <v>3671</v>
      </c>
      <c r="E209" s="676" t="s">
        <v>3672</v>
      </c>
      <c r="F209" s="680">
        <v>1</v>
      </c>
      <c r="G209" s="680">
        <v>207</v>
      </c>
      <c r="H209" s="680">
        <v>0.971830985915493</v>
      </c>
      <c r="I209" s="680">
        <v>207</v>
      </c>
      <c r="J209" s="680">
        <v>1</v>
      </c>
      <c r="K209" s="680">
        <v>213</v>
      </c>
      <c r="L209" s="680">
        <v>1</v>
      </c>
      <c r="M209" s="680">
        <v>213</v>
      </c>
      <c r="N209" s="680"/>
      <c r="O209" s="680"/>
      <c r="P209" s="702"/>
      <c r="Q209" s="681"/>
    </row>
    <row r="210" spans="1:17" ht="14.4" customHeight="1" x14ac:dyDescent="0.3">
      <c r="A210" s="675" t="s">
        <v>3551</v>
      </c>
      <c r="B210" s="676" t="s">
        <v>3133</v>
      </c>
      <c r="C210" s="676" t="s">
        <v>2244</v>
      </c>
      <c r="D210" s="676" t="s">
        <v>3673</v>
      </c>
      <c r="E210" s="676" t="s">
        <v>3674</v>
      </c>
      <c r="F210" s="680">
        <v>1</v>
      </c>
      <c r="G210" s="680">
        <v>151</v>
      </c>
      <c r="H210" s="680">
        <v>0.97419354838709682</v>
      </c>
      <c r="I210" s="680">
        <v>151</v>
      </c>
      <c r="J210" s="680">
        <v>1</v>
      </c>
      <c r="K210" s="680">
        <v>155</v>
      </c>
      <c r="L210" s="680">
        <v>1</v>
      </c>
      <c r="M210" s="680">
        <v>155</v>
      </c>
      <c r="N210" s="680">
        <v>4</v>
      </c>
      <c r="O210" s="680">
        <v>620</v>
      </c>
      <c r="P210" s="702">
        <v>4</v>
      </c>
      <c r="Q210" s="681">
        <v>155</v>
      </c>
    </row>
    <row r="211" spans="1:17" ht="14.4" customHeight="1" x14ac:dyDescent="0.3">
      <c r="A211" s="675" t="s">
        <v>3551</v>
      </c>
      <c r="B211" s="676" t="s">
        <v>3133</v>
      </c>
      <c r="C211" s="676" t="s">
        <v>2244</v>
      </c>
      <c r="D211" s="676" t="s">
        <v>3675</v>
      </c>
      <c r="E211" s="676" t="s">
        <v>3676</v>
      </c>
      <c r="F211" s="680"/>
      <c r="G211" s="680"/>
      <c r="H211" s="680"/>
      <c r="I211" s="680"/>
      <c r="J211" s="680">
        <v>1</v>
      </c>
      <c r="K211" s="680">
        <v>187</v>
      </c>
      <c r="L211" s="680">
        <v>1</v>
      </c>
      <c r="M211" s="680">
        <v>187</v>
      </c>
      <c r="N211" s="680"/>
      <c r="O211" s="680"/>
      <c r="P211" s="702"/>
      <c r="Q211" s="681"/>
    </row>
    <row r="212" spans="1:17" ht="14.4" customHeight="1" x14ac:dyDescent="0.3">
      <c r="A212" s="675" t="s">
        <v>3551</v>
      </c>
      <c r="B212" s="676" t="s">
        <v>3133</v>
      </c>
      <c r="C212" s="676" t="s">
        <v>2244</v>
      </c>
      <c r="D212" s="676" t="s">
        <v>3677</v>
      </c>
      <c r="E212" s="676" t="s">
        <v>3678</v>
      </c>
      <c r="F212" s="680">
        <v>12</v>
      </c>
      <c r="G212" s="680">
        <v>1500</v>
      </c>
      <c r="H212" s="680">
        <v>0.30838815789473684</v>
      </c>
      <c r="I212" s="680">
        <v>125</v>
      </c>
      <c r="J212" s="680">
        <v>38</v>
      </c>
      <c r="K212" s="680">
        <v>4864</v>
      </c>
      <c r="L212" s="680">
        <v>1</v>
      </c>
      <c r="M212" s="680">
        <v>128</v>
      </c>
      <c r="N212" s="680">
        <v>25</v>
      </c>
      <c r="O212" s="680">
        <v>3200</v>
      </c>
      <c r="P212" s="702">
        <v>0.65789473684210531</v>
      </c>
      <c r="Q212" s="681">
        <v>128</v>
      </c>
    </row>
    <row r="213" spans="1:17" ht="14.4" customHeight="1" x14ac:dyDescent="0.3">
      <c r="A213" s="675" t="s">
        <v>3551</v>
      </c>
      <c r="B213" s="676" t="s">
        <v>3133</v>
      </c>
      <c r="C213" s="676" t="s">
        <v>2244</v>
      </c>
      <c r="D213" s="676" t="s">
        <v>3679</v>
      </c>
      <c r="E213" s="676" t="s">
        <v>3680</v>
      </c>
      <c r="F213" s="680">
        <v>34</v>
      </c>
      <c r="G213" s="680">
        <v>7446</v>
      </c>
      <c r="H213" s="680">
        <v>0.48391499317605768</v>
      </c>
      <c r="I213" s="680">
        <v>219</v>
      </c>
      <c r="J213" s="680">
        <v>69</v>
      </c>
      <c r="K213" s="680">
        <v>15387</v>
      </c>
      <c r="L213" s="680">
        <v>1</v>
      </c>
      <c r="M213" s="680">
        <v>223</v>
      </c>
      <c r="N213" s="680">
        <v>31</v>
      </c>
      <c r="O213" s="680">
        <v>6913</v>
      </c>
      <c r="P213" s="702">
        <v>0.44927536231884058</v>
      </c>
      <c r="Q213" s="681">
        <v>223</v>
      </c>
    </row>
    <row r="214" spans="1:17" ht="14.4" customHeight="1" x14ac:dyDescent="0.3">
      <c r="A214" s="675" t="s">
        <v>3551</v>
      </c>
      <c r="B214" s="676" t="s">
        <v>3133</v>
      </c>
      <c r="C214" s="676" t="s">
        <v>2244</v>
      </c>
      <c r="D214" s="676" t="s">
        <v>3681</v>
      </c>
      <c r="E214" s="676" t="s">
        <v>3682</v>
      </c>
      <c r="F214" s="680">
        <v>56</v>
      </c>
      <c r="G214" s="680">
        <v>12376</v>
      </c>
      <c r="H214" s="680">
        <v>1.3751111111111112</v>
      </c>
      <c r="I214" s="680">
        <v>221</v>
      </c>
      <c r="J214" s="680">
        <v>40</v>
      </c>
      <c r="K214" s="680">
        <v>9000</v>
      </c>
      <c r="L214" s="680">
        <v>1</v>
      </c>
      <c r="M214" s="680">
        <v>225</v>
      </c>
      <c r="N214" s="680">
        <v>36</v>
      </c>
      <c r="O214" s="680">
        <v>8100</v>
      </c>
      <c r="P214" s="702">
        <v>0.9</v>
      </c>
      <c r="Q214" s="681">
        <v>225</v>
      </c>
    </row>
    <row r="215" spans="1:17" ht="14.4" customHeight="1" x14ac:dyDescent="0.3">
      <c r="A215" s="675" t="s">
        <v>3551</v>
      </c>
      <c r="B215" s="676" t="s">
        <v>3133</v>
      </c>
      <c r="C215" s="676" t="s">
        <v>2244</v>
      </c>
      <c r="D215" s="676" t="s">
        <v>3683</v>
      </c>
      <c r="E215" s="676" t="s">
        <v>3684</v>
      </c>
      <c r="F215" s="680">
        <v>9</v>
      </c>
      <c r="G215" s="680">
        <v>5517</v>
      </c>
      <c r="H215" s="680">
        <v>4.4135999999999997</v>
      </c>
      <c r="I215" s="680">
        <v>613</v>
      </c>
      <c r="J215" s="680">
        <v>2</v>
      </c>
      <c r="K215" s="680">
        <v>1250</v>
      </c>
      <c r="L215" s="680">
        <v>1</v>
      </c>
      <c r="M215" s="680">
        <v>625</v>
      </c>
      <c r="N215" s="680">
        <v>2</v>
      </c>
      <c r="O215" s="680">
        <v>1252</v>
      </c>
      <c r="P215" s="702">
        <v>1.0016</v>
      </c>
      <c r="Q215" s="681">
        <v>626</v>
      </c>
    </row>
    <row r="216" spans="1:17" ht="14.4" customHeight="1" x14ac:dyDescent="0.3">
      <c r="A216" s="675" t="s">
        <v>3551</v>
      </c>
      <c r="B216" s="676" t="s">
        <v>3133</v>
      </c>
      <c r="C216" s="676" t="s">
        <v>2244</v>
      </c>
      <c r="D216" s="676" t="s">
        <v>3134</v>
      </c>
      <c r="E216" s="676" t="s">
        <v>3135</v>
      </c>
      <c r="F216" s="680">
        <v>1</v>
      </c>
      <c r="G216" s="680">
        <v>259</v>
      </c>
      <c r="H216" s="680"/>
      <c r="I216" s="680">
        <v>259</v>
      </c>
      <c r="J216" s="680"/>
      <c r="K216" s="680"/>
      <c r="L216" s="680"/>
      <c r="M216" s="680"/>
      <c r="N216" s="680"/>
      <c r="O216" s="680"/>
      <c r="P216" s="702"/>
      <c r="Q216" s="681"/>
    </row>
    <row r="217" spans="1:17" ht="14.4" customHeight="1" x14ac:dyDescent="0.3">
      <c r="A217" s="675" t="s">
        <v>3551</v>
      </c>
      <c r="B217" s="676" t="s">
        <v>3133</v>
      </c>
      <c r="C217" s="676" t="s">
        <v>2244</v>
      </c>
      <c r="D217" s="676" t="s">
        <v>3685</v>
      </c>
      <c r="E217" s="676" t="s">
        <v>3686</v>
      </c>
      <c r="F217" s="680"/>
      <c r="G217" s="680"/>
      <c r="H217" s="680"/>
      <c r="I217" s="680"/>
      <c r="J217" s="680"/>
      <c r="K217" s="680"/>
      <c r="L217" s="680"/>
      <c r="M217" s="680"/>
      <c r="N217" s="680">
        <v>1</v>
      </c>
      <c r="O217" s="680">
        <v>13845</v>
      </c>
      <c r="P217" s="702"/>
      <c r="Q217" s="681">
        <v>13845</v>
      </c>
    </row>
    <row r="218" spans="1:17" ht="14.4" customHeight="1" x14ac:dyDescent="0.3">
      <c r="A218" s="675" t="s">
        <v>3551</v>
      </c>
      <c r="B218" s="676" t="s">
        <v>3133</v>
      </c>
      <c r="C218" s="676" t="s">
        <v>2244</v>
      </c>
      <c r="D218" s="676" t="s">
        <v>3687</v>
      </c>
      <c r="E218" s="676" t="s">
        <v>3688</v>
      </c>
      <c r="F218" s="680">
        <v>8</v>
      </c>
      <c r="G218" s="680">
        <v>33112</v>
      </c>
      <c r="H218" s="680">
        <v>1.1359956086180869</v>
      </c>
      <c r="I218" s="680">
        <v>4139</v>
      </c>
      <c r="J218" s="680">
        <v>7</v>
      </c>
      <c r="K218" s="680">
        <v>29148</v>
      </c>
      <c r="L218" s="680">
        <v>1</v>
      </c>
      <c r="M218" s="680">
        <v>4164</v>
      </c>
      <c r="N218" s="680">
        <v>6</v>
      </c>
      <c r="O218" s="680">
        <v>24984</v>
      </c>
      <c r="P218" s="702">
        <v>0.8571428571428571</v>
      </c>
      <c r="Q218" s="681">
        <v>4164</v>
      </c>
    </row>
    <row r="219" spans="1:17" ht="14.4" customHeight="1" x14ac:dyDescent="0.3">
      <c r="A219" s="675" t="s">
        <v>3551</v>
      </c>
      <c r="B219" s="676" t="s">
        <v>3133</v>
      </c>
      <c r="C219" s="676" t="s">
        <v>2244</v>
      </c>
      <c r="D219" s="676" t="s">
        <v>3138</v>
      </c>
      <c r="E219" s="676" t="s">
        <v>3139</v>
      </c>
      <c r="F219" s="680">
        <v>2</v>
      </c>
      <c r="G219" s="680">
        <v>558</v>
      </c>
      <c r="H219" s="680"/>
      <c r="I219" s="680">
        <v>279</v>
      </c>
      <c r="J219" s="680"/>
      <c r="K219" s="680"/>
      <c r="L219" s="680"/>
      <c r="M219" s="680"/>
      <c r="N219" s="680">
        <v>3</v>
      </c>
      <c r="O219" s="680">
        <v>849</v>
      </c>
      <c r="P219" s="702"/>
      <c r="Q219" s="681">
        <v>283</v>
      </c>
    </row>
    <row r="220" spans="1:17" ht="14.4" customHeight="1" x14ac:dyDescent="0.3">
      <c r="A220" s="675" t="s">
        <v>3551</v>
      </c>
      <c r="B220" s="676" t="s">
        <v>3133</v>
      </c>
      <c r="C220" s="676" t="s">
        <v>2244</v>
      </c>
      <c r="D220" s="676" t="s">
        <v>3689</v>
      </c>
      <c r="E220" s="676" t="s">
        <v>3690</v>
      </c>
      <c r="F220" s="680">
        <v>1</v>
      </c>
      <c r="G220" s="680">
        <v>6264</v>
      </c>
      <c r="H220" s="680">
        <v>0.33043203038455454</v>
      </c>
      <c r="I220" s="680">
        <v>6264</v>
      </c>
      <c r="J220" s="680">
        <v>3</v>
      </c>
      <c r="K220" s="680">
        <v>18957</v>
      </c>
      <c r="L220" s="680">
        <v>1</v>
      </c>
      <c r="M220" s="680">
        <v>6319</v>
      </c>
      <c r="N220" s="680">
        <v>1</v>
      </c>
      <c r="O220" s="680">
        <v>6320</v>
      </c>
      <c r="P220" s="702">
        <v>0.33338608429603839</v>
      </c>
      <c r="Q220" s="681">
        <v>6320</v>
      </c>
    </row>
    <row r="221" spans="1:17" ht="14.4" customHeight="1" x14ac:dyDescent="0.3">
      <c r="A221" s="675" t="s">
        <v>3551</v>
      </c>
      <c r="B221" s="676" t="s">
        <v>3133</v>
      </c>
      <c r="C221" s="676" t="s">
        <v>2244</v>
      </c>
      <c r="D221" s="676" t="s">
        <v>3691</v>
      </c>
      <c r="E221" s="676" t="s">
        <v>3692</v>
      </c>
      <c r="F221" s="680">
        <v>2</v>
      </c>
      <c r="G221" s="680">
        <v>3054</v>
      </c>
      <c r="H221" s="680"/>
      <c r="I221" s="680">
        <v>1527</v>
      </c>
      <c r="J221" s="680"/>
      <c r="K221" s="680"/>
      <c r="L221" s="680"/>
      <c r="M221" s="680"/>
      <c r="N221" s="680">
        <v>1</v>
      </c>
      <c r="O221" s="680">
        <v>1575</v>
      </c>
      <c r="P221" s="702"/>
      <c r="Q221" s="681">
        <v>1575</v>
      </c>
    </row>
    <row r="222" spans="1:17" ht="14.4" customHeight="1" x14ac:dyDescent="0.3">
      <c r="A222" s="675" t="s">
        <v>3551</v>
      </c>
      <c r="B222" s="676" t="s">
        <v>3133</v>
      </c>
      <c r="C222" s="676" t="s">
        <v>2244</v>
      </c>
      <c r="D222" s="676" t="s">
        <v>3693</v>
      </c>
      <c r="E222" s="676" t="s">
        <v>3694</v>
      </c>
      <c r="F222" s="680"/>
      <c r="G222" s="680"/>
      <c r="H222" s="680"/>
      <c r="I222" s="680"/>
      <c r="J222" s="680">
        <v>1</v>
      </c>
      <c r="K222" s="680">
        <v>15260</v>
      </c>
      <c r="L222" s="680">
        <v>1</v>
      </c>
      <c r="M222" s="680">
        <v>15260</v>
      </c>
      <c r="N222" s="680">
        <v>3</v>
      </c>
      <c r="O222" s="680">
        <v>45786</v>
      </c>
      <c r="P222" s="702">
        <v>3.0003931847968546</v>
      </c>
      <c r="Q222" s="681">
        <v>15262</v>
      </c>
    </row>
    <row r="223" spans="1:17" ht="14.4" customHeight="1" x14ac:dyDescent="0.3">
      <c r="A223" s="675" t="s">
        <v>3551</v>
      </c>
      <c r="B223" s="676" t="s">
        <v>3133</v>
      </c>
      <c r="C223" s="676" t="s">
        <v>2244</v>
      </c>
      <c r="D223" s="676" t="s">
        <v>3695</v>
      </c>
      <c r="E223" s="676" t="s">
        <v>3696</v>
      </c>
      <c r="F223" s="680">
        <v>24</v>
      </c>
      <c r="G223" s="680">
        <v>91776</v>
      </c>
      <c r="H223" s="680">
        <v>0.56609918578830498</v>
      </c>
      <c r="I223" s="680">
        <v>3824</v>
      </c>
      <c r="J223" s="680">
        <v>42</v>
      </c>
      <c r="K223" s="680">
        <v>162120</v>
      </c>
      <c r="L223" s="680">
        <v>1</v>
      </c>
      <c r="M223" s="680">
        <v>3860</v>
      </c>
      <c r="N223" s="680">
        <v>25</v>
      </c>
      <c r="O223" s="680">
        <v>96500</v>
      </c>
      <c r="P223" s="702">
        <v>0.59523809523809523</v>
      </c>
      <c r="Q223" s="681">
        <v>3860</v>
      </c>
    </row>
    <row r="224" spans="1:17" ht="14.4" customHeight="1" x14ac:dyDescent="0.3">
      <c r="A224" s="675" t="s">
        <v>3551</v>
      </c>
      <c r="B224" s="676" t="s">
        <v>3133</v>
      </c>
      <c r="C224" s="676" t="s">
        <v>2244</v>
      </c>
      <c r="D224" s="676" t="s">
        <v>3697</v>
      </c>
      <c r="E224" s="676" t="s">
        <v>3698</v>
      </c>
      <c r="F224" s="680">
        <v>3</v>
      </c>
      <c r="G224" s="680">
        <v>15486</v>
      </c>
      <c r="H224" s="680">
        <v>1.4861804222648753</v>
      </c>
      <c r="I224" s="680">
        <v>5162</v>
      </c>
      <c r="J224" s="680">
        <v>2</v>
      </c>
      <c r="K224" s="680">
        <v>10420</v>
      </c>
      <c r="L224" s="680">
        <v>1</v>
      </c>
      <c r="M224" s="680">
        <v>5210</v>
      </c>
      <c r="N224" s="680"/>
      <c r="O224" s="680"/>
      <c r="P224" s="702"/>
      <c r="Q224" s="681"/>
    </row>
    <row r="225" spans="1:17" ht="14.4" customHeight="1" x14ac:dyDescent="0.3">
      <c r="A225" s="675" t="s">
        <v>3551</v>
      </c>
      <c r="B225" s="676" t="s">
        <v>3133</v>
      </c>
      <c r="C225" s="676" t="s">
        <v>2244</v>
      </c>
      <c r="D225" s="676" t="s">
        <v>3699</v>
      </c>
      <c r="E225" s="676" t="s">
        <v>3700</v>
      </c>
      <c r="F225" s="680">
        <v>6</v>
      </c>
      <c r="G225" s="680">
        <v>47118</v>
      </c>
      <c r="H225" s="680">
        <v>0.19178996641904955</v>
      </c>
      <c r="I225" s="680">
        <v>7853</v>
      </c>
      <c r="J225" s="680">
        <v>31</v>
      </c>
      <c r="K225" s="680">
        <v>245675</v>
      </c>
      <c r="L225" s="680">
        <v>1</v>
      </c>
      <c r="M225" s="680">
        <v>7925</v>
      </c>
      <c r="N225" s="680">
        <v>14</v>
      </c>
      <c r="O225" s="680">
        <v>110964</v>
      </c>
      <c r="P225" s="702">
        <v>0.45166988908110306</v>
      </c>
      <c r="Q225" s="681">
        <v>7926</v>
      </c>
    </row>
    <row r="226" spans="1:17" ht="14.4" customHeight="1" x14ac:dyDescent="0.3">
      <c r="A226" s="675" t="s">
        <v>3551</v>
      </c>
      <c r="B226" s="676" t="s">
        <v>3133</v>
      </c>
      <c r="C226" s="676" t="s">
        <v>2244</v>
      </c>
      <c r="D226" s="676" t="s">
        <v>3701</v>
      </c>
      <c r="E226" s="676" t="s">
        <v>3702</v>
      </c>
      <c r="F226" s="680">
        <v>1</v>
      </c>
      <c r="G226" s="680">
        <v>1666</v>
      </c>
      <c r="H226" s="680">
        <v>0.32628280454367409</v>
      </c>
      <c r="I226" s="680">
        <v>1666</v>
      </c>
      <c r="J226" s="680">
        <v>3</v>
      </c>
      <c r="K226" s="680">
        <v>5106</v>
      </c>
      <c r="L226" s="680">
        <v>1</v>
      </c>
      <c r="M226" s="680">
        <v>1702</v>
      </c>
      <c r="N226" s="680">
        <v>1</v>
      </c>
      <c r="O226" s="680">
        <v>1702</v>
      </c>
      <c r="P226" s="702">
        <v>0.33333333333333331</v>
      </c>
      <c r="Q226" s="681">
        <v>1702</v>
      </c>
    </row>
    <row r="227" spans="1:17" ht="14.4" customHeight="1" x14ac:dyDescent="0.3">
      <c r="A227" s="675" t="s">
        <v>3551</v>
      </c>
      <c r="B227" s="676" t="s">
        <v>3133</v>
      </c>
      <c r="C227" s="676" t="s">
        <v>2244</v>
      </c>
      <c r="D227" s="676" t="s">
        <v>3703</v>
      </c>
      <c r="E227" s="676" t="s">
        <v>3704</v>
      </c>
      <c r="F227" s="680">
        <v>39</v>
      </c>
      <c r="G227" s="680">
        <v>49959</v>
      </c>
      <c r="H227" s="680">
        <v>1.3323465877270182</v>
      </c>
      <c r="I227" s="680">
        <v>1281</v>
      </c>
      <c r="J227" s="680">
        <v>29</v>
      </c>
      <c r="K227" s="680">
        <v>37497</v>
      </c>
      <c r="L227" s="680">
        <v>1</v>
      </c>
      <c r="M227" s="680">
        <v>1293</v>
      </c>
      <c r="N227" s="680">
        <v>34</v>
      </c>
      <c r="O227" s="680">
        <v>43996</v>
      </c>
      <c r="P227" s="702">
        <v>1.1733205323092515</v>
      </c>
      <c r="Q227" s="681">
        <v>1294</v>
      </c>
    </row>
    <row r="228" spans="1:17" ht="14.4" customHeight="1" x14ac:dyDescent="0.3">
      <c r="A228" s="675" t="s">
        <v>3551</v>
      </c>
      <c r="B228" s="676" t="s">
        <v>3133</v>
      </c>
      <c r="C228" s="676" t="s">
        <v>2244</v>
      </c>
      <c r="D228" s="676" t="s">
        <v>3705</v>
      </c>
      <c r="E228" s="676" t="s">
        <v>3706</v>
      </c>
      <c r="F228" s="680">
        <v>31</v>
      </c>
      <c r="G228" s="680">
        <v>36177</v>
      </c>
      <c r="H228" s="680">
        <v>1.3363747183332717</v>
      </c>
      <c r="I228" s="680">
        <v>1167</v>
      </c>
      <c r="J228" s="680">
        <v>23</v>
      </c>
      <c r="K228" s="680">
        <v>27071</v>
      </c>
      <c r="L228" s="680">
        <v>1</v>
      </c>
      <c r="M228" s="680">
        <v>1177</v>
      </c>
      <c r="N228" s="680">
        <v>27</v>
      </c>
      <c r="O228" s="680">
        <v>31806</v>
      </c>
      <c r="P228" s="702">
        <v>1.174910420745447</v>
      </c>
      <c r="Q228" s="681">
        <v>1178</v>
      </c>
    </row>
    <row r="229" spans="1:17" ht="14.4" customHeight="1" x14ac:dyDescent="0.3">
      <c r="A229" s="675" t="s">
        <v>3551</v>
      </c>
      <c r="B229" s="676" t="s">
        <v>3133</v>
      </c>
      <c r="C229" s="676" t="s">
        <v>2244</v>
      </c>
      <c r="D229" s="676" t="s">
        <v>3707</v>
      </c>
      <c r="E229" s="676" t="s">
        <v>3708</v>
      </c>
      <c r="F229" s="680">
        <v>3</v>
      </c>
      <c r="G229" s="680">
        <v>15228</v>
      </c>
      <c r="H229" s="680">
        <v>0.36910994764397903</v>
      </c>
      <c r="I229" s="680">
        <v>5076</v>
      </c>
      <c r="J229" s="680">
        <v>8</v>
      </c>
      <c r="K229" s="680">
        <v>41256</v>
      </c>
      <c r="L229" s="680">
        <v>1</v>
      </c>
      <c r="M229" s="680">
        <v>5157</v>
      </c>
      <c r="N229" s="680">
        <v>4</v>
      </c>
      <c r="O229" s="680">
        <v>20628</v>
      </c>
      <c r="P229" s="702">
        <v>0.5</v>
      </c>
      <c r="Q229" s="681">
        <v>5157</v>
      </c>
    </row>
    <row r="230" spans="1:17" ht="14.4" customHeight="1" x14ac:dyDescent="0.3">
      <c r="A230" s="675" t="s">
        <v>3551</v>
      </c>
      <c r="B230" s="676" t="s">
        <v>3133</v>
      </c>
      <c r="C230" s="676" t="s">
        <v>2244</v>
      </c>
      <c r="D230" s="676" t="s">
        <v>3709</v>
      </c>
      <c r="E230" s="676" t="s">
        <v>3710</v>
      </c>
      <c r="F230" s="680"/>
      <c r="G230" s="680"/>
      <c r="H230" s="680"/>
      <c r="I230" s="680"/>
      <c r="J230" s="680">
        <v>1</v>
      </c>
      <c r="K230" s="680">
        <v>5620</v>
      </c>
      <c r="L230" s="680">
        <v>1</v>
      </c>
      <c r="M230" s="680">
        <v>5620</v>
      </c>
      <c r="N230" s="680"/>
      <c r="O230" s="680"/>
      <c r="P230" s="702"/>
      <c r="Q230" s="681"/>
    </row>
    <row r="231" spans="1:17" ht="14.4" customHeight="1" x14ac:dyDescent="0.3">
      <c r="A231" s="675" t="s">
        <v>3551</v>
      </c>
      <c r="B231" s="676" t="s">
        <v>3133</v>
      </c>
      <c r="C231" s="676" t="s">
        <v>2244</v>
      </c>
      <c r="D231" s="676" t="s">
        <v>3711</v>
      </c>
      <c r="E231" s="676" t="s">
        <v>3712</v>
      </c>
      <c r="F231" s="680">
        <v>1</v>
      </c>
      <c r="G231" s="680">
        <v>752</v>
      </c>
      <c r="H231" s="680">
        <v>0.94</v>
      </c>
      <c r="I231" s="680">
        <v>752</v>
      </c>
      <c r="J231" s="680">
        <v>1</v>
      </c>
      <c r="K231" s="680">
        <v>800</v>
      </c>
      <c r="L231" s="680">
        <v>1</v>
      </c>
      <c r="M231" s="680">
        <v>800</v>
      </c>
      <c r="N231" s="680">
        <v>4</v>
      </c>
      <c r="O231" s="680">
        <v>3204</v>
      </c>
      <c r="P231" s="702">
        <v>4.0049999999999999</v>
      </c>
      <c r="Q231" s="681">
        <v>801</v>
      </c>
    </row>
    <row r="232" spans="1:17" ht="14.4" customHeight="1" x14ac:dyDescent="0.3">
      <c r="A232" s="675" t="s">
        <v>3551</v>
      </c>
      <c r="B232" s="676" t="s">
        <v>3133</v>
      </c>
      <c r="C232" s="676" t="s">
        <v>2244</v>
      </c>
      <c r="D232" s="676" t="s">
        <v>3713</v>
      </c>
      <c r="E232" s="676" t="s">
        <v>3714</v>
      </c>
      <c r="F232" s="680">
        <v>438</v>
      </c>
      <c r="G232" s="680">
        <v>76650</v>
      </c>
      <c r="H232" s="680">
        <v>0.8170770706747682</v>
      </c>
      <c r="I232" s="680">
        <v>175</v>
      </c>
      <c r="J232" s="680">
        <v>530</v>
      </c>
      <c r="K232" s="680">
        <v>93810</v>
      </c>
      <c r="L232" s="680">
        <v>1</v>
      </c>
      <c r="M232" s="680">
        <v>177</v>
      </c>
      <c r="N232" s="680">
        <v>525</v>
      </c>
      <c r="O232" s="680">
        <v>92925</v>
      </c>
      <c r="P232" s="702">
        <v>0.99056603773584906</v>
      </c>
      <c r="Q232" s="681">
        <v>177</v>
      </c>
    </row>
    <row r="233" spans="1:17" ht="14.4" customHeight="1" x14ac:dyDescent="0.3">
      <c r="A233" s="675" t="s">
        <v>3551</v>
      </c>
      <c r="B233" s="676" t="s">
        <v>3133</v>
      </c>
      <c r="C233" s="676" t="s">
        <v>2244</v>
      </c>
      <c r="D233" s="676" t="s">
        <v>3715</v>
      </c>
      <c r="E233" s="676" t="s">
        <v>3716</v>
      </c>
      <c r="F233" s="680">
        <v>29</v>
      </c>
      <c r="G233" s="680">
        <v>58029</v>
      </c>
      <c r="H233" s="680">
        <v>0.57825454400510201</v>
      </c>
      <c r="I233" s="680">
        <v>2001</v>
      </c>
      <c r="J233" s="680">
        <v>49</v>
      </c>
      <c r="K233" s="680">
        <v>100352</v>
      </c>
      <c r="L233" s="680">
        <v>1</v>
      </c>
      <c r="M233" s="680">
        <v>2048</v>
      </c>
      <c r="N233" s="680">
        <v>36</v>
      </c>
      <c r="O233" s="680">
        <v>73764</v>
      </c>
      <c r="P233" s="702">
        <v>0.73505261479591832</v>
      </c>
      <c r="Q233" s="681">
        <v>2049</v>
      </c>
    </row>
    <row r="234" spans="1:17" ht="14.4" customHeight="1" x14ac:dyDescent="0.3">
      <c r="A234" s="675" t="s">
        <v>3551</v>
      </c>
      <c r="B234" s="676" t="s">
        <v>3133</v>
      </c>
      <c r="C234" s="676" t="s">
        <v>2244</v>
      </c>
      <c r="D234" s="676" t="s">
        <v>3717</v>
      </c>
      <c r="E234" s="676" t="s">
        <v>3718</v>
      </c>
      <c r="F234" s="680">
        <v>2</v>
      </c>
      <c r="G234" s="680">
        <v>5392</v>
      </c>
      <c r="H234" s="680">
        <v>1.9707602339181287</v>
      </c>
      <c r="I234" s="680">
        <v>2696</v>
      </c>
      <c r="J234" s="680">
        <v>1</v>
      </c>
      <c r="K234" s="680">
        <v>2736</v>
      </c>
      <c r="L234" s="680">
        <v>1</v>
      </c>
      <c r="M234" s="680">
        <v>2736</v>
      </c>
      <c r="N234" s="680">
        <v>1</v>
      </c>
      <c r="O234" s="680">
        <v>2737</v>
      </c>
      <c r="P234" s="702">
        <v>1.0003654970760234</v>
      </c>
      <c r="Q234" s="681">
        <v>2737</v>
      </c>
    </row>
    <row r="235" spans="1:17" ht="14.4" customHeight="1" x14ac:dyDescent="0.3">
      <c r="A235" s="675" t="s">
        <v>3551</v>
      </c>
      <c r="B235" s="676" t="s">
        <v>3133</v>
      </c>
      <c r="C235" s="676" t="s">
        <v>2244</v>
      </c>
      <c r="D235" s="676" t="s">
        <v>3719</v>
      </c>
      <c r="E235" s="676" t="s">
        <v>3720</v>
      </c>
      <c r="F235" s="680">
        <v>1</v>
      </c>
      <c r="G235" s="680">
        <v>5188</v>
      </c>
      <c r="H235" s="680"/>
      <c r="I235" s="680">
        <v>5188</v>
      </c>
      <c r="J235" s="680"/>
      <c r="K235" s="680"/>
      <c r="L235" s="680"/>
      <c r="M235" s="680"/>
      <c r="N235" s="680"/>
      <c r="O235" s="680"/>
      <c r="P235" s="702"/>
      <c r="Q235" s="681"/>
    </row>
    <row r="236" spans="1:17" ht="14.4" customHeight="1" x14ac:dyDescent="0.3">
      <c r="A236" s="675" t="s">
        <v>3551</v>
      </c>
      <c r="B236" s="676" t="s">
        <v>3133</v>
      </c>
      <c r="C236" s="676" t="s">
        <v>2244</v>
      </c>
      <c r="D236" s="676" t="s">
        <v>3721</v>
      </c>
      <c r="E236" s="676" t="s">
        <v>3722</v>
      </c>
      <c r="F236" s="680">
        <v>6</v>
      </c>
      <c r="G236" s="680">
        <v>3972</v>
      </c>
      <c r="H236" s="680">
        <v>2.9465875370919883</v>
      </c>
      <c r="I236" s="680">
        <v>662</v>
      </c>
      <c r="J236" s="680">
        <v>2</v>
      </c>
      <c r="K236" s="680">
        <v>1348</v>
      </c>
      <c r="L236" s="680">
        <v>1</v>
      </c>
      <c r="M236" s="680">
        <v>674</v>
      </c>
      <c r="N236" s="680">
        <v>2</v>
      </c>
      <c r="O236" s="680">
        <v>1350</v>
      </c>
      <c r="P236" s="702">
        <v>1.0014836795252227</v>
      </c>
      <c r="Q236" s="681">
        <v>675</v>
      </c>
    </row>
    <row r="237" spans="1:17" ht="14.4" customHeight="1" x14ac:dyDescent="0.3">
      <c r="A237" s="675" t="s">
        <v>3551</v>
      </c>
      <c r="B237" s="676" t="s">
        <v>3133</v>
      </c>
      <c r="C237" s="676" t="s">
        <v>2244</v>
      </c>
      <c r="D237" s="676" t="s">
        <v>3723</v>
      </c>
      <c r="E237" s="676" t="s">
        <v>3724</v>
      </c>
      <c r="F237" s="680">
        <v>3</v>
      </c>
      <c r="G237" s="680">
        <v>6246</v>
      </c>
      <c r="H237" s="680">
        <v>0.98532891623284424</v>
      </c>
      <c r="I237" s="680">
        <v>2082</v>
      </c>
      <c r="J237" s="680">
        <v>3</v>
      </c>
      <c r="K237" s="680">
        <v>6339</v>
      </c>
      <c r="L237" s="680">
        <v>1</v>
      </c>
      <c r="M237" s="680">
        <v>2113</v>
      </c>
      <c r="N237" s="680">
        <v>1</v>
      </c>
      <c r="O237" s="680">
        <v>2113</v>
      </c>
      <c r="P237" s="702">
        <v>0.33333333333333331</v>
      </c>
      <c r="Q237" s="681">
        <v>2113</v>
      </c>
    </row>
    <row r="238" spans="1:17" ht="14.4" customHeight="1" x14ac:dyDescent="0.3">
      <c r="A238" s="675" t="s">
        <v>3551</v>
      </c>
      <c r="B238" s="676" t="s">
        <v>3133</v>
      </c>
      <c r="C238" s="676" t="s">
        <v>2244</v>
      </c>
      <c r="D238" s="676" t="s">
        <v>3725</v>
      </c>
      <c r="E238" s="676" t="s">
        <v>3726</v>
      </c>
      <c r="F238" s="680">
        <v>3</v>
      </c>
      <c r="G238" s="680">
        <v>453</v>
      </c>
      <c r="H238" s="680">
        <v>0.22481389578163771</v>
      </c>
      <c r="I238" s="680">
        <v>151</v>
      </c>
      <c r="J238" s="680">
        <v>13</v>
      </c>
      <c r="K238" s="680">
        <v>2015</v>
      </c>
      <c r="L238" s="680">
        <v>1</v>
      </c>
      <c r="M238" s="680">
        <v>155</v>
      </c>
      <c r="N238" s="680">
        <v>1</v>
      </c>
      <c r="O238" s="680">
        <v>155</v>
      </c>
      <c r="P238" s="702">
        <v>7.6923076923076927E-2</v>
      </c>
      <c r="Q238" s="681">
        <v>155</v>
      </c>
    </row>
    <row r="239" spans="1:17" ht="14.4" customHeight="1" x14ac:dyDescent="0.3">
      <c r="A239" s="675" t="s">
        <v>3551</v>
      </c>
      <c r="B239" s="676" t="s">
        <v>3133</v>
      </c>
      <c r="C239" s="676" t="s">
        <v>2244</v>
      </c>
      <c r="D239" s="676" t="s">
        <v>3727</v>
      </c>
      <c r="E239" s="676" t="s">
        <v>3728</v>
      </c>
      <c r="F239" s="680">
        <v>2</v>
      </c>
      <c r="G239" s="680">
        <v>390</v>
      </c>
      <c r="H239" s="680">
        <v>0.65326633165829151</v>
      </c>
      <c r="I239" s="680">
        <v>195</v>
      </c>
      <c r="J239" s="680">
        <v>3</v>
      </c>
      <c r="K239" s="680">
        <v>597</v>
      </c>
      <c r="L239" s="680">
        <v>1</v>
      </c>
      <c r="M239" s="680">
        <v>199</v>
      </c>
      <c r="N239" s="680"/>
      <c r="O239" s="680"/>
      <c r="P239" s="702"/>
      <c r="Q239" s="681"/>
    </row>
    <row r="240" spans="1:17" ht="14.4" customHeight="1" x14ac:dyDescent="0.3">
      <c r="A240" s="675" t="s">
        <v>3551</v>
      </c>
      <c r="B240" s="676" t="s">
        <v>3133</v>
      </c>
      <c r="C240" s="676" t="s">
        <v>2244</v>
      </c>
      <c r="D240" s="676" t="s">
        <v>3729</v>
      </c>
      <c r="E240" s="676" t="s">
        <v>3730</v>
      </c>
      <c r="F240" s="680">
        <v>172</v>
      </c>
      <c r="G240" s="680">
        <v>34400</v>
      </c>
      <c r="H240" s="680">
        <v>0.51099227569815808</v>
      </c>
      <c r="I240" s="680">
        <v>200</v>
      </c>
      <c r="J240" s="680">
        <v>330</v>
      </c>
      <c r="K240" s="680">
        <v>67320</v>
      </c>
      <c r="L240" s="680">
        <v>1</v>
      </c>
      <c r="M240" s="680">
        <v>204</v>
      </c>
      <c r="N240" s="680">
        <v>196</v>
      </c>
      <c r="O240" s="680">
        <v>39984</v>
      </c>
      <c r="P240" s="702">
        <v>0.59393939393939399</v>
      </c>
      <c r="Q240" s="681">
        <v>204</v>
      </c>
    </row>
    <row r="241" spans="1:17" ht="14.4" customHeight="1" x14ac:dyDescent="0.3">
      <c r="A241" s="675" t="s">
        <v>3551</v>
      </c>
      <c r="B241" s="676" t="s">
        <v>3133</v>
      </c>
      <c r="C241" s="676" t="s">
        <v>2244</v>
      </c>
      <c r="D241" s="676" t="s">
        <v>3731</v>
      </c>
      <c r="E241" s="676" t="s">
        <v>3732</v>
      </c>
      <c r="F241" s="680">
        <v>16</v>
      </c>
      <c r="G241" s="680">
        <v>6688</v>
      </c>
      <c r="H241" s="680">
        <v>3.924882629107981</v>
      </c>
      <c r="I241" s="680">
        <v>418</v>
      </c>
      <c r="J241" s="680">
        <v>4</v>
      </c>
      <c r="K241" s="680">
        <v>1704</v>
      </c>
      <c r="L241" s="680">
        <v>1</v>
      </c>
      <c r="M241" s="680">
        <v>426</v>
      </c>
      <c r="N241" s="680">
        <v>4</v>
      </c>
      <c r="O241" s="680">
        <v>1704</v>
      </c>
      <c r="P241" s="702">
        <v>1</v>
      </c>
      <c r="Q241" s="681">
        <v>426</v>
      </c>
    </row>
    <row r="242" spans="1:17" ht="14.4" customHeight="1" x14ac:dyDescent="0.3">
      <c r="A242" s="675" t="s">
        <v>3551</v>
      </c>
      <c r="B242" s="676" t="s">
        <v>3133</v>
      </c>
      <c r="C242" s="676" t="s">
        <v>2244</v>
      </c>
      <c r="D242" s="676" t="s">
        <v>3733</v>
      </c>
      <c r="E242" s="676" t="s">
        <v>3734</v>
      </c>
      <c r="F242" s="680"/>
      <c r="G242" s="680"/>
      <c r="H242" s="680"/>
      <c r="I242" s="680"/>
      <c r="J242" s="680"/>
      <c r="K242" s="680"/>
      <c r="L242" s="680"/>
      <c r="M242" s="680"/>
      <c r="N242" s="680">
        <v>2</v>
      </c>
      <c r="O242" s="680">
        <v>326</v>
      </c>
      <c r="P242" s="702"/>
      <c r="Q242" s="681">
        <v>163</v>
      </c>
    </row>
    <row r="243" spans="1:17" ht="14.4" customHeight="1" x14ac:dyDescent="0.3">
      <c r="A243" s="675" t="s">
        <v>3551</v>
      </c>
      <c r="B243" s="676" t="s">
        <v>3133</v>
      </c>
      <c r="C243" s="676" t="s">
        <v>2244</v>
      </c>
      <c r="D243" s="676" t="s">
        <v>3735</v>
      </c>
      <c r="E243" s="676" t="s">
        <v>3736</v>
      </c>
      <c r="F243" s="680">
        <v>7</v>
      </c>
      <c r="G243" s="680">
        <v>2996</v>
      </c>
      <c r="H243" s="680">
        <v>2.2905198776758411</v>
      </c>
      <c r="I243" s="680">
        <v>428</v>
      </c>
      <c r="J243" s="680">
        <v>3</v>
      </c>
      <c r="K243" s="680">
        <v>1308</v>
      </c>
      <c r="L243" s="680">
        <v>1</v>
      </c>
      <c r="M243" s="680">
        <v>436</v>
      </c>
      <c r="N243" s="680"/>
      <c r="O243" s="680"/>
      <c r="P243" s="702"/>
      <c r="Q243" s="681"/>
    </row>
    <row r="244" spans="1:17" ht="14.4" customHeight="1" x14ac:dyDescent="0.3">
      <c r="A244" s="675" t="s">
        <v>3551</v>
      </c>
      <c r="B244" s="676" t="s">
        <v>3133</v>
      </c>
      <c r="C244" s="676" t="s">
        <v>2244</v>
      </c>
      <c r="D244" s="676" t="s">
        <v>3737</v>
      </c>
      <c r="E244" s="676" t="s">
        <v>3738</v>
      </c>
      <c r="F244" s="680">
        <v>36</v>
      </c>
      <c r="G244" s="680">
        <v>76428</v>
      </c>
      <c r="H244" s="680">
        <v>0.40320334261838442</v>
      </c>
      <c r="I244" s="680">
        <v>2123</v>
      </c>
      <c r="J244" s="680">
        <v>88</v>
      </c>
      <c r="K244" s="680">
        <v>189552</v>
      </c>
      <c r="L244" s="680">
        <v>1</v>
      </c>
      <c r="M244" s="680">
        <v>2154</v>
      </c>
      <c r="N244" s="680">
        <v>74</v>
      </c>
      <c r="O244" s="680">
        <v>159470</v>
      </c>
      <c r="P244" s="702">
        <v>0.84129948510171348</v>
      </c>
      <c r="Q244" s="681">
        <v>2155</v>
      </c>
    </row>
    <row r="245" spans="1:17" ht="14.4" customHeight="1" x14ac:dyDescent="0.3">
      <c r="A245" s="675" t="s">
        <v>3551</v>
      </c>
      <c r="B245" s="676" t="s">
        <v>3133</v>
      </c>
      <c r="C245" s="676" t="s">
        <v>2244</v>
      </c>
      <c r="D245" s="676" t="s">
        <v>3739</v>
      </c>
      <c r="E245" s="676" t="s">
        <v>3696</v>
      </c>
      <c r="F245" s="680">
        <v>33</v>
      </c>
      <c r="G245" s="680">
        <v>61677</v>
      </c>
      <c r="H245" s="680">
        <v>0.64054710867397802</v>
      </c>
      <c r="I245" s="680">
        <v>1869</v>
      </c>
      <c r="J245" s="680">
        <v>51</v>
      </c>
      <c r="K245" s="680">
        <v>96288</v>
      </c>
      <c r="L245" s="680">
        <v>1</v>
      </c>
      <c r="M245" s="680">
        <v>1888</v>
      </c>
      <c r="N245" s="680">
        <v>37</v>
      </c>
      <c r="O245" s="680">
        <v>69893</v>
      </c>
      <c r="P245" s="702">
        <v>0.72587445995347288</v>
      </c>
      <c r="Q245" s="681">
        <v>1889</v>
      </c>
    </row>
    <row r="246" spans="1:17" ht="14.4" customHeight="1" x14ac:dyDescent="0.3">
      <c r="A246" s="675" t="s">
        <v>3551</v>
      </c>
      <c r="B246" s="676" t="s">
        <v>3133</v>
      </c>
      <c r="C246" s="676" t="s">
        <v>2244</v>
      </c>
      <c r="D246" s="676" t="s">
        <v>3740</v>
      </c>
      <c r="E246" s="676" t="s">
        <v>3741</v>
      </c>
      <c r="F246" s="680">
        <v>3</v>
      </c>
      <c r="G246" s="680">
        <v>2751</v>
      </c>
      <c r="H246" s="680">
        <v>0.98285101822079313</v>
      </c>
      <c r="I246" s="680">
        <v>917</v>
      </c>
      <c r="J246" s="680">
        <v>3</v>
      </c>
      <c r="K246" s="680">
        <v>2799</v>
      </c>
      <c r="L246" s="680">
        <v>1</v>
      </c>
      <c r="M246" s="680">
        <v>933</v>
      </c>
      <c r="N246" s="680">
        <v>1</v>
      </c>
      <c r="O246" s="680">
        <v>934</v>
      </c>
      <c r="P246" s="702">
        <v>0.33369060378706683</v>
      </c>
      <c r="Q246" s="681">
        <v>934</v>
      </c>
    </row>
    <row r="247" spans="1:17" ht="14.4" customHeight="1" x14ac:dyDescent="0.3">
      <c r="A247" s="675" t="s">
        <v>3551</v>
      </c>
      <c r="B247" s="676" t="s">
        <v>3133</v>
      </c>
      <c r="C247" s="676" t="s">
        <v>2244</v>
      </c>
      <c r="D247" s="676" t="s">
        <v>3742</v>
      </c>
      <c r="E247" s="676" t="s">
        <v>3743</v>
      </c>
      <c r="F247" s="680">
        <v>20</v>
      </c>
      <c r="G247" s="680">
        <v>167980</v>
      </c>
      <c r="H247" s="680">
        <v>0.68476342275723467</v>
      </c>
      <c r="I247" s="680">
        <v>8399</v>
      </c>
      <c r="J247" s="680">
        <v>29</v>
      </c>
      <c r="K247" s="680">
        <v>245311</v>
      </c>
      <c r="L247" s="680">
        <v>1</v>
      </c>
      <c r="M247" s="680">
        <v>8459</v>
      </c>
      <c r="N247" s="680">
        <v>21</v>
      </c>
      <c r="O247" s="680">
        <v>177660</v>
      </c>
      <c r="P247" s="702">
        <v>0.7242235366534725</v>
      </c>
      <c r="Q247" s="681">
        <v>8460</v>
      </c>
    </row>
    <row r="248" spans="1:17" ht="14.4" customHeight="1" x14ac:dyDescent="0.3">
      <c r="A248" s="675" t="s">
        <v>3551</v>
      </c>
      <c r="B248" s="676" t="s">
        <v>3133</v>
      </c>
      <c r="C248" s="676" t="s">
        <v>2244</v>
      </c>
      <c r="D248" s="676" t="s">
        <v>3744</v>
      </c>
      <c r="E248" s="676" t="s">
        <v>3745</v>
      </c>
      <c r="F248" s="680"/>
      <c r="G248" s="680"/>
      <c r="H248" s="680"/>
      <c r="I248" s="680"/>
      <c r="J248" s="680">
        <v>2</v>
      </c>
      <c r="K248" s="680">
        <v>4106</v>
      </c>
      <c r="L248" s="680">
        <v>1</v>
      </c>
      <c r="M248" s="680">
        <v>2053</v>
      </c>
      <c r="N248" s="680">
        <v>1</v>
      </c>
      <c r="O248" s="680">
        <v>2053</v>
      </c>
      <c r="P248" s="702">
        <v>0.5</v>
      </c>
      <c r="Q248" s="681">
        <v>2053</v>
      </c>
    </row>
    <row r="249" spans="1:17" ht="14.4" customHeight="1" x14ac:dyDescent="0.3">
      <c r="A249" s="675" t="s">
        <v>3746</v>
      </c>
      <c r="B249" s="676" t="s">
        <v>3747</v>
      </c>
      <c r="C249" s="676" t="s">
        <v>2244</v>
      </c>
      <c r="D249" s="676" t="s">
        <v>3748</v>
      </c>
      <c r="E249" s="676" t="s">
        <v>3749</v>
      </c>
      <c r="F249" s="680">
        <v>629</v>
      </c>
      <c r="G249" s="680">
        <v>129574</v>
      </c>
      <c r="H249" s="680">
        <v>1.071718650488408</v>
      </c>
      <c r="I249" s="680">
        <v>206</v>
      </c>
      <c r="J249" s="680">
        <v>573</v>
      </c>
      <c r="K249" s="680">
        <v>120903</v>
      </c>
      <c r="L249" s="680">
        <v>1</v>
      </c>
      <c r="M249" s="680">
        <v>211</v>
      </c>
      <c r="N249" s="680">
        <v>663</v>
      </c>
      <c r="O249" s="680">
        <v>139893</v>
      </c>
      <c r="P249" s="702">
        <v>1.1570680628272252</v>
      </c>
      <c r="Q249" s="681">
        <v>211</v>
      </c>
    </row>
    <row r="250" spans="1:17" ht="14.4" customHeight="1" x14ac:dyDescent="0.3">
      <c r="A250" s="675" t="s">
        <v>3746</v>
      </c>
      <c r="B250" s="676" t="s">
        <v>3747</v>
      </c>
      <c r="C250" s="676" t="s">
        <v>2244</v>
      </c>
      <c r="D250" s="676" t="s">
        <v>3750</v>
      </c>
      <c r="E250" s="676" t="s">
        <v>3749</v>
      </c>
      <c r="F250" s="680">
        <v>2</v>
      </c>
      <c r="G250" s="680">
        <v>170</v>
      </c>
      <c r="H250" s="680">
        <v>1.9540229885057472</v>
      </c>
      <c r="I250" s="680">
        <v>85</v>
      </c>
      <c r="J250" s="680">
        <v>1</v>
      </c>
      <c r="K250" s="680">
        <v>87</v>
      </c>
      <c r="L250" s="680">
        <v>1</v>
      </c>
      <c r="M250" s="680">
        <v>87</v>
      </c>
      <c r="N250" s="680"/>
      <c r="O250" s="680"/>
      <c r="P250" s="702"/>
      <c r="Q250" s="681"/>
    </row>
    <row r="251" spans="1:17" ht="14.4" customHeight="1" x14ac:dyDescent="0.3">
      <c r="A251" s="675" t="s">
        <v>3746</v>
      </c>
      <c r="B251" s="676" t="s">
        <v>3747</v>
      </c>
      <c r="C251" s="676" t="s">
        <v>2244</v>
      </c>
      <c r="D251" s="676" t="s">
        <v>3751</v>
      </c>
      <c r="E251" s="676" t="s">
        <v>3752</v>
      </c>
      <c r="F251" s="680">
        <v>357</v>
      </c>
      <c r="G251" s="680">
        <v>105315</v>
      </c>
      <c r="H251" s="680">
        <v>0.83107772192454288</v>
      </c>
      <c r="I251" s="680">
        <v>295</v>
      </c>
      <c r="J251" s="680">
        <v>421</v>
      </c>
      <c r="K251" s="680">
        <v>126721</v>
      </c>
      <c r="L251" s="680">
        <v>1</v>
      </c>
      <c r="M251" s="680">
        <v>301</v>
      </c>
      <c r="N251" s="680">
        <v>426</v>
      </c>
      <c r="O251" s="680">
        <v>128226</v>
      </c>
      <c r="P251" s="702">
        <v>1.0118764845605701</v>
      </c>
      <c r="Q251" s="681">
        <v>301</v>
      </c>
    </row>
    <row r="252" spans="1:17" ht="14.4" customHeight="1" x14ac:dyDescent="0.3">
      <c r="A252" s="675" t="s">
        <v>3746</v>
      </c>
      <c r="B252" s="676" t="s">
        <v>3747</v>
      </c>
      <c r="C252" s="676" t="s">
        <v>2244</v>
      </c>
      <c r="D252" s="676" t="s">
        <v>3753</v>
      </c>
      <c r="E252" s="676" t="s">
        <v>3754</v>
      </c>
      <c r="F252" s="680">
        <v>8</v>
      </c>
      <c r="G252" s="680">
        <v>760</v>
      </c>
      <c r="H252" s="680">
        <v>1.2794612794612794</v>
      </c>
      <c r="I252" s="680">
        <v>95</v>
      </c>
      <c r="J252" s="680">
        <v>6</v>
      </c>
      <c r="K252" s="680">
        <v>594</v>
      </c>
      <c r="L252" s="680">
        <v>1</v>
      </c>
      <c r="M252" s="680">
        <v>99</v>
      </c>
      <c r="N252" s="680"/>
      <c r="O252" s="680"/>
      <c r="P252" s="702"/>
      <c r="Q252" s="681"/>
    </row>
    <row r="253" spans="1:17" ht="14.4" customHeight="1" x14ac:dyDescent="0.3">
      <c r="A253" s="675" t="s">
        <v>3746</v>
      </c>
      <c r="B253" s="676" t="s">
        <v>3747</v>
      </c>
      <c r="C253" s="676" t="s">
        <v>2244</v>
      </c>
      <c r="D253" s="676" t="s">
        <v>3755</v>
      </c>
      <c r="E253" s="676" t="s">
        <v>3756</v>
      </c>
      <c r="F253" s="680">
        <v>108</v>
      </c>
      <c r="G253" s="680">
        <v>14580</v>
      </c>
      <c r="H253" s="680">
        <v>1.3138686131386861</v>
      </c>
      <c r="I253" s="680">
        <v>135</v>
      </c>
      <c r="J253" s="680">
        <v>81</v>
      </c>
      <c r="K253" s="680">
        <v>11097</v>
      </c>
      <c r="L253" s="680">
        <v>1</v>
      </c>
      <c r="M253" s="680">
        <v>137</v>
      </c>
      <c r="N253" s="680">
        <v>115</v>
      </c>
      <c r="O253" s="680">
        <v>15755</v>
      </c>
      <c r="P253" s="702">
        <v>1.4197530864197532</v>
      </c>
      <c r="Q253" s="681">
        <v>137</v>
      </c>
    </row>
    <row r="254" spans="1:17" ht="14.4" customHeight="1" x14ac:dyDescent="0.3">
      <c r="A254" s="675" t="s">
        <v>3746</v>
      </c>
      <c r="B254" s="676" t="s">
        <v>3747</v>
      </c>
      <c r="C254" s="676" t="s">
        <v>2244</v>
      </c>
      <c r="D254" s="676" t="s">
        <v>3757</v>
      </c>
      <c r="E254" s="676" t="s">
        <v>3756</v>
      </c>
      <c r="F254" s="680">
        <v>1</v>
      </c>
      <c r="G254" s="680">
        <v>178</v>
      </c>
      <c r="H254" s="680">
        <v>0.97267759562841527</v>
      </c>
      <c r="I254" s="680">
        <v>178</v>
      </c>
      <c r="J254" s="680">
        <v>1</v>
      </c>
      <c r="K254" s="680">
        <v>183</v>
      </c>
      <c r="L254" s="680">
        <v>1</v>
      </c>
      <c r="M254" s="680">
        <v>183</v>
      </c>
      <c r="N254" s="680"/>
      <c r="O254" s="680"/>
      <c r="P254" s="702"/>
      <c r="Q254" s="681"/>
    </row>
    <row r="255" spans="1:17" ht="14.4" customHeight="1" x14ac:dyDescent="0.3">
      <c r="A255" s="675" t="s">
        <v>3746</v>
      </c>
      <c r="B255" s="676" t="s">
        <v>3747</v>
      </c>
      <c r="C255" s="676" t="s">
        <v>2244</v>
      </c>
      <c r="D255" s="676" t="s">
        <v>3758</v>
      </c>
      <c r="E255" s="676" t="s">
        <v>3759</v>
      </c>
      <c r="F255" s="680"/>
      <c r="G255" s="680"/>
      <c r="H255" s="680"/>
      <c r="I255" s="680"/>
      <c r="J255" s="680">
        <v>1</v>
      </c>
      <c r="K255" s="680">
        <v>608</v>
      </c>
      <c r="L255" s="680">
        <v>1</v>
      </c>
      <c r="M255" s="680">
        <v>608</v>
      </c>
      <c r="N255" s="680"/>
      <c r="O255" s="680"/>
      <c r="P255" s="702"/>
      <c r="Q255" s="681"/>
    </row>
    <row r="256" spans="1:17" ht="14.4" customHeight="1" x14ac:dyDescent="0.3">
      <c r="A256" s="675" t="s">
        <v>3746</v>
      </c>
      <c r="B256" s="676" t="s">
        <v>3747</v>
      </c>
      <c r="C256" s="676" t="s">
        <v>2244</v>
      </c>
      <c r="D256" s="676" t="s">
        <v>3760</v>
      </c>
      <c r="E256" s="676" t="s">
        <v>3761</v>
      </c>
      <c r="F256" s="680">
        <v>9</v>
      </c>
      <c r="G256" s="680">
        <v>1449</v>
      </c>
      <c r="H256" s="680">
        <v>0.76142932212296377</v>
      </c>
      <c r="I256" s="680">
        <v>161</v>
      </c>
      <c r="J256" s="680">
        <v>11</v>
      </c>
      <c r="K256" s="680">
        <v>1903</v>
      </c>
      <c r="L256" s="680">
        <v>1</v>
      </c>
      <c r="M256" s="680">
        <v>173</v>
      </c>
      <c r="N256" s="680">
        <v>15</v>
      </c>
      <c r="O256" s="680">
        <v>2595</v>
      </c>
      <c r="P256" s="702">
        <v>1.3636363636363635</v>
      </c>
      <c r="Q256" s="681">
        <v>173</v>
      </c>
    </row>
    <row r="257" spans="1:17" ht="14.4" customHeight="1" x14ac:dyDescent="0.3">
      <c r="A257" s="675" t="s">
        <v>3746</v>
      </c>
      <c r="B257" s="676" t="s">
        <v>3747</v>
      </c>
      <c r="C257" s="676" t="s">
        <v>2244</v>
      </c>
      <c r="D257" s="676" t="s">
        <v>3762</v>
      </c>
      <c r="E257" s="676" t="s">
        <v>3763</v>
      </c>
      <c r="F257" s="680">
        <v>1</v>
      </c>
      <c r="G257" s="680">
        <v>383</v>
      </c>
      <c r="H257" s="680"/>
      <c r="I257" s="680">
        <v>383</v>
      </c>
      <c r="J257" s="680"/>
      <c r="K257" s="680"/>
      <c r="L257" s="680"/>
      <c r="M257" s="680"/>
      <c r="N257" s="680"/>
      <c r="O257" s="680"/>
      <c r="P257" s="702"/>
      <c r="Q257" s="681"/>
    </row>
    <row r="258" spans="1:17" ht="14.4" customHeight="1" x14ac:dyDescent="0.3">
      <c r="A258" s="675" t="s">
        <v>3746</v>
      </c>
      <c r="B258" s="676" t="s">
        <v>3747</v>
      </c>
      <c r="C258" s="676" t="s">
        <v>2244</v>
      </c>
      <c r="D258" s="676" t="s">
        <v>3764</v>
      </c>
      <c r="E258" s="676" t="s">
        <v>3765</v>
      </c>
      <c r="F258" s="680">
        <v>79</v>
      </c>
      <c r="G258" s="680">
        <v>21014</v>
      </c>
      <c r="H258" s="680">
        <v>1.1842209072978305</v>
      </c>
      <c r="I258" s="680">
        <v>266</v>
      </c>
      <c r="J258" s="680">
        <v>65</v>
      </c>
      <c r="K258" s="680">
        <v>17745</v>
      </c>
      <c r="L258" s="680">
        <v>1</v>
      </c>
      <c r="M258" s="680">
        <v>273</v>
      </c>
      <c r="N258" s="680"/>
      <c r="O258" s="680"/>
      <c r="P258" s="702"/>
      <c r="Q258" s="681"/>
    </row>
    <row r="259" spans="1:17" ht="14.4" customHeight="1" x14ac:dyDescent="0.3">
      <c r="A259" s="675" t="s">
        <v>3746</v>
      </c>
      <c r="B259" s="676" t="s">
        <v>3747</v>
      </c>
      <c r="C259" s="676" t="s">
        <v>2244</v>
      </c>
      <c r="D259" s="676" t="s">
        <v>3766</v>
      </c>
      <c r="E259" s="676" t="s">
        <v>3767</v>
      </c>
      <c r="F259" s="680">
        <v>156</v>
      </c>
      <c r="G259" s="680">
        <v>21996</v>
      </c>
      <c r="H259" s="680">
        <v>1.0832266325224071</v>
      </c>
      <c r="I259" s="680">
        <v>141</v>
      </c>
      <c r="J259" s="680">
        <v>143</v>
      </c>
      <c r="K259" s="680">
        <v>20306</v>
      </c>
      <c r="L259" s="680">
        <v>1</v>
      </c>
      <c r="M259" s="680">
        <v>142</v>
      </c>
      <c r="N259" s="680">
        <v>173</v>
      </c>
      <c r="O259" s="680">
        <v>24566</v>
      </c>
      <c r="P259" s="702">
        <v>1.2097902097902098</v>
      </c>
      <c r="Q259" s="681">
        <v>142</v>
      </c>
    </row>
    <row r="260" spans="1:17" ht="14.4" customHeight="1" x14ac:dyDescent="0.3">
      <c r="A260" s="675" t="s">
        <v>3746</v>
      </c>
      <c r="B260" s="676" t="s">
        <v>3747</v>
      </c>
      <c r="C260" s="676" t="s">
        <v>2244</v>
      </c>
      <c r="D260" s="676" t="s">
        <v>3768</v>
      </c>
      <c r="E260" s="676" t="s">
        <v>3767</v>
      </c>
      <c r="F260" s="680">
        <v>108</v>
      </c>
      <c r="G260" s="680">
        <v>8424</v>
      </c>
      <c r="H260" s="680">
        <v>1.3333333333333333</v>
      </c>
      <c r="I260" s="680">
        <v>78</v>
      </c>
      <c r="J260" s="680">
        <v>81</v>
      </c>
      <c r="K260" s="680">
        <v>6318</v>
      </c>
      <c r="L260" s="680">
        <v>1</v>
      </c>
      <c r="M260" s="680">
        <v>78</v>
      </c>
      <c r="N260" s="680">
        <v>115</v>
      </c>
      <c r="O260" s="680">
        <v>8970</v>
      </c>
      <c r="P260" s="702">
        <v>1.4197530864197532</v>
      </c>
      <c r="Q260" s="681">
        <v>78</v>
      </c>
    </row>
    <row r="261" spans="1:17" ht="14.4" customHeight="1" x14ac:dyDescent="0.3">
      <c r="A261" s="675" t="s">
        <v>3746</v>
      </c>
      <c r="B261" s="676" t="s">
        <v>3747</v>
      </c>
      <c r="C261" s="676" t="s">
        <v>2244</v>
      </c>
      <c r="D261" s="676" t="s">
        <v>3769</v>
      </c>
      <c r="E261" s="676" t="s">
        <v>3770</v>
      </c>
      <c r="F261" s="680">
        <v>156</v>
      </c>
      <c r="G261" s="680">
        <v>47892</v>
      </c>
      <c r="H261" s="680">
        <v>1.069997095556201</v>
      </c>
      <c r="I261" s="680">
        <v>307</v>
      </c>
      <c r="J261" s="680">
        <v>143</v>
      </c>
      <c r="K261" s="680">
        <v>44759</v>
      </c>
      <c r="L261" s="680">
        <v>1</v>
      </c>
      <c r="M261" s="680">
        <v>313</v>
      </c>
      <c r="N261" s="680">
        <v>172</v>
      </c>
      <c r="O261" s="680">
        <v>54008</v>
      </c>
      <c r="P261" s="702">
        <v>1.2066400053620501</v>
      </c>
      <c r="Q261" s="681">
        <v>314</v>
      </c>
    </row>
    <row r="262" spans="1:17" ht="14.4" customHeight="1" x14ac:dyDescent="0.3">
      <c r="A262" s="675" t="s">
        <v>3746</v>
      </c>
      <c r="B262" s="676" t="s">
        <v>3747</v>
      </c>
      <c r="C262" s="676" t="s">
        <v>2244</v>
      </c>
      <c r="D262" s="676" t="s">
        <v>3771</v>
      </c>
      <c r="E262" s="676" t="s">
        <v>3772</v>
      </c>
      <c r="F262" s="680">
        <v>1</v>
      </c>
      <c r="G262" s="680">
        <v>487</v>
      </c>
      <c r="H262" s="680"/>
      <c r="I262" s="680">
        <v>487</v>
      </c>
      <c r="J262" s="680"/>
      <c r="K262" s="680"/>
      <c r="L262" s="680"/>
      <c r="M262" s="680"/>
      <c r="N262" s="680"/>
      <c r="O262" s="680"/>
      <c r="P262" s="702"/>
      <c r="Q262" s="681"/>
    </row>
    <row r="263" spans="1:17" ht="14.4" customHeight="1" x14ac:dyDescent="0.3">
      <c r="A263" s="675" t="s">
        <v>3746</v>
      </c>
      <c r="B263" s="676" t="s">
        <v>3747</v>
      </c>
      <c r="C263" s="676" t="s">
        <v>2244</v>
      </c>
      <c r="D263" s="676" t="s">
        <v>3773</v>
      </c>
      <c r="E263" s="676" t="s">
        <v>3774</v>
      </c>
      <c r="F263" s="680">
        <v>29</v>
      </c>
      <c r="G263" s="680">
        <v>4669</v>
      </c>
      <c r="H263" s="680">
        <v>1.5913428766189501</v>
      </c>
      <c r="I263" s="680">
        <v>161</v>
      </c>
      <c r="J263" s="680">
        <v>18</v>
      </c>
      <c r="K263" s="680">
        <v>2934</v>
      </c>
      <c r="L263" s="680">
        <v>1</v>
      </c>
      <c r="M263" s="680">
        <v>163</v>
      </c>
      <c r="N263" s="680">
        <v>190</v>
      </c>
      <c r="O263" s="680">
        <v>30970</v>
      </c>
      <c r="P263" s="702">
        <v>10.555555555555555</v>
      </c>
      <c r="Q263" s="681">
        <v>163</v>
      </c>
    </row>
    <row r="264" spans="1:17" ht="14.4" customHeight="1" x14ac:dyDescent="0.3">
      <c r="A264" s="675" t="s">
        <v>3746</v>
      </c>
      <c r="B264" s="676" t="s">
        <v>3747</v>
      </c>
      <c r="C264" s="676" t="s">
        <v>2244</v>
      </c>
      <c r="D264" s="676" t="s">
        <v>3775</v>
      </c>
      <c r="E264" s="676" t="s">
        <v>3749</v>
      </c>
      <c r="F264" s="680">
        <v>312</v>
      </c>
      <c r="G264" s="680">
        <v>22152</v>
      </c>
      <c r="H264" s="680">
        <v>1.3376811594202898</v>
      </c>
      <c r="I264" s="680">
        <v>71</v>
      </c>
      <c r="J264" s="680">
        <v>230</v>
      </c>
      <c r="K264" s="680">
        <v>16560</v>
      </c>
      <c r="L264" s="680">
        <v>1</v>
      </c>
      <c r="M264" s="680">
        <v>72</v>
      </c>
      <c r="N264" s="680">
        <v>364</v>
      </c>
      <c r="O264" s="680">
        <v>26208</v>
      </c>
      <c r="P264" s="702">
        <v>1.5826086956521739</v>
      </c>
      <c r="Q264" s="681">
        <v>72</v>
      </c>
    </row>
    <row r="265" spans="1:17" ht="14.4" customHeight="1" x14ac:dyDescent="0.3">
      <c r="A265" s="675" t="s">
        <v>3746</v>
      </c>
      <c r="B265" s="676" t="s">
        <v>3747</v>
      </c>
      <c r="C265" s="676" t="s">
        <v>2244</v>
      </c>
      <c r="D265" s="676" t="s">
        <v>3776</v>
      </c>
      <c r="E265" s="676" t="s">
        <v>3777</v>
      </c>
      <c r="F265" s="680">
        <v>3</v>
      </c>
      <c r="G265" s="680">
        <v>660</v>
      </c>
      <c r="H265" s="680">
        <v>2.8820960698689957</v>
      </c>
      <c r="I265" s="680">
        <v>220</v>
      </c>
      <c r="J265" s="680">
        <v>1</v>
      </c>
      <c r="K265" s="680">
        <v>229</v>
      </c>
      <c r="L265" s="680">
        <v>1</v>
      </c>
      <c r="M265" s="680">
        <v>229</v>
      </c>
      <c r="N265" s="680"/>
      <c r="O265" s="680"/>
      <c r="P265" s="702"/>
      <c r="Q265" s="681"/>
    </row>
    <row r="266" spans="1:17" ht="14.4" customHeight="1" x14ac:dyDescent="0.3">
      <c r="A266" s="675" t="s">
        <v>3746</v>
      </c>
      <c r="B266" s="676" t="s">
        <v>3747</v>
      </c>
      <c r="C266" s="676" t="s">
        <v>2244</v>
      </c>
      <c r="D266" s="676" t="s">
        <v>3778</v>
      </c>
      <c r="E266" s="676" t="s">
        <v>3779</v>
      </c>
      <c r="F266" s="680">
        <v>8</v>
      </c>
      <c r="G266" s="680">
        <v>9560</v>
      </c>
      <c r="H266" s="680">
        <v>0.78943022295623455</v>
      </c>
      <c r="I266" s="680">
        <v>1195</v>
      </c>
      <c r="J266" s="680">
        <v>10</v>
      </c>
      <c r="K266" s="680">
        <v>12110</v>
      </c>
      <c r="L266" s="680">
        <v>1</v>
      </c>
      <c r="M266" s="680">
        <v>1211</v>
      </c>
      <c r="N266" s="680">
        <v>11</v>
      </c>
      <c r="O266" s="680">
        <v>13321</v>
      </c>
      <c r="P266" s="702">
        <v>1.1000000000000001</v>
      </c>
      <c r="Q266" s="681">
        <v>1211</v>
      </c>
    </row>
    <row r="267" spans="1:17" ht="14.4" customHeight="1" x14ac:dyDescent="0.3">
      <c r="A267" s="675" t="s">
        <v>3746</v>
      </c>
      <c r="B267" s="676" t="s">
        <v>3747</v>
      </c>
      <c r="C267" s="676" t="s">
        <v>2244</v>
      </c>
      <c r="D267" s="676" t="s">
        <v>3780</v>
      </c>
      <c r="E267" s="676" t="s">
        <v>3781</v>
      </c>
      <c r="F267" s="680">
        <v>8</v>
      </c>
      <c r="G267" s="680">
        <v>880</v>
      </c>
      <c r="H267" s="680">
        <v>1.5438596491228069</v>
      </c>
      <c r="I267" s="680">
        <v>110</v>
      </c>
      <c r="J267" s="680">
        <v>5</v>
      </c>
      <c r="K267" s="680">
        <v>570</v>
      </c>
      <c r="L267" s="680">
        <v>1</v>
      </c>
      <c r="M267" s="680">
        <v>114</v>
      </c>
      <c r="N267" s="680">
        <v>7</v>
      </c>
      <c r="O267" s="680">
        <v>798</v>
      </c>
      <c r="P267" s="702">
        <v>1.4</v>
      </c>
      <c r="Q267" s="681">
        <v>114</v>
      </c>
    </row>
    <row r="268" spans="1:17" ht="14.4" customHeight="1" x14ac:dyDescent="0.3">
      <c r="A268" s="675" t="s">
        <v>3746</v>
      </c>
      <c r="B268" s="676" t="s">
        <v>3747</v>
      </c>
      <c r="C268" s="676" t="s">
        <v>2244</v>
      </c>
      <c r="D268" s="676" t="s">
        <v>3782</v>
      </c>
      <c r="E268" s="676" t="s">
        <v>3783</v>
      </c>
      <c r="F268" s="680">
        <v>1</v>
      </c>
      <c r="G268" s="680">
        <v>323</v>
      </c>
      <c r="H268" s="680"/>
      <c r="I268" s="680">
        <v>323</v>
      </c>
      <c r="J268" s="680"/>
      <c r="K268" s="680"/>
      <c r="L268" s="680"/>
      <c r="M268" s="680"/>
      <c r="N268" s="680"/>
      <c r="O268" s="680"/>
      <c r="P268" s="702"/>
      <c r="Q268" s="681"/>
    </row>
    <row r="269" spans="1:17" ht="14.4" customHeight="1" x14ac:dyDescent="0.3">
      <c r="A269" s="675" t="s">
        <v>3746</v>
      </c>
      <c r="B269" s="676" t="s">
        <v>3747</v>
      </c>
      <c r="C269" s="676" t="s">
        <v>2244</v>
      </c>
      <c r="D269" s="676" t="s">
        <v>3784</v>
      </c>
      <c r="E269" s="676" t="s">
        <v>3785</v>
      </c>
      <c r="F269" s="680"/>
      <c r="G269" s="680"/>
      <c r="H269" s="680"/>
      <c r="I269" s="680"/>
      <c r="J269" s="680">
        <v>1</v>
      </c>
      <c r="K269" s="680">
        <v>1064</v>
      </c>
      <c r="L269" s="680">
        <v>1</v>
      </c>
      <c r="M269" s="680">
        <v>1064</v>
      </c>
      <c r="N269" s="680"/>
      <c r="O269" s="680"/>
      <c r="P269" s="702"/>
      <c r="Q269" s="681"/>
    </row>
    <row r="270" spans="1:17" ht="14.4" customHeight="1" x14ac:dyDescent="0.3">
      <c r="A270" s="675" t="s">
        <v>3746</v>
      </c>
      <c r="B270" s="676" t="s">
        <v>3747</v>
      </c>
      <c r="C270" s="676" t="s">
        <v>2244</v>
      </c>
      <c r="D270" s="676" t="s">
        <v>3786</v>
      </c>
      <c r="E270" s="676" t="s">
        <v>3787</v>
      </c>
      <c r="F270" s="680"/>
      <c r="G270" s="680"/>
      <c r="H270" s="680"/>
      <c r="I270" s="680"/>
      <c r="J270" s="680">
        <v>2</v>
      </c>
      <c r="K270" s="680">
        <v>602</v>
      </c>
      <c r="L270" s="680">
        <v>1</v>
      </c>
      <c r="M270" s="680">
        <v>301</v>
      </c>
      <c r="N270" s="680"/>
      <c r="O270" s="680"/>
      <c r="P270" s="702"/>
      <c r="Q270" s="681"/>
    </row>
    <row r="271" spans="1:17" ht="14.4" customHeight="1" x14ac:dyDescent="0.3">
      <c r="A271" s="675" t="s">
        <v>3788</v>
      </c>
      <c r="B271" s="676" t="s">
        <v>3789</v>
      </c>
      <c r="C271" s="676" t="s">
        <v>2244</v>
      </c>
      <c r="D271" s="676" t="s">
        <v>3790</v>
      </c>
      <c r="E271" s="676" t="s">
        <v>3791</v>
      </c>
      <c r="F271" s="680">
        <v>372</v>
      </c>
      <c r="G271" s="680">
        <v>20088</v>
      </c>
      <c r="H271" s="680">
        <v>0.90666185231991336</v>
      </c>
      <c r="I271" s="680">
        <v>54</v>
      </c>
      <c r="J271" s="680">
        <v>382</v>
      </c>
      <c r="K271" s="680">
        <v>22156</v>
      </c>
      <c r="L271" s="680">
        <v>1</v>
      </c>
      <c r="M271" s="680">
        <v>58</v>
      </c>
      <c r="N271" s="680">
        <v>290</v>
      </c>
      <c r="O271" s="680">
        <v>16820</v>
      </c>
      <c r="P271" s="702">
        <v>0.75916230366492143</v>
      </c>
      <c r="Q271" s="681">
        <v>58</v>
      </c>
    </row>
    <row r="272" spans="1:17" ht="14.4" customHeight="1" x14ac:dyDescent="0.3">
      <c r="A272" s="675" t="s">
        <v>3788</v>
      </c>
      <c r="B272" s="676" t="s">
        <v>3789</v>
      </c>
      <c r="C272" s="676" t="s">
        <v>2244</v>
      </c>
      <c r="D272" s="676" t="s">
        <v>3792</v>
      </c>
      <c r="E272" s="676" t="s">
        <v>3793</v>
      </c>
      <c r="F272" s="680">
        <v>616</v>
      </c>
      <c r="G272" s="680">
        <v>75768</v>
      </c>
      <c r="H272" s="680">
        <v>0.88167938931297707</v>
      </c>
      <c r="I272" s="680">
        <v>123</v>
      </c>
      <c r="J272" s="680">
        <v>656</v>
      </c>
      <c r="K272" s="680">
        <v>85936</v>
      </c>
      <c r="L272" s="680">
        <v>1</v>
      </c>
      <c r="M272" s="680">
        <v>131</v>
      </c>
      <c r="N272" s="680">
        <v>179</v>
      </c>
      <c r="O272" s="680">
        <v>23449</v>
      </c>
      <c r="P272" s="702">
        <v>0.27286585365853661</v>
      </c>
      <c r="Q272" s="681">
        <v>131</v>
      </c>
    </row>
    <row r="273" spans="1:17" ht="14.4" customHeight="1" x14ac:dyDescent="0.3">
      <c r="A273" s="675" t="s">
        <v>3788</v>
      </c>
      <c r="B273" s="676" t="s">
        <v>3789</v>
      </c>
      <c r="C273" s="676" t="s">
        <v>2244</v>
      </c>
      <c r="D273" s="676" t="s">
        <v>3794</v>
      </c>
      <c r="E273" s="676" t="s">
        <v>3795</v>
      </c>
      <c r="F273" s="680">
        <v>27</v>
      </c>
      <c r="G273" s="680">
        <v>4779</v>
      </c>
      <c r="H273" s="680">
        <v>0.61672473867595823</v>
      </c>
      <c r="I273" s="680">
        <v>177</v>
      </c>
      <c r="J273" s="680">
        <v>41</v>
      </c>
      <c r="K273" s="680">
        <v>7749</v>
      </c>
      <c r="L273" s="680">
        <v>1</v>
      </c>
      <c r="M273" s="680">
        <v>189</v>
      </c>
      <c r="N273" s="680">
        <v>21</v>
      </c>
      <c r="O273" s="680">
        <v>3969</v>
      </c>
      <c r="P273" s="702">
        <v>0.51219512195121952</v>
      </c>
      <c r="Q273" s="681">
        <v>189</v>
      </c>
    </row>
    <row r="274" spans="1:17" ht="14.4" customHeight="1" x14ac:dyDescent="0.3">
      <c r="A274" s="675" t="s">
        <v>3788</v>
      </c>
      <c r="B274" s="676" t="s">
        <v>3789</v>
      </c>
      <c r="C274" s="676" t="s">
        <v>2244</v>
      </c>
      <c r="D274" s="676" t="s">
        <v>3796</v>
      </c>
      <c r="E274" s="676" t="s">
        <v>3797</v>
      </c>
      <c r="F274" s="680">
        <v>76</v>
      </c>
      <c r="G274" s="680">
        <v>29184</v>
      </c>
      <c r="H274" s="680">
        <v>0.86391758680915309</v>
      </c>
      <c r="I274" s="680">
        <v>384</v>
      </c>
      <c r="J274" s="680">
        <v>83</v>
      </c>
      <c r="K274" s="680">
        <v>33781</v>
      </c>
      <c r="L274" s="680">
        <v>1</v>
      </c>
      <c r="M274" s="680">
        <v>407</v>
      </c>
      <c r="N274" s="680">
        <v>150</v>
      </c>
      <c r="O274" s="680">
        <v>61200</v>
      </c>
      <c r="P274" s="702">
        <v>1.8116692815487996</v>
      </c>
      <c r="Q274" s="681">
        <v>408</v>
      </c>
    </row>
    <row r="275" spans="1:17" ht="14.4" customHeight="1" x14ac:dyDescent="0.3">
      <c r="A275" s="675" t="s">
        <v>3788</v>
      </c>
      <c r="B275" s="676" t="s">
        <v>3789</v>
      </c>
      <c r="C275" s="676" t="s">
        <v>2244</v>
      </c>
      <c r="D275" s="676" t="s">
        <v>3798</v>
      </c>
      <c r="E275" s="676" t="s">
        <v>3799</v>
      </c>
      <c r="F275" s="680">
        <v>48</v>
      </c>
      <c r="G275" s="680">
        <v>8256</v>
      </c>
      <c r="H275" s="680">
        <v>1.3565560302333224</v>
      </c>
      <c r="I275" s="680">
        <v>172</v>
      </c>
      <c r="J275" s="680">
        <v>34</v>
      </c>
      <c r="K275" s="680">
        <v>6086</v>
      </c>
      <c r="L275" s="680">
        <v>1</v>
      </c>
      <c r="M275" s="680">
        <v>179</v>
      </c>
      <c r="N275" s="680">
        <v>20</v>
      </c>
      <c r="O275" s="680">
        <v>3600</v>
      </c>
      <c r="P275" s="702">
        <v>0.5915215248110417</v>
      </c>
      <c r="Q275" s="681">
        <v>180</v>
      </c>
    </row>
    <row r="276" spans="1:17" ht="14.4" customHeight="1" x14ac:dyDescent="0.3">
      <c r="A276" s="675" t="s">
        <v>3788</v>
      </c>
      <c r="B276" s="676" t="s">
        <v>3789</v>
      </c>
      <c r="C276" s="676" t="s">
        <v>2244</v>
      </c>
      <c r="D276" s="676" t="s">
        <v>3800</v>
      </c>
      <c r="E276" s="676" t="s">
        <v>3801</v>
      </c>
      <c r="F276" s="680">
        <v>50</v>
      </c>
      <c r="G276" s="680">
        <v>16100</v>
      </c>
      <c r="H276" s="680">
        <v>2.2885572139303481</v>
      </c>
      <c r="I276" s="680">
        <v>322</v>
      </c>
      <c r="J276" s="680">
        <v>21</v>
      </c>
      <c r="K276" s="680">
        <v>7035</v>
      </c>
      <c r="L276" s="680">
        <v>1</v>
      </c>
      <c r="M276" s="680">
        <v>335</v>
      </c>
      <c r="N276" s="680">
        <v>19</v>
      </c>
      <c r="O276" s="680">
        <v>6384</v>
      </c>
      <c r="P276" s="702">
        <v>0.90746268656716422</v>
      </c>
      <c r="Q276" s="681">
        <v>336</v>
      </c>
    </row>
    <row r="277" spans="1:17" ht="14.4" customHeight="1" x14ac:dyDescent="0.3">
      <c r="A277" s="675" t="s">
        <v>3788</v>
      </c>
      <c r="B277" s="676" t="s">
        <v>3789</v>
      </c>
      <c r="C277" s="676" t="s">
        <v>2244</v>
      </c>
      <c r="D277" s="676" t="s">
        <v>3802</v>
      </c>
      <c r="E277" s="676" t="s">
        <v>3803</v>
      </c>
      <c r="F277" s="680">
        <v>1</v>
      </c>
      <c r="G277" s="680">
        <v>439</v>
      </c>
      <c r="H277" s="680"/>
      <c r="I277" s="680">
        <v>439</v>
      </c>
      <c r="J277" s="680"/>
      <c r="K277" s="680"/>
      <c r="L277" s="680"/>
      <c r="M277" s="680"/>
      <c r="N277" s="680">
        <v>1</v>
      </c>
      <c r="O277" s="680">
        <v>459</v>
      </c>
      <c r="P277" s="702"/>
      <c r="Q277" s="681">
        <v>459</v>
      </c>
    </row>
    <row r="278" spans="1:17" ht="14.4" customHeight="1" x14ac:dyDescent="0.3">
      <c r="A278" s="675" t="s">
        <v>3788</v>
      </c>
      <c r="B278" s="676" t="s">
        <v>3789</v>
      </c>
      <c r="C278" s="676" t="s">
        <v>2244</v>
      </c>
      <c r="D278" s="676" t="s">
        <v>3804</v>
      </c>
      <c r="E278" s="676" t="s">
        <v>3805</v>
      </c>
      <c r="F278" s="680">
        <v>233</v>
      </c>
      <c r="G278" s="680">
        <v>79453</v>
      </c>
      <c r="H278" s="680">
        <v>1.016334936553418</v>
      </c>
      <c r="I278" s="680">
        <v>341</v>
      </c>
      <c r="J278" s="680">
        <v>224</v>
      </c>
      <c r="K278" s="680">
        <v>78176</v>
      </c>
      <c r="L278" s="680">
        <v>1</v>
      </c>
      <c r="M278" s="680">
        <v>349</v>
      </c>
      <c r="N278" s="680">
        <v>107</v>
      </c>
      <c r="O278" s="680">
        <v>37343</v>
      </c>
      <c r="P278" s="702">
        <v>0.47767857142857145</v>
      </c>
      <c r="Q278" s="681">
        <v>349</v>
      </c>
    </row>
    <row r="279" spans="1:17" ht="14.4" customHeight="1" x14ac:dyDescent="0.3">
      <c r="A279" s="675" t="s">
        <v>3788</v>
      </c>
      <c r="B279" s="676" t="s">
        <v>3789</v>
      </c>
      <c r="C279" s="676" t="s">
        <v>2244</v>
      </c>
      <c r="D279" s="676" t="s">
        <v>3806</v>
      </c>
      <c r="E279" s="676" t="s">
        <v>3807</v>
      </c>
      <c r="F279" s="680">
        <v>1</v>
      </c>
      <c r="G279" s="680">
        <v>1598</v>
      </c>
      <c r="H279" s="680"/>
      <c r="I279" s="680">
        <v>1598</v>
      </c>
      <c r="J279" s="680"/>
      <c r="K279" s="680"/>
      <c r="L279" s="680"/>
      <c r="M279" s="680"/>
      <c r="N279" s="680">
        <v>1</v>
      </c>
      <c r="O279" s="680">
        <v>1653</v>
      </c>
      <c r="P279" s="702"/>
      <c r="Q279" s="681">
        <v>1653</v>
      </c>
    </row>
    <row r="280" spans="1:17" ht="14.4" customHeight="1" x14ac:dyDescent="0.3">
      <c r="A280" s="675" t="s">
        <v>3788</v>
      </c>
      <c r="B280" s="676" t="s">
        <v>3789</v>
      </c>
      <c r="C280" s="676" t="s">
        <v>2244</v>
      </c>
      <c r="D280" s="676" t="s">
        <v>3808</v>
      </c>
      <c r="E280" s="676" t="s">
        <v>3809</v>
      </c>
      <c r="F280" s="680">
        <v>35</v>
      </c>
      <c r="G280" s="680">
        <v>3815</v>
      </c>
      <c r="H280" s="680">
        <v>1.2076606521050965</v>
      </c>
      <c r="I280" s="680">
        <v>109</v>
      </c>
      <c r="J280" s="680">
        <v>27</v>
      </c>
      <c r="K280" s="680">
        <v>3159</v>
      </c>
      <c r="L280" s="680">
        <v>1</v>
      </c>
      <c r="M280" s="680">
        <v>117</v>
      </c>
      <c r="N280" s="680">
        <v>79</v>
      </c>
      <c r="O280" s="680">
        <v>9243</v>
      </c>
      <c r="P280" s="702">
        <v>2.925925925925926</v>
      </c>
      <c r="Q280" s="681">
        <v>117</v>
      </c>
    </row>
    <row r="281" spans="1:17" ht="14.4" customHeight="1" x14ac:dyDescent="0.3">
      <c r="A281" s="675" t="s">
        <v>3788</v>
      </c>
      <c r="B281" s="676" t="s">
        <v>3789</v>
      </c>
      <c r="C281" s="676" t="s">
        <v>2244</v>
      </c>
      <c r="D281" s="676" t="s">
        <v>3810</v>
      </c>
      <c r="E281" s="676" t="s">
        <v>3811</v>
      </c>
      <c r="F281" s="680">
        <v>3</v>
      </c>
      <c r="G281" s="680">
        <v>1128</v>
      </c>
      <c r="H281" s="680">
        <v>1.4573643410852712</v>
      </c>
      <c r="I281" s="680">
        <v>376</v>
      </c>
      <c r="J281" s="680">
        <v>2</v>
      </c>
      <c r="K281" s="680">
        <v>774</v>
      </c>
      <c r="L281" s="680">
        <v>1</v>
      </c>
      <c r="M281" s="680">
        <v>387</v>
      </c>
      <c r="N281" s="680">
        <v>4</v>
      </c>
      <c r="O281" s="680">
        <v>1564</v>
      </c>
      <c r="P281" s="702">
        <v>2.0206718346253232</v>
      </c>
      <c r="Q281" s="681">
        <v>391</v>
      </c>
    </row>
    <row r="282" spans="1:17" ht="14.4" customHeight="1" x14ac:dyDescent="0.3">
      <c r="A282" s="675" t="s">
        <v>3788</v>
      </c>
      <c r="B282" s="676" t="s">
        <v>3789</v>
      </c>
      <c r="C282" s="676" t="s">
        <v>2244</v>
      </c>
      <c r="D282" s="676" t="s">
        <v>3812</v>
      </c>
      <c r="E282" s="676" t="s">
        <v>3813</v>
      </c>
      <c r="F282" s="680">
        <v>25</v>
      </c>
      <c r="G282" s="680">
        <v>925</v>
      </c>
      <c r="H282" s="680">
        <v>1.1064593301435406</v>
      </c>
      <c r="I282" s="680">
        <v>37</v>
      </c>
      <c r="J282" s="680">
        <v>22</v>
      </c>
      <c r="K282" s="680">
        <v>836</v>
      </c>
      <c r="L282" s="680">
        <v>1</v>
      </c>
      <c r="M282" s="680">
        <v>38</v>
      </c>
      <c r="N282" s="680">
        <v>56</v>
      </c>
      <c r="O282" s="680">
        <v>2128</v>
      </c>
      <c r="P282" s="702">
        <v>2.5454545454545454</v>
      </c>
      <c r="Q282" s="681">
        <v>38</v>
      </c>
    </row>
    <row r="283" spans="1:17" ht="14.4" customHeight="1" x14ac:dyDescent="0.3">
      <c r="A283" s="675" t="s">
        <v>3788</v>
      </c>
      <c r="B283" s="676" t="s">
        <v>3789</v>
      </c>
      <c r="C283" s="676" t="s">
        <v>2244</v>
      </c>
      <c r="D283" s="676" t="s">
        <v>3814</v>
      </c>
      <c r="E283" s="676" t="s">
        <v>3815</v>
      </c>
      <c r="F283" s="680">
        <v>4</v>
      </c>
      <c r="G283" s="680">
        <v>2704</v>
      </c>
      <c r="H283" s="680">
        <v>1.2803030303030303</v>
      </c>
      <c r="I283" s="680">
        <v>676</v>
      </c>
      <c r="J283" s="680">
        <v>3</v>
      </c>
      <c r="K283" s="680">
        <v>2112</v>
      </c>
      <c r="L283" s="680">
        <v>1</v>
      </c>
      <c r="M283" s="680">
        <v>704</v>
      </c>
      <c r="N283" s="680">
        <v>6</v>
      </c>
      <c r="O283" s="680">
        <v>4230</v>
      </c>
      <c r="P283" s="702">
        <v>2.0028409090909092</v>
      </c>
      <c r="Q283" s="681">
        <v>705</v>
      </c>
    </row>
    <row r="284" spans="1:17" ht="14.4" customHeight="1" x14ac:dyDescent="0.3">
      <c r="A284" s="675" t="s">
        <v>3788</v>
      </c>
      <c r="B284" s="676" t="s">
        <v>3789</v>
      </c>
      <c r="C284" s="676" t="s">
        <v>2244</v>
      </c>
      <c r="D284" s="676" t="s">
        <v>3816</v>
      </c>
      <c r="E284" s="676" t="s">
        <v>3817</v>
      </c>
      <c r="F284" s="680">
        <v>1</v>
      </c>
      <c r="G284" s="680">
        <v>138</v>
      </c>
      <c r="H284" s="680"/>
      <c r="I284" s="680">
        <v>138</v>
      </c>
      <c r="J284" s="680"/>
      <c r="K284" s="680"/>
      <c r="L284" s="680"/>
      <c r="M284" s="680"/>
      <c r="N284" s="680"/>
      <c r="O284" s="680"/>
      <c r="P284" s="702"/>
      <c r="Q284" s="681"/>
    </row>
    <row r="285" spans="1:17" ht="14.4" customHeight="1" x14ac:dyDescent="0.3">
      <c r="A285" s="675" t="s">
        <v>3788</v>
      </c>
      <c r="B285" s="676" t="s">
        <v>3789</v>
      </c>
      <c r="C285" s="676" t="s">
        <v>2244</v>
      </c>
      <c r="D285" s="676" t="s">
        <v>3818</v>
      </c>
      <c r="E285" s="676" t="s">
        <v>3819</v>
      </c>
      <c r="F285" s="680">
        <v>303</v>
      </c>
      <c r="G285" s="680">
        <v>86355</v>
      </c>
      <c r="H285" s="680">
        <v>0.83794247787610621</v>
      </c>
      <c r="I285" s="680">
        <v>285</v>
      </c>
      <c r="J285" s="680">
        <v>339</v>
      </c>
      <c r="K285" s="680">
        <v>103056</v>
      </c>
      <c r="L285" s="680">
        <v>1</v>
      </c>
      <c r="M285" s="680">
        <v>304</v>
      </c>
      <c r="N285" s="680">
        <v>187</v>
      </c>
      <c r="O285" s="680">
        <v>57035</v>
      </c>
      <c r="P285" s="702">
        <v>0.55343696630957928</v>
      </c>
      <c r="Q285" s="681">
        <v>305</v>
      </c>
    </row>
    <row r="286" spans="1:17" ht="14.4" customHeight="1" x14ac:dyDescent="0.3">
      <c r="A286" s="675" t="s">
        <v>3788</v>
      </c>
      <c r="B286" s="676" t="s">
        <v>3789</v>
      </c>
      <c r="C286" s="676" t="s">
        <v>2244</v>
      </c>
      <c r="D286" s="676" t="s">
        <v>3820</v>
      </c>
      <c r="E286" s="676" t="s">
        <v>3821</v>
      </c>
      <c r="F286" s="680">
        <v>184</v>
      </c>
      <c r="G286" s="680">
        <v>85008</v>
      </c>
      <c r="H286" s="680">
        <v>0.83941937395082455</v>
      </c>
      <c r="I286" s="680">
        <v>462</v>
      </c>
      <c r="J286" s="680">
        <v>205</v>
      </c>
      <c r="K286" s="680">
        <v>101270</v>
      </c>
      <c r="L286" s="680">
        <v>1</v>
      </c>
      <c r="M286" s="680">
        <v>494</v>
      </c>
      <c r="N286" s="680">
        <v>218</v>
      </c>
      <c r="O286" s="680">
        <v>107692</v>
      </c>
      <c r="P286" s="702">
        <v>1.0634146341463415</v>
      </c>
      <c r="Q286" s="681">
        <v>494</v>
      </c>
    </row>
    <row r="287" spans="1:17" ht="14.4" customHeight="1" x14ac:dyDescent="0.3">
      <c r="A287" s="675" t="s">
        <v>3788</v>
      </c>
      <c r="B287" s="676" t="s">
        <v>3789</v>
      </c>
      <c r="C287" s="676" t="s">
        <v>2244</v>
      </c>
      <c r="D287" s="676" t="s">
        <v>3822</v>
      </c>
      <c r="E287" s="676" t="s">
        <v>3823</v>
      </c>
      <c r="F287" s="680">
        <v>433</v>
      </c>
      <c r="G287" s="680">
        <v>154148</v>
      </c>
      <c r="H287" s="680">
        <v>0.8902055902055902</v>
      </c>
      <c r="I287" s="680">
        <v>356</v>
      </c>
      <c r="J287" s="680">
        <v>468</v>
      </c>
      <c r="K287" s="680">
        <v>173160</v>
      </c>
      <c r="L287" s="680">
        <v>1</v>
      </c>
      <c r="M287" s="680">
        <v>370</v>
      </c>
      <c r="N287" s="680">
        <v>306</v>
      </c>
      <c r="O287" s="680">
        <v>113220</v>
      </c>
      <c r="P287" s="702">
        <v>0.65384615384615385</v>
      </c>
      <c r="Q287" s="681">
        <v>370</v>
      </c>
    </row>
    <row r="288" spans="1:17" ht="14.4" customHeight="1" x14ac:dyDescent="0.3">
      <c r="A288" s="675" t="s">
        <v>3788</v>
      </c>
      <c r="B288" s="676" t="s">
        <v>3789</v>
      </c>
      <c r="C288" s="676" t="s">
        <v>2244</v>
      </c>
      <c r="D288" s="676" t="s">
        <v>3824</v>
      </c>
      <c r="E288" s="676" t="s">
        <v>3825</v>
      </c>
      <c r="F288" s="680"/>
      <c r="G288" s="680"/>
      <c r="H288" s="680"/>
      <c r="I288" s="680"/>
      <c r="J288" s="680">
        <v>1</v>
      </c>
      <c r="K288" s="680">
        <v>12793</v>
      </c>
      <c r="L288" s="680">
        <v>1</v>
      </c>
      <c r="M288" s="680">
        <v>12793</v>
      </c>
      <c r="N288" s="680">
        <v>1</v>
      </c>
      <c r="O288" s="680">
        <v>12794</v>
      </c>
      <c r="P288" s="702">
        <v>1.0000781677479871</v>
      </c>
      <c r="Q288" s="681">
        <v>12794</v>
      </c>
    </row>
    <row r="289" spans="1:17" ht="14.4" customHeight="1" x14ac:dyDescent="0.3">
      <c r="A289" s="675" t="s">
        <v>3788</v>
      </c>
      <c r="B289" s="676" t="s">
        <v>3789</v>
      </c>
      <c r="C289" s="676" t="s">
        <v>2244</v>
      </c>
      <c r="D289" s="676" t="s">
        <v>3826</v>
      </c>
      <c r="E289" s="676" t="s">
        <v>3827</v>
      </c>
      <c r="F289" s="680">
        <v>4</v>
      </c>
      <c r="G289" s="680">
        <v>420</v>
      </c>
      <c r="H289" s="680"/>
      <c r="I289" s="680">
        <v>105</v>
      </c>
      <c r="J289" s="680"/>
      <c r="K289" s="680"/>
      <c r="L289" s="680"/>
      <c r="M289" s="680"/>
      <c r="N289" s="680">
        <v>3</v>
      </c>
      <c r="O289" s="680">
        <v>333</v>
      </c>
      <c r="P289" s="702"/>
      <c r="Q289" s="681">
        <v>111</v>
      </c>
    </row>
    <row r="290" spans="1:17" ht="14.4" customHeight="1" x14ac:dyDescent="0.3">
      <c r="A290" s="675" t="s">
        <v>3788</v>
      </c>
      <c r="B290" s="676" t="s">
        <v>3789</v>
      </c>
      <c r="C290" s="676" t="s">
        <v>2244</v>
      </c>
      <c r="D290" s="676" t="s">
        <v>3828</v>
      </c>
      <c r="E290" s="676" t="s">
        <v>3829</v>
      </c>
      <c r="F290" s="680">
        <v>10</v>
      </c>
      <c r="G290" s="680">
        <v>1170</v>
      </c>
      <c r="H290" s="680">
        <v>0.30193548387096775</v>
      </c>
      <c r="I290" s="680">
        <v>117</v>
      </c>
      <c r="J290" s="680">
        <v>31</v>
      </c>
      <c r="K290" s="680">
        <v>3875</v>
      </c>
      <c r="L290" s="680">
        <v>1</v>
      </c>
      <c r="M290" s="680">
        <v>125</v>
      </c>
      <c r="N290" s="680">
        <v>3</v>
      </c>
      <c r="O290" s="680">
        <v>375</v>
      </c>
      <c r="P290" s="702">
        <v>9.6774193548387094E-2</v>
      </c>
      <c r="Q290" s="681">
        <v>125</v>
      </c>
    </row>
    <row r="291" spans="1:17" ht="14.4" customHeight="1" x14ac:dyDescent="0.3">
      <c r="A291" s="675" t="s">
        <v>3788</v>
      </c>
      <c r="B291" s="676" t="s">
        <v>3789</v>
      </c>
      <c r="C291" s="676" t="s">
        <v>2244</v>
      </c>
      <c r="D291" s="676" t="s">
        <v>3830</v>
      </c>
      <c r="E291" s="676" t="s">
        <v>3831</v>
      </c>
      <c r="F291" s="680">
        <v>41</v>
      </c>
      <c r="G291" s="680">
        <v>18983</v>
      </c>
      <c r="H291" s="680">
        <v>1.2783164983164983</v>
      </c>
      <c r="I291" s="680">
        <v>463</v>
      </c>
      <c r="J291" s="680">
        <v>30</v>
      </c>
      <c r="K291" s="680">
        <v>14850</v>
      </c>
      <c r="L291" s="680">
        <v>1</v>
      </c>
      <c r="M291" s="680">
        <v>495</v>
      </c>
      <c r="N291" s="680">
        <v>100</v>
      </c>
      <c r="O291" s="680">
        <v>49500</v>
      </c>
      <c r="P291" s="702">
        <v>3.3333333333333335</v>
      </c>
      <c r="Q291" s="681">
        <v>495</v>
      </c>
    </row>
    <row r="292" spans="1:17" ht="14.4" customHeight="1" x14ac:dyDescent="0.3">
      <c r="A292" s="675" t="s">
        <v>3788</v>
      </c>
      <c r="B292" s="676" t="s">
        <v>3789</v>
      </c>
      <c r="C292" s="676" t="s">
        <v>2244</v>
      </c>
      <c r="D292" s="676" t="s">
        <v>3422</v>
      </c>
      <c r="E292" s="676" t="s">
        <v>3423</v>
      </c>
      <c r="F292" s="680">
        <v>3</v>
      </c>
      <c r="G292" s="680">
        <v>3804</v>
      </c>
      <c r="H292" s="680"/>
      <c r="I292" s="680">
        <v>1268</v>
      </c>
      <c r="J292" s="680"/>
      <c r="K292" s="680"/>
      <c r="L292" s="680"/>
      <c r="M292" s="680"/>
      <c r="N292" s="680"/>
      <c r="O292" s="680"/>
      <c r="P292" s="702"/>
      <c r="Q292" s="681"/>
    </row>
    <row r="293" spans="1:17" ht="14.4" customHeight="1" x14ac:dyDescent="0.3">
      <c r="A293" s="675" t="s">
        <v>3788</v>
      </c>
      <c r="B293" s="676" t="s">
        <v>3789</v>
      </c>
      <c r="C293" s="676" t="s">
        <v>2244</v>
      </c>
      <c r="D293" s="676" t="s">
        <v>3832</v>
      </c>
      <c r="E293" s="676" t="s">
        <v>3833</v>
      </c>
      <c r="F293" s="680">
        <v>8</v>
      </c>
      <c r="G293" s="680">
        <v>3496</v>
      </c>
      <c r="H293" s="680">
        <v>3.8333333333333335</v>
      </c>
      <c r="I293" s="680">
        <v>437</v>
      </c>
      <c r="J293" s="680">
        <v>2</v>
      </c>
      <c r="K293" s="680">
        <v>912</v>
      </c>
      <c r="L293" s="680">
        <v>1</v>
      </c>
      <c r="M293" s="680">
        <v>456</v>
      </c>
      <c r="N293" s="680">
        <v>3</v>
      </c>
      <c r="O293" s="680">
        <v>1368</v>
      </c>
      <c r="P293" s="702">
        <v>1.5</v>
      </c>
      <c r="Q293" s="681">
        <v>456</v>
      </c>
    </row>
    <row r="294" spans="1:17" ht="14.4" customHeight="1" x14ac:dyDescent="0.3">
      <c r="A294" s="675" t="s">
        <v>3788</v>
      </c>
      <c r="B294" s="676" t="s">
        <v>3789</v>
      </c>
      <c r="C294" s="676" t="s">
        <v>2244</v>
      </c>
      <c r="D294" s="676" t="s">
        <v>3834</v>
      </c>
      <c r="E294" s="676" t="s">
        <v>3835</v>
      </c>
      <c r="F294" s="680">
        <v>8</v>
      </c>
      <c r="G294" s="680">
        <v>432</v>
      </c>
      <c r="H294" s="680">
        <v>0.18620689655172415</v>
      </c>
      <c r="I294" s="680">
        <v>54</v>
      </c>
      <c r="J294" s="680">
        <v>40</v>
      </c>
      <c r="K294" s="680">
        <v>2320</v>
      </c>
      <c r="L294" s="680">
        <v>1</v>
      </c>
      <c r="M294" s="680">
        <v>58</v>
      </c>
      <c r="N294" s="680">
        <v>11</v>
      </c>
      <c r="O294" s="680">
        <v>638</v>
      </c>
      <c r="P294" s="702">
        <v>0.27500000000000002</v>
      </c>
      <c r="Q294" s="681">
        <v>58</v>
      </c>
    </row>
    <row r="295" spans="1:17" ht="14.4" customHeight="1" x14ac:dyDescent="0.3">
      <c r="A295" s="675" t="s">
        <v>3788</v>
      </c>
      <c r="B295" s="676" t="s">
        <v>3789</v>
      </c>
      <c r="C295" s="676" t="s">
        <v>2244</v>
      </c>
      <c r="D295" s="676" t="s">
        <v>3836</v>
      </c>
      <c r="E295" s="676" t="s">
        <v>3837</v>
      </c>
      <c r="F295" s="680"/>
      <c r="G295" s="680"/>
      <c r="H295" s="680"/>
      <c r="I295" s="680"/>
      <c r="J295" s="680">
        <v>1</v>
      </c>
      <c r="K295" s="680">
        <v>2173</v>
      </c>
      <c r="L295" s="680">
        <v>1</v>
      </c>
      <c r="M295" s="680">
        <v>2173</v>
      </c>
      <c r="N295" s="680">
        <v>1</v>
      </c>
      <c r="O295" s="680">
        <v>2173</v>
      </c>
      <c r="P295" s="702">
        <v>1</v>
      </c>
      <c r="Q295" s="681">
        <v>2173</v>
      </c>
    </row>
    <row r="296" spans="1:17" ht="14.4" customHeight="1" x14ac:dyDescent="0.3">
      <c r="A296" s="675" t="s">
        <v>3788</v>
      </c>
      <c r="B296" s="676" t="s">
        <v>3789</v>
      </c>
      <c r="C296" s="676" t="s">
        <v>2244</v>
      </c>
      <c r="D296" s="676" t="s">
        <v>3838</v>
      </c>
      <c r="E296" s="676" t="s">
        <v>3839</v>
      </c>
      <c r="F296" s="680">
        <v>2292</v>
      </c>
      <c r="G296" s="680">
        <v>387348</v>
      </c>
      <c r="H296" s="680">
        <v>0.90825488012192979</v>
      </c>
      <c r="I296" s="680">
        <v>169</v>
      </c>
      <c r="J296" s="680">
        <v>2437</v>
      </c>
      <c r="K296" s="680">
        <v>426475</v>
      </c>
      <c r="L296" s="680">
        <v>1</v>
      </c>
      <c r="M296" s="680">
        <v>175</v>
      </c>
      <c r="N296" s="680">
        <v>1015</v>
      </c>
      <c r="O296" s="680">
        <v>178640</v>
      </c>
      <c r="P296" s="702">
        <v>0.41887566680344684</v>
      </c>
      <c r="Q296" s="681">
        <v>176</v>
      </c>
    </row>
    <row r="297" spans="1:17" ht="14.4" customHeight="1" x14ac:dyDescent="0.3">
      <c r="A297" s="675" t="s">
        <v>3788</v>
      </c>
      <c r="B297" s="676" t="s">
        <v>3789</v>
      </c>
      <c r="C297" s="676" t="s">
        <v>2244</v>
      </c>
      <c r="D297" s="676" t="s">
        <v>3840</v>
      </c>
      <c r="E297" s="676" t="s">
        <v>3841</v>
      </c>
      <c r="F297" s="680">
        <v>17</v>
      </c>
      <c r="G297" s="680">
        <v>1377</v>
      </c>
      <c r="H297" s="680">
        <v>2.7</v>
      </c>
      <c r="I297" s="680">
        <v>81</v>
      </c>
      <c r="J297" s="680">
        <v>6</v>
      </c>
      <c r="K297" s="680">
        <v>510</v>
      </c>
      <c r="L297" s="680">
        <v>1</v>
      </c>
      <c r="M297" s="680">
        <v>85</v>
      </c>
      <c r="N297" s="680">
        <v>14</v>
      </c>
      <c r="O297" s="680">
        <v>1190</v>
      </c>
      <c r="P297" s="702">
        <v>2.3333333333333335</v>
      </c>
      <c r="Q297" s="681">
        <v>85</v>
      </c>
    </row>
    <row r="298" spans="1:17" ht="14.4" customHeight="1" x14ac:dyDescent="0.3">
      <c r="A298" s="675" t="s">
        <v>3788</v>
      </c>
      <c r="B298" s="676" t="s">
        <v>3789</v>
      </c>
      <c r="C298" s="676" t="s">
        <v>2244</v>
      </c>
      <c r="D298" s="676" t="s">
        <v>3842</v>
      </c>
      <c r="E298" s="676" t="s">
        <v>3843</v>
      </c>
      <c r="F298" s="680">
        <v>1</v>
      </c>
      <c r="G298" s="680">
        <v>166</v>
      </c>
      <c r="H298" s="680"/>
      <c r="I298" s="680">
        <v>166</v>
      </c>
      <c r="J298" s="680"/>
      <c r="K298" s="680"/>
      <c r="L298" s="680"/>
      <c r="M298" s="680"/>
      <c r="N298" s="680">
        <v>2</v>
      </c>
      <c r="O298" s="680">
        <v>356</v>
      </c>
      <c r="P298" s="702"/>
      <c r="Q298" s="681">
        <v>178</v>
      </c>
    </row>
    <row r="299" spans="1:17" ht="14.4" customHeight="1" x14ac:dyDescent="0.3">
      <c r="A299" s="675" t="s">
        <v>3788</v>
      </c>
      <c r="B299" s="676" t="s">
        <v>3789</v>
      </c>
      <c r="C299" s="676" t="s">
        <v>2244</v>
      </c>
      <c r="D299" s="676" t="s">
        <v>3844</v>
      </c>
      <c r="E299" s="676" t="s">
        <v>3845</v>
      </c>
      <c r="F299" s="680">
        <v>6</v>
      </c>
      <c r="G299" s="680">
        <v>978</v>
      </c>
      <c r="H299" s="680">
        <v>0.8267117497886729</v>
      </c>
      <c r="I299" s="680">
        <v>163</v>
      </c>
      <c r="J299" s="680">
        <v>7</v>
      </c>
      <c r="K299" s="680">
        <v>1183</v>
      </c>
      <c r="L299" s="680">
        <v>1</v>
      </c>
      <c r="M299" s="680">
        <v>169</v>
      </c>
      <c r="N299" s="680">
        <v>9</v>
      </c>
      <c r="O299" s="680">
        <v>1530</v>
      </c>
      <c r="P299" s="702">
        <v>1.2933220625528319</v>
      </c>
      <c r="Q299" s="681">
        <v>170</v>
      </c>
    </row>
    <row r="300" spans="1:17" ht="14.4" customHeight="1" x14ac:dyDescent="0.3">
      <c r="A300" s="675" t="s">
        <v>3788</v>
      </c>
      <c r="B300" s="676" t="s">
        <v>3789</v>
      </c>
      <c r="C300" s="676" t="s">
        <v>2244</v>
      </c>
      <c r="D300" s="676" t="s">
        <v>3318</v>
      </c>
      <c r="E300" s="676" t="s">
        <v>3319</v>
      </c>
      <c r="F300" s="680">
        <v>4</v>
      </c>
      <c r="G300" s="680">
        <v>4032</v>
      </c>
      <c r="H300" s="680">
        <v>0.9970326409495549</v>
      </c>
      <c r="I300" s="680">
        <v>1008</v>
      </c>
      <c r="J300" s="680">
        <v>4</v>
      </c>
      <c r="K300" s="680">
        <v>4044</v>
      </c>
      <c r="L300" s="680">
        <v>1</v>
      </c>
      <c r="M300" s="680">
        <v>1011</v>
      </c>
      <c r="N300" s="680"/>
      <c r="O300" s="680"/>
      <c r="P300" s="702"/>
      <c r="Q300" s="681"/>
    </row>
    <row r="301" spans="1:17" ht="14.4" customHeight="1" x14ac:dyDescent="0.3">
      <c r="A301" s="675" t="s">
        <v>3788</v>
      </c>
      <c r="B301" s="676" t="s">
        <v>3789</v>
      </c>
      <c r="C301" s="676" t="s">
        <v>2244</v>
      </c>
      <c r="D301" s="676" t="s">
        <v>3846</v>
      </c>
      <c r="E301" s="676" t="s">
        <v>3847</v>
      </c>
      <c r="F301" s="680">
        <v>3</v>
      </c>
      <c r="G301" s="680">
        <v>510</v>
      </c>
      <c r="H301" s="680"/>
      <c r="I301" s="680">
        <v>170</v>
      </c>
      <c r="J301" s="680"/>
      <c r="K301" s="680"/>
      <c r="L301" s="680"/>
      <c r="M301" s="680"/>
      <c r="N301" s="680">
        <v>2</v>
      </c>
      <c r="O301" s="680">
        <v>352</v>
      </c>
      <c r="P301" s="702"/>
      <c r="Q301" s="681">
        <v>176</v>
      </c>
    </row>
    <row r="302" spans="1:17" ht="14.4" customHeight="1" x14ac:dyDescent="0.3">
      <c r="A302" s="675" t="s">
        <v>3788</v>
      </c>
      <c r="B302" s="676" t="s">
        <v>3789</v>
      </c>
      <c r="C302" s="676" t="s">
        <v>2244</v>
      </c>
      <c r="D302" s="676" t="s">
        <v>3848</v>
      </c>
      <c r="E302" s="676" t="s">
        <v>3849</v>
      </c>
      <c r="F302" s="680">
        <v>10</v>
      </c>
      <c r="G302" s="680">
        <v>22640</v>
      </c>
      <c r="H302" s="680"/>
      <c r="I302" s="680">
        <v>2264</v>
      </c>
      <c r="J302" s="680"/>
      <c r="K302" s="680"/>
      <c r="L302" s="680"/>
      <c r="M302" s="680"/>
      <c r="N302" s="680"/>
      <c r="O302" s="680"/>
      <c r="P302" s="702"/>
      <c r="Q302" s="681"/>
    </row>
    <row r="303" spans="1:17" ht="14.4" customHeight="1" x14ac:dyDescent="0.3">
      <c r="A303" s="675" t="s">
        <v>3788</v>
      </c>
      <c r="B303" s="676" t="s">
        <v>3789</v>
      </c>
      <c r="C303" s="676" t="s">
        <v>2244</v>
      </c>
      <c r="D303" s="676" t="s">
        <v>3850</v>
      </c>
      <c r="E303" s="676" t="s">
        <v>3851</v>
      </c>
      <c r="F303" s="680">
        <v>3</v>
      </c>
      <c r="G303" s="680">
        <v>741</v>
      </c>
      <c r="H303" s="680">
        <v>1.4087452471482891</v>
      </c>
      <c r="I303" s="680">
        <v>247</v>
      </c>
      <c r="J303" s="680">
        <v>2</v>
      </c>
      <c r="K303" s="680">
        <v>526</v>
      </c>
      <c r="L303" s="680">
        <v>1</v>
      </c>
      <c r="M303" s="680">
        <v>263</v>
      </c>
      <c r="N303" s="680">
        <v>5</v>
      </c>
      <c r="O303" s="680">
        <v>1320</v>
      </c>
      <c r="P303" s="702">
        <v>2.5095057034220534</v>
      </c>
      <c r="Q303" s="681">
        <v>264</v>
      </c>
    </row>
    <row r="304" spans="1:17" ht="14.4" customHeight="1" x14ac:dyDescent="0.3">
      <c r="A304" s="675" t="s">
        <v>3788</v>
      </c>
      <c r="B304" s="676" t="s">
        <v>3789</v>
      </c>
      <c r="C304" s="676" t="s">
        <v>2244</v>
      </c>
      <c r="D304" s="676" t="s">
        <v>3852</v>
      </c>
      <c r="E304" s="676" t="s">
        <v>3853</v>
      </c>
      <c r="F304" s="680">
        <v>5</v>
      </c>
      <c r="G304" s="680">
        <v>10060</v>
      </c>
      <c r="H304" s="680">
        <v>0.67471495640509727</v>
      </c>
      <c r="I304" s="680">
        <v>2012</v>
      </c>
      <c r="J304" s="680">
        <v>7</v>
      </c>
      <c r="K304" s="680">
        <v>14910</v>
      </c>
      <c r="L304" s="680">
        <v>1</v>
      </c>
      <c r="M304" s="680">
        <v>2130</v>
      </c>
      <c r="N304" s="680">
        <v>3</v>
      </c>
      <c r="O304" s="680">
        <v>6393</v>
      </c>
      <c r="P304" s="702">
        <v>0.42877263581488934</v>
      </c>
      <c r="Q304" s="681">
        <v>2131</v>
      </c>
    </row>
    <row r="305" spans="1:17" ht="14.4" customHeight="1" x14ac:dyDescent="0.3">
      <c r="A305" s="675" t="s">
        <v>3788</v>
      </c>
      <c r="B305" s="676" t="s">
        <v>3789</v>
      </c>
      <c r="C305" s="676" t="s">
        <v>2244</v>
      </c>
      <c r="D305" s="676" t="s">
        <v>3854</v>
      </c>
      <c r="E305" s="676" t="s">
        <v>3855</v>
      </c>
      <c r="F305" s="680">
        <v>50</v>
      </c>
      <c r="G305" s="680">
        <v>11300</v>
      </c>
      <c r="H305" s="680">
        <v>1.334120425029516</v>
      </c>
      <c r="I305" s="680">
        <v>226</v>
      </c>
      <c r="J305" s="680">
        <v>35</v>
      </c>
      <c r="K305" s="680">
        <v>8470</v>
      </c>
      <c r="L305" s="680">
        <v>1</v>
      </c>
      <c r="M305" s="680">
        <v>242</v>
      </c>
      <c r="N305" s="680">
        <v>110</v>
      </c>
      <c r="O305" s="680">
        <v>26620</v>
      </c>
      <c r="P305" s="702">
        <v>3.1428571428571428</v>
      </c>
      <c r="Q305" s="681">
        <v>242</v>
      </c>
    </row>
    <row r="306" spans="1:17" ht="14.4" customHeight="1" x14ac:dyDescent="0.3">
      <c r="A306" s="675" t="s">
        <v>3788</v>
      </c>
      <c r="B306" s="676" t="s">
        <v>3789</v>
      </c>
      <c r="C306" s="676" t="s">
        <v>2244</v>
      </c>
      <c r="D306" s="676" t="s">
        <v>3856</v>
      </c>
      <c r="E306" s="676" t="s">
        <v>3857</v>
      </c>
      <c r="F306" s="680">
        <v>1</v>
      </c>
      <c r="G306" s="680">
        <v>418</v>
      </c>
      <c r="H306" s="680">
        <v>0.19763593380614658</v>
      </c>
      <c r="I306" s="680">
        <v>418</v>
      </c>
      <c r="J306" s="680">
        <v>5</v>
      </c>
      <c r="K306" s="680">
        <v>2115</v>
      </c>
      <c r="L306" s="680">
        <v>1</v>
      </c>
      <c r="M306" s="680">
        <v>423</v>
      </c>
      <c r="N306" s="680">
        <v>6</v>
      </c>
      <c r="O306" s="680">
        <v>2544</v>
      </c>
      <c r="P306" s="702">
        <v>1.2028368794326241</v>
      </c>
      <c r="Q306" s="681">
        <v>424</v>
      </c>
    </row>
    <row r="307" spans="1:17" ht="14.4" customHeight="1" x14ac:dyDescent="0.3">
      <c r="A307" s="675" t="s">
        <v>3788</v>
      </c>
      <c r="B307" s="676" t="s">
        <v>3789</v>
      </c>
      <c r="C307" s="676" t="s">
        <v>2244</v>
      </c>
      <c r="D307" s="676" t="s">
        <v>3858</v>
      </c>
      <c r="E307" s="676" t="s">
        <v>3859</v>
      </c>
      <c r="F307" s="680">
        <v>96</v>
      </c>
      <c r="G307" s="680">
        <v>100320</v>
      </c>
      <c r="H307" s="680">
        <v>0.94148561775608841</v>
      </c>
      <c r="I307" s="680">
        <v>1045</v>
      </c>
      <c r="J307" s="680">
        <v>101</v>
      </c>
      <c r="K307" s="680">
        <v>106555</v>
      </c>
      <c r="L307" s="680">
        <v>1</v>
      </c>
      <c r="M307" s="680">
        <v>1055</v>
      </c>
      <c r="N307" s="680">
        <v>35</v>
      </c>
      <c r="O307" s="680">
        <v>36995</v>
      </c>
      <c r="P307" s="702">
        <v>0.34719159119703441</v>
      </c>
      <c r="Q307" s="681">
        <v>1057</v>
      </c>
    </row>
    <row r="308" spans="1:17" ht="14.4" customHeight="1" x14ac:dyDescent="0.3">
      <c r="A308" s="675" t="s">
        <v>3788</v>
      </c>
      <c r="B308" s="676" t="s">
        <v>3789</v>
      </c>
      <c r="C308" s="676" t="s">
        <v>2244</v>
      </c>
      <c r="D308" s="676" t="s">
        <v>3860</v>
      </c>
      <c r="E308" s="676" t="s">
        <v>3861</v>
      </c>
      <c r="F308" s="680"/>
      <c r="G308" s="680"/>
      <c r="H308" s="680"/>
      <c r="I308" s="680"/>
      <c r="J308" s="680">
        <v>1</v>
      </c>
      <c r="K308" s="680">
        <v>288</v>
      </c>
      <c r="L308" s="680">
        <v>1</v>
      </c>
      <c r="M308" s="680">
        <v>288</v>
      </c>
      <c r="N308" s="680"/>
      <c r="O308" s="680"/>
      <c r="P308" s="702"/>
      <c r="Q308" s="681"/>
    </row>
    <row r="309" spans="1:17" ht="14.4" customHeight="1" x14ac:dyDescent="0.3">
      <c r="A309" s="675" t="s">
        <v>3862</v>
      </c>
      <c r="B309" s="676" t="s">
        <v>3863</v>
      </c>
      <c r="C309" s="676" t="s">
        <v>2244</v>
      </c>
      <c r="D309" s="676" t="s">
        <v>3864</v>
      </c>
      <c r="E309" s="676" t="s">
        <v>3865</v>
      </c>
      <c r="F309" s="680">
        <v>1175</v>
      </c>
      <c r="G309" s="680">
        <v>189175</v>
      </c>
      <c r="H309" s="680">
        <v>0.91736334716995771</v>
      </c>
      <c r="I309" s="680">
        <v>161</v>
      </c>
      <c r="J309" s="680">
        <v>1192</v>
      </c>
      <c r="K309" s="680">
        <v>206216</v>
      </c>
      <c r="L309" s="680">
        <v>1</v>
      </c>
      <c r="M309" s="680">
        <v>173</v>
      </c>
      <c r="N309" s="680">
        <v>1365</v>
      </c>
      <c r="O309" s="680">
        <v>236145</v>
      </c>
      <c r="P309" s="702">
        <v>1.1451342281879195</v>
      </c>
      <c r="Q309" s="681">
        <v>173</v>
      </c>
    </row>
    <row r="310" spans="1:17" ht="14.4" customHeight="1" x14ac:dyDescent="0.3">
      <c r="A310" s="675" t="s">
        <v>3862</v>
      </c>
      <c r="B310" s="676" t="s">
        <v>3863</v>
      </c>
      <c r="C310" s="676" t="s">
        <v>2244</v>
      </c>
      <c r="D310" s="676" t="s">
        <v>3866</v>
      </c>
      <c r="E310" s="676" t="s">
        <v>3867</v>
      </c>
      <c r="F310" s="680">
        <v>3</v>
      </c>
      <c r="G310" s="680">
        <v>3507</v>
      </c>
      <c r="H310" s="680">
        <v>0.14948849104859335</v>
      </c>
      <c r="I310" s="680">
        <v>1169</v>
      </c>
      <c r="J310" s="680">
        <v>20</v>
      </c>
      <c r="K310" s="680">
        <v>23460</v>
      </c>
      <c r="L310" s="680">
        <v>1</v>
      </c>
      <c r="M310" s="680">
        <v>1173</v>
      </c>
      <c r="N310" s="680">
        <v>21</v>
      </c>
      <c r="O310" s="680">
        <v>22470</v>
      </c>
      <c r="P310" s="702">
        <v>0.9578005115089514</v>
      </c>
      <c r="Q310" s="681">
        <v>1070</v>
      </c>
    </row>
    <row r="311" spans="1:17" ht="14.4" customHeight="1" x14ac:dyDescent="0.3">
      <c r="A311" s="675" t="s">
        <v>3862</v>
      </c>
      <c r="B311" s="676" t="s">
        <v>3863</v>
      </c>
      <c r="C311" s="676" t="s">
        <v>2244</v>
      </c>
      <c r="D311" s="676" t="s">
        <v>3868</v>
      </c>
      <c r="E311" s="676" t="s">
        <v>3869</v>
      </c>
      <c r="F311" s="680">
        <v>100</v>
      </c>
      <c r="G311" s="680">
        <v>4000</v>
      </c>
      <c r="H311" s="680">
        <v>1.8066847335140017</v>
      </c>
      <c r="I311" s="680">
        <v>40</v>
      </c>
      <c r="J311" s="680">
        <v>54</v>
      </c>
      <c r="K311" s="680">
        <v>2214</v>
      </c>
      <c r="L311" s="680">
        <v>1</v>
      </c>
      <c r="M311" s="680">
        <v>41</v>
      </c>
      <c r="N311" s="680">
        <v>94</v>
      </c>
      <c r="O311" s="680">
        <v>4324</v>
      </c>
      <c r="P311" s="702">
        <v>1.953026196928636</v>
      </c>
      <c r="Q311" s="681">
        <v>46</v>
      </c>
    </row>
    <row r="312" spans="1:17" ht="14.4" customHeight="1" x14ac:dyDescent="0.3">
      <c r="A312" s="675" t="s">
        <v>3862</v>
      </c>
      <c r="B312" s="676" t="s">
        <v>3863</v>
      </c>
      <c r="C312" s="676" t="s">
        <v>2244</v>
      </c>
      <c r="D312" s="676" t="s">
        <v>3762</v>
      </c>
      <c r="E312" s="676" t="s">
        <v>3763</v>
      </c>
      <c r="F312" s="680">
        <v>9</v>
      </c>
      <c r="G312" s="680">
        <v>3447</v>
      </c>
      <c r="H312" s="680">
        <v>1.1220703125</v>
      </c>
      <c r="I312" s="680">
        <v>383</v>
      </c>
      <c r="J312" s="680">
        <v>8</v>
      </c>
      <c r="K312" s="680">
        <v>3072</v>
      </c>
      <c r="L312" s="680">
        <v>1</v>
      </c>
      <c r="M312" s="680">
        <v>384</v>
      </c>
      <c r="N312" s="680">
        <v>12</v>
      </c>
      <c r="O312" s="680">
        <v>4164</v>
      </c>
      <c r="P312" s="702">
        <v>1.35546875</v>
      </c>
      <c r="Q312" s="681">
        <v>347</v>
      </c>
    </row>
    <row r="313" spans="1:17" ht="14.4" customHeight="1" x14ac:dyDescent="0.3">
      <c r="A313" s="675" t="s">
        <v>3862</v>
      </c>
      <c r="B313" s="676" t="s">
        <v>3863</v>
      </c>
      <c r="C313" s="676" t="s">
        <v>2244</v>
      </c>
      <c r="D313" s="676" t="s">
        <v>3870</v>
      </c>
      <c r="E313" s="676" t="s">
        <v>3871</v>
      </c>
      <c r="F313" s="680">
        <v>61</v>
      </c>
      <c r="G313" s="680">
        <v>2257</v>
      </c>
      <c r="H313" s="680">
        <v>1.5249999999999999</v>
      </c>
      <c r="I313" s="680">
        <v>37</v>
      </c>
      <c r="J313" s="680">
        <v>40</v>
      </c>
      <c r="K313" s="680">
        <v>1480</v>
      </c>
      <c r="L313" s="680">
        <v>1</v>
      </c>
      <c r="M313" s="680">
        <v>37</v>
      </c>
      <c r="N313" s="680">
        <v>10</v>
      </c>
      <c r="O313" s="680">
        <v>510</v>
      </c>
      <c r="P313" s="702">
        <v>0.34459459459459457</v>
      </c>
      <c r="Q313" s="681">
        <v>51</v>
      </c>
    </row>
    <row r="314" spans="1:17" ht="14.4" customHeight="1" x14ac:dyDescent="0.3">
      <c r="A314" s="675" t="s">
        <v>3862</v>
      </c>
      <c r="B314" s="676" t="s">
        <v>3863</v>
      </c>
      <c r="C314" s="676" t="s">
        <v>2244</v>
      </c>
      <c r="D314" s="676" t="s">
        <v>3872</v>
      </c>
      <c r="E314" s="676" t="s">
        <v>3873</v>
      </c>
      <c r="F314" s="680">
        <v>9</v>
      </c>
      <c r="G314" s="680">
        <v>4005</v>
      </c>
      <c r="H314" s="680">
        <v>0.99775784753363228</v>
      </c>
      <c r="I314" s="680">
        <v>445</v>
      </c>
      <c r="J314" s="680">
        <v>9</v>
      </c>
      <c r="K314" s="680">
        <v>4014</v>
      </c>
      <c r="L314" s="680">
        <v>1</v>
      </c>
      <c r="M314" s="680">
        <v>446</v>
      </c>
      <c r="N314" s="680">
        <v>37</v>
      </c>
      <c r="O314" s="680">
        <v>13949</v>
      </c>
      <c r="P314" s="702">
        <v>3.4750871948181365</v>
      </c>
      <c r="Q314" s="681">
        <v>377</v>
      </c>
    </row>
    <row r="315" spans="1:17" ht="14.4" customHeight="1" x14ac:dyDescent="0.3">
      <c r="A315" s="675" t="s">
        <v>3862</v>
      </c>
      <c r="B315" s="676" t="s">
        <v>3863</v>
      </c>
      <c r="C315" s="676" t="s">
        <v>2244</v>
      </c>
      <c r="D315" s="676" t="s">
        <v>3874</v>
      </c>
      <c r="E315" s="676" t="s">
        <v>3875</v>
      </c>
      <c r="F315" s="680">
        <v>1</v>
      </c>
      <c r="G315" s="680">
        <v>41</v>
      </c>
      <c r="H315" s="680">
        <v>0.48809523809523808</v>
      </c>
      <c r="I315" s="680">
        <v>41</v>
      </c>
      <c r="J315" s="680">
        <v>2</v>
      </c>
      <c r="K315" s="680">
        <v>84</v>
      </c>
      <c r="L315" s="680">
        <v>1</v>
      </c>
      <c r="M315" s="680">
        <v>42</v>
      </c>
      <c r="N315" s="680">
        <v>1</v>
      </c>
      <c r="O315" s="680">
        <v>34</v>
      </c>
      <c r="P315" s="702">
        <v>0.40476190476190477</v>
      </c>
      <c r="Q315" s="681">
        <v>34</v>
      </c>
    </row>
    <row r="316" spans="1:17" ht="14.4" customHeight="1" x14ac:dyDescent="0.3">
      <c r="A316" s="675" t="s">
        <v>3862</v>
      </c>
      <c r="B316" s="676" t="s">
        <v>3863</v>
      </c>
      <c r="C316" s="676" t="s">
        <v>2244</v>
      </c>
      <c r="D316" s="676" t="s">
        <v>3876</v>
      </c>
      <c r="E316" s="676" t="s">
        <v>3877</v>
      </c>
      <c r="F316" s="680">
        <v>19</v>
      </c>
      <c r="G316" s="680">
        <v>9329</v>
      </c>
      <c r="H316" s="680">
        <v>0.90292295780100662</v>
      </c>
      <c r="I316" s="680">
        <v>491</v>
      </c>
      <c r="J316" s="680">
        <v>21</v>
      </c>
      <c r="K316" s="680">
        <v>10332</v>
      </c>
      <c r="L316" s="680">
        <v>1</v>
      </c>
      <c r="M316" s="680">
        <v>492</v>
      </c>
      <c r="N316" s="680">
        <v>22</v>
      </c>
      <c r="O316" s="680">
        <v>11528</v>
      </c>
      <c r="P316" s="702">
        <v>1.1157568718544328</v>
      </c>
      <c r="Q316" s="681">
        <v>524</v>
      </c>
    </row>
    <row r="317" spans="1:17" ht="14.4" customHeight="1" x14ac:dyDescent="0.3">
      <c r="A317" s="675" t="s">
        <v>3862</v>
      </c>
      <c r="B317" s="676" t="s">
        <v>3863</v>
      </c>
      <c r="C317" s="676" t="s">
        <v>2244</v>
      </c>
      <c r="D317" s="676" t="s">
        <v>3878</v>
      </c>
      <c r="E317" s="676" t="s">
        <v>3879</v>
      </c>
      <c r="F317" s="680">
        <v>21</v>
      </c>
      <c r="G317" s="680">
        <v>651</v>
      </c>
      <c r="H317" s="680">
        <v>1.6153846153846154</v>
      </c>
      <c r="I317" s="680">
        <v>31</v>
      </c>
      <c r="J317" s="680">
        <v>13</v>
      </c>
      <c r="K317" s="680">
        <v>403</v>
      </c>
      <c r="L317" s="680">
        <v>1</v>
      </c>
      <c r="M317" s="680">
        <v>31</v>
      </c>
      <c r="N317" s="680">
        <v>19</v>
      </c>
      <c r="O317" s="680">
        <v>1083</v>
      </c>
      <c r="P317" s="702">
        <v>2.6873449131513647</v>
      </c>
      <c r="Q317" s="681">
        <v>57</v>
      </c>
    </row>
    <row r="318" spans="1:17" ht="14.4" customHeight="1" x14ac:dyDescent="0.3">
      <c r="A318" s="675" t="s">
        <v>3862</v>
      </c>
      <c r="B318" s="676" t="s">
        <v>3863</v>
      </c>
      <c r="C318" s="676" t="s">
        <v>2244</v>
      </c>
      <c r="D318" s="676" t="s">
        <v>3880</v>
      </c>
      <c r="E318" s="676" t="s">
        <v>3881</v>
      </c>
      <c r="F318" s="680">
        <v>6</v>
      </c>
      <c r="G318" s="680">
        <v>1242</v>
      </c>
      <c r="H318" s="680">
        <v>1.9903846153846154</v>
      </c>
      <c r="I318" s="680">
        <v>207</v>
      </c>
      <c r="J318" s="680">
        <v>3</v>
      </c>
      <c r="K318" s="680">
        <v>624</v>
      </c>
      <c r="L318" s="680">
        <v>1</v>
      </c>
      <c r="M318" s="680">
        <v>208</v>
      </c>
      <c r="N318" s="680">
        <v>2</v>
      </c>
      <c r="O318" s="680">
        <v>448</v>
      </c>
      <c r="P318" s="702">
        <v>0.71794871794871795</v>
      </c>
      <c r="Q318" s="681">
        <v>224</v>
      </c>
    </row>
    <row r="319" spans="1:17" ht="14.4" customHeight="1" x14ac:dyDescent="0.3">
      <c r="A319" s="675" t="s">
        <v>3862</v>
      </c>
      <c r="B319" s="676" t="s">
        <v>3863</v>
      </c>
      <c r="C319" s="676" t="s">
        <v>2244</v>
      </c>
      <c r="D319" s="676" t="s">
        <v>3882</v>
      </c>
      <c r="E319" s="676" t="s">
        <v>3883</v>
      </c>
      <c r="F319" s="680">
        <v>6</v>
      </c>
      <c r="G319" s="680">
        <v>2280</v>
      </c>
      <c r="H319" s="680">
        <v>1.9791666666666667</v>
      </c>
      <c r="I319" s="680">
        <v>380</v>
      </c>
      <c r="J319" s="680">
        <v>3</v>
      </c>
      <c r="K319" s="680">
        <v>1152</v>
      </c>
      <c r="L319" s="680">
        <v>1</v>
      </c>
      <c r="M319" s="680">
        <v>384</v>
      </c>
      <c r="N319" s="680">
        <v>2</v>
      </c>
      <c r="O319" s="680">
        <v>1106</v>
      </c>
      <c r="P319" s="702">
        <v>0.96006944444444442</v>
      </c>
      <c r="Q319" s="681">
        <v>553</v>
      </c>
    </row>
    <row r="320" spans="1:17" ht="14.4" customHeight="1" x14ac:dyDescent="0.3">
      <c r="A320" s="675" t="s">
        <v>3862</v>
      </c>
      <c r="B320" s="676" t="s">
        <v>3863</v>
      </c>
      <c r="C320" s="676" t="s">
        <v>2244</v>
      </c>
      <c r="D320" s="676" t="s">
        <v>3884</v>
      </c>
      <c r="E320" s="676" t="s">
        <v>3885</v>
      </c>
      <c r="F320" s="680">
        <v>1</v>
      </c>
      <c r="G320" s="680">
        <v>234</v>
      </c>
      <c r="H320" s="680"/>
      <c r="I320" s="680">
        <v>234</v>
      </c>
      <c r="J320" s="680"/>
      <c r="K320" s="680"/>
      <c r="L320" s="680"/>
      <c r="M320" s="680"/>
      <c r="N320" s="680"/>
      <c r="O320" s="680"/>
      <c r="P320" s="702"/>
      <c r="Q320" s="681"/>
    </row>
    <row r="321" spans="1:17" ht="14.4" customHeight="1" x14ac:dyDescent="0.3">
      <c r="A321" s="675" t="s">
        <v>3862</v>
      </c>
      <c r="B321" s="676" t="s">
        <v>3863</v>
      </c>
      <c r="C321" s="676" t="s">
        <v>2244</v>
      </c>
      <c r="D321" s="676" t="s">
        <v>3886</v>
      </c>
      <c r="E321" s="676" t="s">
        <v>3887</v>
      </c>
      <c r="F321" s="680">
        <v>824</v>
      </c>
      <c r="G321" s="680">
        <v>95584</v>
      </c>
      <c r="H321" s="680">
        <v>0.99145299145299148</v>
      </c>
      <c r="I321" s="680">
        <v>116</v>
      </c>
      <c r="J321" s="680">
        <v>824</v>
      </c>
      <c r="K321" s="680">
        <v>96408</v>
      </c>
      <c r="L321" s="680">
        <v>1</v>
      </c>
      <c r="M321" s="680">
        <v>117</v>
      </c>
      <c r="N321" s="680">
        <v>1051</v>
      </c>
      <c r="O321" s="680">
        <v>142936</v>
      </c>
      <c r="P321" s="702">
        <v>1.4826155505767156</v>
      </c>
      <c r="Q321" s="681">
        <v>136</v>
      </c>
    </row>
    <row r="322" spans="1:17" ht="14.4" customHeight="1" x14ac:dyDescent="0.3">
      <c r="A322" s="675" t="s">
        <v>3862</v>
      </c>
      <c r="B322" s="676" t="s">
        <v>3863</v>
      </c>
      <c r="C322" s="676" t="s">
        <v>2244</v>
      </c>
      <c r="D322" s="676" t="s">
        <v>3888</v>
      </c>
      <c r="E322" s="676" t="s">
        <v>3889</v>
      </c>
      <c r="F322" s="680">
        <v>507</v>
      </c>
      <c r="G322" s="680">
        <v>43095</v>
      </c>
      <c r="H322" s="680">
        <v>0.93039573393207975</v>
      </c>
      <c r="I322" s="680">
        <v>85</v>
      </c>
      <c r="J322" s="680">
        <v>509</v>
      </c>
      <c r="K322" s="680">
        <v>46319</v>
      </c>
      <c r="L322" s="680">
        <v>1</v>
      </c>
      <c r="M322" s="680">
        <v>91</v>
      </c>
      <c r="N322" s="680">
        <v>586</v>
      </c>
      <c r="O322" s="680">
        <v>53326</v>
      </c>
      <c r="P322" s="702">
        <v>1.1512770137524557</v>
      </c>
      <c r="Q322" s="681">
        <v>91</v>
      </c>
    </row>
    <row r="323" spans="1:17" ht="14.4" customHeight="1" x14ac:dyDescent="0.3">
      <c r="A323" s="675" t="s">
        <v>3862</v>
      </c>
      <c r="B323" s="676" t="s">
        <v>3863</v>
      </c>
      <c r="C323" s="676" t="s">
        <v>2244</v>
      </c>
      <c r="D323" s="676" t="s">
        <v>3890</v>
      </c>
      <c r="E323" s="676" t="s">
        <v>3891</v>
      </c>
      <c r="F323" s="680">
        <v>4</v>
      </c>
      <c r="G323" s="680">
        <v>392</v>
      </c>
      <c r="H323" s="680"/>
      <c r="I323" s="680">
        <v>98</v>
      </c>
      <c r="J323" s="680"/>
      <c r="K323" s="680"/>
      <c r="L323" s="680"/>
      <c r="M323" s="680"/>
      <c r="N323" s="680">
        <v>4</v>
      </c>
      <c r="O323" s="680">
        <v>548</v>
      </c>
      <c r="P323" s="702"/>
      <c r="Q323" s="681">
        <v>137</v>
      </c>
    </row>
    <row r="324" spans="1:17" ht="14.4" customHeight="1" x14ac:dyDescent="0.3">
      <c r="A324" s="675" t="s">
        <v>3862</v>
      </c>
      <c r="B324" s="676" t="s">
        <v>3863</v>
      </c>
      <c r="C324" s="676" t="s">
        <v>2244</v>
      </c>
      <c r="D324" s="676" t="s">
        <v>3892</v>
      </c>
      <c r="E324" s="676" t="s">
        <v>3893</v>
      </c>
      <c r="F324" s="680">
        <v>155</v>
      </c>
      <c r="G324" s="680">
        <v>3255</v>
      </c>
      <c r="H324" s="680">
        <v>2.7678571428571428</v>
      </c>
      <c r="I324" s="680">
        <v>21</v>
      </c>
      <c r="J324" s="680">
        <v>56</v>
      </c>
      <c r="K324" s="680">
        <v>1176</v>
      </c>
      <c r="L324" s="680">
        <v>1</v>
      </c>
      <c r="M324" s="680">
        <v>21</v>
      </c>
      <c r="N324" s="680">
        <v>97</v>
      </c>
      <c r="O324" s="680">
        <v>6402</v>
      </c>
      <c r="P324" s="702">
        <v>5.4438775510204085</v>
      </c>
      <c r="Q324" s="681">
        <v>66</v>
      </c>
    </row>
    <row r="325" spans="1:17" ht="14.4" customHeight="1" x14ac:dyDescent="0.3">
      <c r="A325" s="675" t="s">
        <v>3862</v>
      </c>
      <c r="B325" s="676" t="s">
        <v>3863</v>
      </c>
      <c r="C325" s="676" t="s">
        <v>2244</v>
      </c>
      <c r="D325" s="676" t="s">
        <v>3771</v>
      </c>
      <c r="E325" s="676" t="s">
        <v>3772</v>
      </c>
      <c r="F325" s="680">
        <v>88</v>
      </c>
      <c r="G325" s="680">
        <v>42856</v>
      </c>
      <c r="H325" s="680">
        <v>0.93425183118242061</v>
      </c>
      <c r="I325" s="680">
        <v>487</v>
      </c>
      <c r="J325" s="680">
        <v>94</v>
      </c>
      <c r="K325" s="680">
        <v>45872</v>
      </c>
      <c r="L325" s="680">
        <v>1</v>
      </c>
      <c r="M325" s="680">
        <v>488</v>
      </c>
      <c r="N325" s="680">
        <v>76</v>
      </c>
      <c r="O325" s="680">
        <v>24928</v>
      </c>
      <c r="P325" s="702">
        <v>0.54342518311824206</v>
      </c>
      <c r="Q325" s="681">
        <v>328</v>
      </c>
    </row>
    <row r="326" spans="1:17" ht="14.4" customHeight="1" x14ac:dyDescent="0.3">
      <c r="A326" s="675" t="s">
        <v>3862</v>
      </c>
      <c r="B326" s="676" t="s">
        <v>3863</v>
      </c>
      <c r="C326" s="676" t="s">
        <v>2244</v>
      </c>
      <c r="D326" s="676" t="s">
        <v>3894</v>
      </c>
      <c r="E326" s="676" t="s">
        <v>3895</v>
      </c>
      <c r="F326" s="680">
        <v>141</v>
      </c>
      <c r="G326" s="680">
        <v>5781</v>
      </c>
      <c r="H326" s="680">
        <v>1.4536082474226804</v>
      </c>
      <c r="I326" s="680">
        <v>41</v>
      </c>
      <c r="J326" s="680">
        <v>97</v>
      </c>
      <c r="K326" s="680">
        <v>3977</v>
      </c>
      <c r="L326" s="680">
        <v>1</v>
      </c>
      <c r="M326" s="680">
        <v>41</v>
      </c>
      <c r="N326" s="680">
        <v>119</v>
      </c>
      <c r="O326" s="680">
        <v>6069</v>
      </c>
      <c r="P326" s="702">
        <v>1.5260246416897159</v>
      </c>
      <c r="Q326" s="681">
        <v>51</v>
      </c>
    </row>
    <row r="327" spans="1:17" ht="14.4" customHeight="1" x14ac:dyDescent="0.3">
      <c r="A327" s="675" t="s">
        <v>3862</v>
      </c>
      <c r="B327" s="676" t="s">
        <v>3863</v>
      </c>
      <c r="C327" s="676" t="s">
        <v>2244</v>
      </c>
      <c r="D327" s="676" t="s">
        <v>3896</v>
      </c>
      <c r="E327" s="676" t="s">
        <v>3897</v>
      </c>
      <c r="F327" s="680">
        <v>1</v>
      </c>
      <c r="G327" s="680">
        <v>2072</v>
      </c>
      <c r="H327" s="680"/>
      <c r="I327" s="680">
        <v>2072</v>
      </c>
      <c r="J327" s="680"/>
      <c r="K327" s="680"/>
      <c r="L327" s="680"/>
      <c r="M327" s="680"/>
      <c r="N327" s="680"/>
      <c r="O327" s="680"/>
      <c r="P327" s="702"/>
      <c r="Q327" s="681"/>
    </row>
    <row r="328" spans="1:17" ht="14.4" customHeight="1" x14ac:dyDescent="0.3">
      <c r="A328" s="675" t="s">
        <v>3862</v>
      </c>
      <c r="B328" s="676" t="s">
        <v>3863</v>
      </c>
      <c r="C328" s="676" t="s">
        <v>2244</v>
      </c>
      <c r="D328" s="676" t="s">
        <v>3898</v>
      </c>
      <c r="E328" s="676" t="s">
        <v>3899</v>
      </c>
      <c r="F328" s="680">
        <v>20</v>
      </c>
      <c r="G328" s="680">
        <v>12160</v>
      </c>
      <c r="H328" s="680">
        <v>1.1002533478103511</v>
      </c>
      <c r="I328" s="680">
        <v>608</v>
      </c>
      <c r="J328" s="680">
        <v>18</v>
      </c>
      <c r="K328" s="680">
        <v>11052</v>
      </c>
      <c r="L328" s="680">
        <v>1</v>
      </c>
      <c r="M328" s="680">
        <v>614</v>
      </c>
      <c r="N328" s="680">
        <v>22</v>
      </c>
      <c r="O328" s="680">
        <v>13464</v>
      </c>
      <c r="P328" s="702">
        <v>1.218241042345277</v>
      </c>
      <c r="Q328" s="681">
        <v>612</v>
      </c>
    </row>
    <row r="329" spans="1:17" ht="14.4" customHeight="1" x14ac:dyDescent="0.3">
      <c r="A329" s="675" t="s">
        <v>3862</v>
      </c>
      <c r="B329" s="676" t="s">
        <v>3863</v>
      </c>
      <c r="C329" s="676" t="s">
        <v>2244</v>
      </c>
      <c r="D329" s="676" t="s">
        <v>3900</v>
      </c>
      <c r="E329" s="676" t="s">
        <v>3901</v>
      </c>
      <c r="F329" s="680">
        <v>1</v>
      </c>
      <c r="G329" s="680">
        <v>962</v>
      </c>
      <c r="H329" s="680"/>
      <c r="I329" s="680">
        <v>962</v>
      </c>
      <c r="J329" s="680"/>
      <c r="K329" s="680"/>
      <c r="L329" s="680"/>
      <c r="M329" s="680"/>
      <c r="N329" s="680"/>
      <c r="O329" s="680"/>
      <c r="P329" s="702"/>
      <c r="Q329" s="681"/>
    </row>
    <row r="330" spans="1:17" ht="14.4" customHeight="1" x14ac:dyDescent="0.3">
      <c r="A330" s="675" t="s">
        <v>3862</v>
      </c>
      <c r="B330" s="676" t="s">
        <v>3863</v>
      </c>
      <c r="C330" s="676" t="s">
        <v>2244</v>
      </c>
      <c r="D330" s="676" t="s">
        <v>3902</v>
      </c>
      <c r="E330" s="676" t="s">
        <v>3903</v>
      </c>
      <c r="F330" s="680">
        <v>1</v>
      </c>
      <c r="G330" s="680">
        <v>248</v>
      </c>
      <c r="H330" s="680"/>
      <c r="I330" s="680">
        <v>248</v>
      </c>
      <c r="J330" s="680"/>
      <c r="K330" s="680"/>
      <c r="L330" s="680"/>
      <c r="M330" s="680"/>
      <c r="N330" s="680"/>
      <c r="O330" s="680"/>
      <c r="P330" s="702"/>
      <c r="Q330" s="681"/>
    </row>
    <row r="331" spans="1:17" ht="14.4" customHeight="1" x14ac:dyDescent="0.3">
      <c r="A331" s="675" t="s">
        <v>3862</v>
      </c>
      <c r="B331" s="676" t="s">
        <v>3863</v>
      </c>
      <c r="C331" s="676" t="s">
        <v>2244</v>
      </c>
      <c r="D331" s="676" t="s">
        <v>3904</v>
      </c>
      <c r="E331" s="676" t="s">
        <v>3905</v>
      </c>
      <c r="F331" s="680">
        <v>1</v>
      </c>
      <c r="G331" s="680">
        <v>328</v>
      </c>
      <c r="H331" s="680">
        <v>0.24924012158054712</v>
      </c>
      <c r="I331" s="680">
        <v>328</v>
      </c>
      <c r="J331" s="680">
        <v>4</v>
      </c>
      <c r="K331" s="680">
        <v>1316</v>
      </c>
      <c r="L331" s="680">
        <v>1</v>
      </c>
      <c r="M331" s="680">
        <v>329</v>
      </c>
      <c r="N331" s="680"/>
      <c r="O331" s="680"/>
      <c r="P331" s="702"/>
      <c r="Q331" s="681"/>
    </row>
    <row r="332" spans="1:17" ht="14.4" customHeight="1" x14ac:dyDescent="0.3">
      <c r="A332" s="675" t="s">
        <v>3862</v>
      </c>
      <c r="B332" s="676" t="s">
        <v>3863</v>
      </c>
      <c r="C332" s="676" t="s">
        <v>2244</v>
      </c>
      <c r="D332" s="676" t="s">
        <v>3906</v>
      </c>
      <c r="E332" s="676" t="s">
        <v>3907</v>
      </c>
      <c r="F332" s="680"/>
      <c r="G332" s="680"/>
      <c r="H332" s="680"/>
      <c r="I332" s="680"/>
      <c r="J332" s="680"/>
      <c r="K332" s="680"/>
      <c r="L332" s="680"/>
      <c r="M332" s="680"/>
      <c r="N332" s="680">
        <v>1</v>
      </c>
      <c r="O332" s="680">
        <v>242</v>
      </c>
      <c r="P332" s="702"/>
      <c r="Q332" s="681">
        <v>242</v>
      </c>
    </row>
    <row r="333" spans="1:17" ht="14.4" customHeight="1" x14ac:dyDescent="0.3">
      <c r="A333" s="675" t="s">
        <v>3908</v>
      </c>
      <c r="B333" s="676" t="s">
        <v>3548</v>
      </c>
      <c r="C333" s="676" t="s">
        <v>2244</v>
      </c>
      <c r="D333" s="676" t="s">
        <v>3909</v>
      </c>
      <c r="E333" s="676" t="s">
        <v>3910</v>
      </c>
      <c r="F333" s="680">
        <v>1</v>
      </c>
      <c r="G333" s="680">
        <v>1184</v>
      </c>
      <c r="H333" s="680"/>
      <c r="I333" s="680">
        <v>1184</v>
      </c>
      <c r="J333" s="680"/>
      <c r="K333" s="680"/>
      <c r="L333" s="680"/>
      <c r="M333" s="680"/>
      <c r="N333" s="680"/>
      <c r="O333" s="680"/>
      <c r="P333" s="702"/>
      <c r="Q333" s="681"/>
    </row>
    <row r="334" spans="1:17" ht="14.4" customHeight="1" x14ac:dyDescent="0.3">
      <c r="A334" s="675" t="s">
        <v>3908</v>
      </c>
      <c r="B334" s="676" t="s">
        <v>3548</v>
      </c>
      <c r="C334" s="676" t="s">
        <v>2244</v>
      </c>
      <c r="D334" s="676" t="s">
        <v>3911</v>
      </c>
      <c r="E334" s="676" t="s">
        <v>3912</v>
      </c>
      <c r="F334" s="680"/>
      <c r="G334" s="680"/>
      <c r="H334" s="680"/>
      <c r="I334" s="680"/>
      <c r="J334" s="680">
        <v>1</v>
      </c>
      <c r="K334" s="680">
        <v>842</v>
      </c>
      <c r="L334" s="680">
        <v>1</v>
      </c>
      <c r="M334" s="680">
        <v>842</v>
      </c>
      <c r="N334" s="680">
        <v>1</v>
      </c>
      <c r="O334" s="680">
        <v>843</v>
      </c>
      <c r="P334" s="702">
        <v>1.0011876484560569</v>
      </c>
      <c r="Q334" s="681">
        <v>843</v>
      </c>
    </row>
    <row r="335" spans="1:17" ht="14.4" customHeight="1" x14ac:dyDescent="0.3">
      <c r="A335" s="675" t="s">
        <v>3908</v>
      </c>
      <c r="B335" s="676" t="s">
        <v>3548</v>
      </c>
      <c r="C335" s="676" t="s">
        <v>2244</v>
      </c>
      <c r="D335" s="676" t="s">
        <v>3388</v>
      </c>
      <c r="E335" s="676" t="s">
        <v>3389</v>
      </c>
      <c r="F335" s="680">
        <v>6</v>
      </c>
      <c r="G335" s="680">
        <v>1002</v>
      </c>
      <c r="H335" s="680">
        <v>0.35084033613445376</v>
      </c>
      <c r="I335" s="680">
        <v>167</v>
      </c>
      <c r="J335" s="680">
        <v>17</v>
      </c>
      <c r="K335" s="680">
        <v>2856</v>
      </c>
      <c r="L335" s="680">
        <v>1</v>
      </c>
      <c r="M335" s="680">
        <v>168</v>
      </c>
      <c r="N335" s="680">
        <v>4</v>
      </c>
      <c r="O335" s="680">
        <v>672</v>
      </c>
      <c r="P335" s="702">
        <v>0.23529411764705882</v>
      </c>
      <c r="Q335" s="681">
        <v>168</v>
      </c>
    </row>
    <row r="336" spans="1:17" ht="14.4" customHeight="1" x14ac:dyDescent="0.3">
      <c r="A336" s="675" t="s">
        <v>3908</v>
      </c>
      <c r="B336" s="676" t="s">
        <v>3548</v>
      </c>
      <c r="C336" s="676" t="s">
        <v>2244</v>
      </c>
      <c r="D336" s="676" t="s">
        <v>3913</v>
      </c>
      <c r="E336" s="676" t="s">
        <v>3914</v>
      </c>
      <c r="F336" s="680">
        <v>6</v>
      </c>
      <c r="G336" s="680">
        <v>1038</v>
      </c>
      <c r="H336" s="680">
        <v>0.33141762452107282</v>
      </c>
      <c r="I336" s="680">
        <v>173</v>
      </c>
      <c r="J336" s="680">
        <v>18</v>
      </c>
      <c r="K336" s="680">
        <v>3132</v>
      </c>
      <c r="L336" s="680">
        <v>1</v>
      </c>
      <c r="M336" s="680">
        <v>174</v>
      </c>
      <c r="N336" s="680">
        <v>4</v>
      </c>
      <c r="O336" s="680">
        <v>696</v>
      </c>
      <c r="P336" s="702">
        <v>0.22222222222222221</v>
      </c>
      <c r="Q336" s="681">
        <v>174</v>
      </c>
    </row>
    <row r="337" spans="1:17" ht="14.4" customHeight="1" x14ac:dyDescent="0.3">
      <c r="A337" s="675" t="s">
        <v>3908</v>
      </c>
      <c r="B337" s="676" t="s">
        <v>3548</v>
      </c>
      <c r="C337" s="676" t="s">
        <v>2244</v>
      </c>
      <c r="D337" s="676" t="s">
        <v>3392</v>
      </c>
      <c r="E337" s="676" t="s">
        <v>3393</v>
      </c>
      <c r="F337" s="680"/>
      <c r="G337" s="680"/>
      <c r="H337" s="680"/>
      <c r="I337" s="680"/>
      <c r="J337" s="680">
        <v>1</v>
      </c>
      <c r="K337" s="680">
        <v>352</v>
      </c>
      <c r="L337" s="680">
        <v>1</v>
      </c>
      <c r="M337" s="680">
        <v>352</v>
      </c>
      <c r="N337" s="680"/>
      <c r="O337" s="680"/>
      <c r="P337" s="702"/>
      <c r="Q337" s="681"/>
    </row>
    <row r="338" spans="1:17" ht="14.4" customHeight="1" x14ac:dyDescent="0.3">
      <c r="A338" s="675" t="s">
        <v>3908</v>
      </c>
      <c r="B338" s="676" t="s">
        <v>3548</v>
      </c>
      <c r="C338" s="676" t="s">
        <v>2244</v>
      </c>
      <c r="D338" s="676" t="s">
        <v>3915</v>
      </c>
      <c r="E338" s="676" t="s">
        <v>3916</v>
      </c>
      <c r="F338" s="680"/>
      <c r="G338" s="680"/>
      <c r="H338" s="680"/>
      <c r="I338" s="680"/>
      <c r="J338" s="680">
        <v>1</v>
      </c>
      <c r="K338" s="680">
        <v>513</v>
      </c>
      <c r="L338" s="680">
        <v>1</v>
      </c>
      <c r="M338" s="680">
        <v>513</v>
      </c>
      <c r="N338" s="680"/>
      <c r="O338" s="680"/>
      <c r="P338" s="702"/>
      <c r="Q338" s="681"/>
    </row>
    <row r="339" spans="1:17" ht="14.4" customHeight="1" x14ac:dyDescent="0.3">
      <c r="A339" s="675" t="s">
        <v>3908</v>
      </c>
      <c r="B339" s="676" t="s">
        <v>3548</v>
      </c>
      <c r="C339" s="676" t="s">
        <v>2244</v>
      </c>
      <c r="D339" s="676" t="s">
        <v>3917</v>
      </c>
      <c r="E339" s="676" t="s">
        <v>3918</v>
      </c>
      <c r="F339" s="680"/>
      <c r="G339" s="680"/>
      <c r="H339" s="680"/>
      <c r="I339" s="680"/>
      <c r="J339" s="680">
        <v>1</v>
      </c>
      <c r="K339" s="680">
        <v>423</v>
      </c>
      <c r="L339" s="680">
        <v>1</v>
      </c>
      <c r="M339" s="680">
        <v>423</v>
      </c>
      <c r="N339" s="680"/>
      <c r="O339" s="680"/>
      <c r="P339" s="702"/>
      <c r="Q339" s="681"/>
    </row>
    <row r="340" spans="1:17" ht="14.4" customHeight="1" x14ac:dyDescent="0.3">
      <c r="A340" s="675" t="s">
        <v>3908</v>
      </c>
      <c r="B340" s="676" t="s">
        <v>3548</v>
      </c>
      <c r="C340" s="676" t="s">
        <v>2244</v>
      </c>
      <c r="D340" s="676" t="s">
        <v>3919</v>
      </c>
      <c r="E340" s="676" t="s">
        <v>3920</v>
      </c>
      <c r="F340" s="680"/>
      <c r="G340" s="680"/>
      <c r="H340" s="680"/>
      <c r="I340" s="680"/>
      <c r="J340" s="680">
        <v>2</v>
      </c>
      <c r="K340" s="680">
        <v>1016</v>
      </c>
      <c r="L340" s="680">
        <v>1</v>
      </c>
      <c r="M340" s="680">
        <v>508</v>
      </c>
      <c r="N340" s="680"/>
      <c r="O340" s="680"/>
      <c r="P340" s="702"/>
      <c r="Q340" s="681"/>
    </row>
    <row r="341" spans="1:17" ht="14.4" customHeight="1" x14ac:dyDescent="0.3">
      <c r="A341" s="675" t="s">
        <v>3908</v>
      </c>
      <c r="B341" s="676" t="s">
        <v>3548</v>
      </c>
      <c r="C341" s="676" t="s">
        <v>2244</v>
      </c>
      <c r="D341" s="676" t="s">
        <v>3921</v>
      </c>
      <c r="E341" s="676" t="s">
        <v>3922</v>
      </c>
      <c r="F341" s="680">
        <v>15</v>
      </c>
      <c r="G341" s="680">
        <v>5235</v>
      </c>
      <c r="H341" s="680">
        <v>0.29914285714285715</v>
      </c>
      <c r="I341" s="680">
        <v>349</v>
      </c>
      <c r="J341" s="680">
        <v>50</v>
      </c>
      <c r="K341" s="680">
        <v>17500</v>
      </c>
      <c r="L341" s="680">
        <v>1</v>
      </c>
      <c r="M341" s="680">
        <v>350</v>
      </c>
      <c r="N341" s="680">
        <v>12</v>
      </c>
      <c r="O341" s="680">
        <v>4200</v>
      </c>
      <c r="P341" s="702">
        <v>0.24</v>
      </c>
      <c r="Q341" s="681">
        <v>350</v>
      </c>
    </row>
    <row r="342" spans="1:17" ht="14.4" customHeight="1" x14ac:dyDescent="0.3">
      <c r="A342" s="675" t="s">
        <v>3908</v>
      </c>
      <c r="B342" s="676" t="s">
        <v>3548</v>
      </c>
      <c r="C342" s="676" t="s">
        <v>2244</v>
      </c>
      <c r="D342" s="676" t="s">
        <v>3923</v>
      </c>
      <c r="E342" s="676" t="s">
        <v>3924</v>
      </c>
      <c r="F342" s="680">
        <v>6</v>
      </c>
      <c r="G342" s="680">
        <v>234</v>
      </c>
      <c r="H342" s="680">
        <v>0.32500000000000001</v>
      </c>
      <c r="I342" s="680">
        <v>39</v>
      </c>
      <c r="J342" s="680">
        <v>18</v>
      </c>
      <c r="K342" s="680">
        <v>720</v>
      </c>
      <c r="L342" s="680">
        <v>1</v>
      </c>
      <c r="M342" s="680">
        <v>40</v>
      </c>
      <c r="N342" s="680">
        <v>4</v>
      </c>
      <c r="O342" s="680">
        <v>160</v>
      </c>
      <c r="P342" s="702">
        <v>0.22222222222222221</v>
      </c>
      <c r="Q342" s="681">
        <v>40</v>
      </c>
    </row>
    <row r="343" spans="1:17" ht="14.4" customHeight="1" x14ac:dyDescent="0.3">
      <c r="A343" s="675" t="s">
        <v>3908</v>
      </c>
      <c r="B343" s="676" t="s">
        <v>3548</v>
      </c>
      <c r="C343" s="676" t="s">
        <v>2244</v>
      </c>
      <c r="D343" s="676" t="s">
        <v>3464</v>
      </c>
      <c r="E343" s="676" t="s">
        <v>3465</v>
      </c>
      <c r="F343" s="680">
        <v>6</v>
      </c>
      <c r="G343" s="680">
        <v>1020</v>
      </c>
      <c r="H343" s="680">
        <v>0.35087719298245612</v>
      </c>
      <c r="I343" s="680">
        <v>170</v>
      </c>
      <c r="J343" s="680">
        <v>17</v>
      </c>
      <c r="K343" s="680">
        <v>2907</v>
      </c>
      <c r="L343" s="680">
        <v>1</v>
      </c>
      <c r="M343" s="680">
        <v>171</v>
      </c>
      <c r="N343" s="680">
        <v>4</v>
      </c>
      <c r="O343" s="680">
        <v>684</v>
      </c>
      <c r="P343" s="702">
        <v>0.23529411764705882</v>
      </c>
      <c r="Q343" s="681">
        <v>171</v>
      </c>
    </row>
    <row r="344" spans="1:17" ht="14.4" customHeight="1" x14ac:dyDescent="0.3">
      <c r="A344" s="675" t="s">
        <v>3908</v>
      </c>
      <c r="B344" s="676" t="s">
        <v>3548</v>
      </c>
      <c r="C344" s="676" t="s">
        <v>2244</v>
      </c>
      <c r="D344" s="676" t="s">
        <v>3925</v>
      </c>
      <c r="E344" s="676" t="s">
        <v>3926</v>
      </c>
      <c r="F344" s="680">
        <v>1</v>
      </c>
      <c r="G344" s="680">
        <v>348</v>
      </c>
      <c r="H344" s="680">
        <v>0.99428571428571433</v>
      </c>
      <c r="I344" s="680">
        <v>348</v>
      </c>
      <c r="J344" s="680">
        <v>1</v>
      </c>
      <c r="K344" s="680">
        <v>350</v>
      </c>
      <c r="L344" s="680">
        <v>1</v>
      </c>
      <c r="M344" s="680">
        <v>350</v>
      </c>
      <c r="N344" s="680">
        <v>1</v>
      </c>
      <c r="O344" s="680">
        <v>350</v>
      </c>
      <c r="P344" s="702">
        <v>1</v>
      </c>
      <c r="Q344" s="681">
        <v>350</v>
      </c>
    </row>
    <row r="345" spans="1:17" ht="14.4" customHeight="1" x14ac:dyDescent="0.3">
      <c r="A345" s="675" t="s">
        <v>3908</v>
      </c>
      <c r="B345" s="676" t="s">
        <v>3548</v>
      </c>
      <c r="C345" s="676" t="s">
        <v>2244</v>
      </c>
      <c r="D345" s="676" t="s">
        <v>3486</v>
      </c>
      <c r="E345" s="676" t="s">
        <v>3487</v>
      </c>
      <c r="F345" s="680">
        <v>6</v>
      </c>
      <c r="G345" s="680">
        <v>1038</v>
      </c>
      <c r="H345" s="680">
        <v>0.35091277890466532</v>
      </c>
      <c r="I345" s="680">
        <v>173</v>
      </c>
      <c r="J345" s="680">
        <v>17</v>
      </c>
      <c r="K345" s="680">
        <v>2958</v>
      </c>
      <c r="L345" s="680">
        <v>1</v>
      </c>
      <c r="M345" s="680">
        <v>174</v>
      </c>
      <c r="N345" s="680">
        <v>4</v>
      </c>
      <c r="O345" s="680">
        <v>696</v>
      </c>
      <c r="P345" s="702">
        <v>0.23529411764705882</v>
      </c>
      <c r="Q345" s="681">
        <v>174</v>
      </c>
    </row>
    <row r="346" spans="1:17" ht="14.4" customHeight="1" x14ac:dyDescent="0.3">
      <c r="A346" s="675" t="s">
        <v>3908</v>
      </c>
      <c r="B346" s="676" t="s">
        <v>3548</v>
      </c>
      <c r="C346" s="676" t="s">
        <v>2244</v>
      </c>
      <c r="D346" s="676" t="s">
        <v>3927</v>
      </c>
      <c r="E346" s="676" t="s">
        <v>3928</v>
      </c>
      <c r="F346" s="680"/>
      <c r="G346" s="680"/>
      <c r="H346" s="680"/>
      <c r="I346" s="680"/>
      <c r="J346" s="680">
        <v>1</v>
      </c>
      <c r="K346" s="680">
        <v>291</v>
      </c>
      <c r="L346" s="680">
        <v>1</v>
      </c>
      <c r="M346" s="680">
        <v>291</v>
      </c>
      <c r="N346" s="680"/>
      <c r="O346" s="680"/>
      <c r="P346" s="702"/>
      <c r="Q346" s="681"/>
    </row>
    <row r="347" spans="1:17" ht="14.4" customHeight="1" x14ac:dyDescent="0.3">
      <c r="A347" s="675" t="s">
        <v>3908</v>
      </c>
      <c r="B347" s="676" t="s">
        <v>3548</v>
      </c>
      <c r="C347" s="676" t="s">
        <v>2244</v>
      </c>
      <c r="D347" s="676" t="s">
        <v>3929</v>
      </c>
      <c r="E347" s="676" t="s">
        <v>3930</v>
      </c>
      <c r="F347" s="680">
        <v>6</v>
      </c>
      <c r="G347" s="680">
        <v>1002</v>
      </c>
      <c r="H347" s="680">
        <v>0.33134920634920634</v>
      </c>
      <c r="I347" s="680">
        <v>167</v>
      </c>
      <c r="J347" s="680">
        <v>18</v>
      </c>
      <c r="K347" s="680">
        <v>3024</v>
      </c>
      <c r="L347" s="680">
        <v>1</v>
      </c>
      <c r="M347" s="680">
        <v>168</v>
      </c>
      <c r="N347" s="680">
        <v>4</v>
      </c>
      <c r="O347" s="680">
        <v>672</v>
      </c>
      <c r="P347" s="702">
        <v>0.22222222222222221</v>
      </c>
      <c r="Q347" s="681">
        <v>168</v>
      </c>
    </row>
    <row r="348" spans="1:17" ht="14.4" customHeight="1" x14ac:dyDescent="0.3">
      <c r="A348" s="675" t="s">
        <v>3908</v>
      </c>
      <c r="B348" s="676" t="s">
        <v>3548</v>
      </c>
      <c r="C348" s="676" t="s">
        <v>2244</v>
      </c>
      <c r="D348" s="676" t="s">
        <v>3931</v>
      </c>
      <c r="E348" s="676" t="s">
        <v>3932</v>
      </c>
      <c r="F348" s="680"/>
      <c r="G348" s="680"/>
      <c r="H348" s="680"/>
      <c r="I348" s="680"/>
      <c r="J348" s="680">
        <v>1</v>
      </c>
      <c r="K348" s="680">
        <v>1022</v>
      </c>
      <c r="L348" s="680">
        <v>1</v>
      </c>
      <c r="M348" s="680">
        <v>1022</v>
      </c>
      <c r="N348" s="680"/>
      <c r="O348" s="680"/>
      <c r="P348" s="702"/>
      <c r="Q348" s="681"/>
    </row>
    <row r="349" spans="1:17" ht="14.4" customHeight="1" x14ac:dyDescent="0.3">
      <c r="A349" s="675" t="s">
        <v>484</v>
      </c>
      <c r="B349" s="676" t="s">
        <v>3133</v>
      </c>
      <c r="C349" s="676" t="s">
        <v>2244</v>
      </c>
      <c r="D349" s="676" t="s">
        <v>3134</v>
      </c>
      <c r="E349" s="676" t="s">
        <v>3135</v>
      </c>
      <c r="F349" s="680">
        <v>1</v>
      </c>
      <c r="G349" s="680">
        <v>259</v>
      </c>
      <c r="H349" s="680"/>
      <c r="I349" s="680">
        <v>259</v>
      </c>
      <c r="J349" s="680"/>
      <c r="K349" s="680"/>
      <c r="L349" s="680"/>
      <c r="M349" s="680"/>
      <c r="N349" s="680"/>
      <c r="O349" s="680"/>
      <c r="P349" s="702"/>
      <c r="Q349" s="681"/>
    </row>
    <row r="350" spans="1:17" ht="14.4" customHeight="1" x14ac:dyDescent="0.3">
      <c r="A350" s="675" t="s">
        <v>484</v>
      </c>
      <c r="B350" s="676" t="s">
        <v>3133</v>
      </c>
      <c r="C350" s="676" t="s">
        <v>2244</v>
      </c>
      <c r="D350" s="676" t="s">
        <v>3136</v>
      </c>
      <c r="E350" s="676" t="s">
        <v>3137</v>
      </c>
      <c r="F350" s="680"/>
      <c r="G350" s="680"/>
      <c r="H350" s="680"/>
      <c r="I350" s="680"/>
      <c r="J350" s="680">
        <v>2</v>
      </c>
      <c r="K350" s="680">
        <v>698</v>
      </c>
      <c r="L350" s="680">
        <v>1</v>
      </c>
      <c r="M350" s="680">
        <v>349</v>
      </c>
      <c r="N350" s="680"/>
      <c r="O350" s="680"/>
      <c r="P350" s="702"/>
      <c r="Q350" s="681"/>
    </row>
    <row r="351" spans="1:17" ht="14.4" customHeight="1" x14ac:dyDescent="0.3">
      <c r="A351" s="675" t="s">
        <v>484</v>
      </c>
      <c r="B351" s="676" t="s">
        <v>3133</v>
      </c>
      <c r="C351" s="676" t="s">
        <v>2244</v>
      </c>
      <c r="D351" s="676" t="s">
        <v>3138</v>
      </c>
      <c r="E351" s="676" t="s">
        <v>3139</v>
      </c>
      <c r="F351" s="680"/>
      <c r="G351" s="680"/>
      <c r="H351" s="680"/>
      <c r="I351" s="680"/>
      <c r="J351" s="680">
        <v>2</v>
      </c>
      <c r="K351" s="680">
        <v>566</v>
      </c>
      <c r="L351" s="680">
        <v>1</v>
      </c>
      <c r="M351" s="680">
        <v>283</v>
      </c>
      <c r="N351" s="680"/>
      <c r="O351" s="680"/>
      <c r="P351" s="702"/>
      <c r="Q351" s="681"/>
    </row>
    <row r="352" spans="1:17" ht="14.4" customHeight="1" x14ac:dyDescent="0.3">
      <c r="A352" s="675" t="s">
        <v>484</v>
      </c>
      <c r="B352" s="676" t="s">
        <v>3133</v>
      </c>
      <c r="C352" s="676" t="s">
        <v>2244</v>
      </c>
      <c r="D352" s="676" t="s">
        <v>3140</v>
      </c>
      <c r="E352" s="676" t="s">
        <v>3141</v>
      </c>
      <c r="F352" s="680"/>
      <c r="G352" s="680"/>
      <c r="H352" s="680"/>
      <c r="I352" s="680"/>
      <c r="J352" s="680">
        <v>2</v>
      </c>
      <c r="K352" s="680">
        <v>11194</v>
      </c>
      <c r="L352" s="680">
        <v>1</v>
      </c>
      <c r="M352" s="680">
        <v>5597</v>
      </c>
      <c r="N352" s="680"/>
      <c r="O352" s="680"/>
      <c r="P352" s="702"/>
      <c r="Q352" s="681"/>
    </row>
    <row r="353" spans="1:17" ht="14.4" customHeight="1" x14ac:dyDescent="0.3">
      <c r="A353" s="675" t="s">
        <v>3933</v>
      </c>
      <c r="B353" s="676" t="s">
        <v>3934</v>
      </c>
      <c r="C353" s="676" t="s">
        <v>2244</v>
      </c>
      <c r="D353" s="676" t="s">
        <v>3919</v>
      </c>
      <c r="E353" s="676" t="s">
        <v>3920</v>
      </c>
      <c r="F353" s="680">
        <v>8</v>
      </c>
      <c r="G353" s="680">
        <v>4024</v>
      </c>
      <c r="H353" s="680">
        <v>2.6404199475065617</v>
      </c>
      <c r="I353" s="680">
        <v>503</v>
      </c>
      <c r="J353" s="680">
        <v>3</v>
      </c>
      <c r="K353" s="680">
        <v>1524</v>
      </c>
      <c r="L353" s="680">
        <v>1</v>
      </c>
      <c r="M353" s="680">
        <v>508</v>
      </c>
      <c r="N353" s="680">
        <v>4</v>
      </c>
      <c r="O353" s="680">
        <v>2032</v>
      </c>
      <c r="P353" s="702">
        <v>1.3333333333333333</v>
      </c>
      <c r="Q353" s="681">
        <v>508</v>
      </c>
    </row>
    <row r="354" spans="1:17" ht="14.4" customHeight="1" x14ac:dyDescent="0.3">
      <c r="A354" s="675" t="s">
        <v>3933</v>
      </c>
      <c r="B354" s="676" t="s">
        <v>3934</v>
      </c>
      <c r="C354" s="676" t="s">
        <v>2244</v>
      </c>
      <c r="D354" s="676" t="s">
        <v>3935</v>
      </c>
      <c r="E354" s="676" t="s">
        <v>3936</v>
      </c>
      <c r="F354" s="680">
        <v>8</v>
      </c>
      <c r="G354" s="680">
        <v>50272</v>
      </c>
      <c r="H354" s="680">
        <v>3.9262730396751016</v>
      </c>
      <c r="I354" s="680">
        <v>6284</v>
      </c>
      <c r="J354" s="680">
        <v>2</v>
      </c>
      <c r="K354" s="680">
        <v>12804</v>
      </c>
      <c r="L354" s="680">
        <v>1</v>
      </c>
      <c r="M354" s="680">
        <v>6402</v>
      </c>
      <c r="N354" s="680">
        <v>3</v>
      </c>
      <c r="O354" s="680">
        <v>19212</v>
      </c>
      <c r="P354" s="702">
        <v>1.500468603561387</v>
      </c>
      <c r="Q354" s="681">
        <v>6404</v>
      </c>
    </row>
    <row r="355" spans="1:17" ht="14.4" customHeight="1" x14ac:dyDescent="0.3">
      <c r="A355" s="675" t="s">
        <v>3933</v>
      </c>
      <c r="B355" s="676" t="s">
        <v>3934</v>
      </c>
      <c r="C355" s="676" t="s">
        <v>2244</v>
      </c>
      <c r="D355" s="676" t="s">
        <v>3422</v>
      </c>
      <c r="E355" s="676" t="s">
        <v>3423</v>
      </c>
      <c r="F355" s="680">
        <v>6</v>
      </c>
      <c r="G355" s="680">
        <v>7608</v>
      </c>
      <c r="H355" s="680">
        <v>1.9766173031956353</v>
      </c>
      <c r="I355" s="680">
        <v>1268</v>
      </c>
      <c r="J355" s="680">
        <v>3</v>
      </c>
      <c r="K355" s="680">
        <v>3849</v>
      </c>
      <c r="L355" s="680">
        <v>1</v>
      </c>
      <c r="M355" s="680">
        <v>1283</v>
      </c>
      <c r="N355" s="680">
        <v>5</v>
      </c>
      <c r="O355" s="680">
        <v>6425</v>
      </c>
      <c r="P355" s="702">
        <v>1.6692647440893738</v>
      </c>
      <c r="Q355" s="681">
        <v>1285</v>
      </c>
    </row>
    <row r="356" spans="1:17" ht="14.4" customHeight="1" x14ac:dyDescent="0.3">
      <c r="A356" s="675" t="s">
        <v>3933</v>
      </c>
      <c r="B356" s="676" t="s">
        <v>3934</v>
      </c>
      <c r="C356" s="676" t="s">
        <v>2244</v>
      </c>
      <c r="D356" s="676" t="s">
        <v>3937</v>
      </c>
      <c r="E356" s="676" t="s">
        <v>3938</v>
      </c>
      <c r="F356" s="680"/>
      <c r="G356" s="680"/>
      <c r="H356" s="680"/>
      <c r="I356" s="680"/>
      <c r="J356" s="680"/>
      <c r="K356" s="680"/>
      <c r="L356" s="680"/>
      <c r="M356" s="680"/>
      <c r="N356" s="680">
        <v>2</v>
      </c>
      <c r="O356" s="680">
        <v>19524</v>
      </c>
      <c r="P356" s="702"/>
      <c r="Q356" s="681">
        <v>9762</v>
      </c>
    </row>
    <row r="357" spans="1:17" ht="14.4" customHeight="1" x14ac:dyDescent="0.3">
      <c r="A357" s="675" t="s">
        <v>3933</v>
      </c>
      <c r="B357" s="676" t="s">
        <v>3934</v>
      </c>
      <c r="C357" s="676" t="s">
        <v>2244</v>
      </c>
      <c r="D357" s="676" t="s">
        <v>3842</v>
      </c>
      <c r="E357" s="676" t="s">
        <v>3843</v>
      </c>
      <c r="F357" s="680">
        <v>5</v>
      </c>
      <c r="G357" s="680">
        <v>830</v>
      </c>
      <c r="H357" s="680">
        <v>2.3314606741573032</v>
      </c>
      <c r="I357" s="680">
        <v>166</v>
      </c>
      <c r="J357" s="680">
        <v>2</v>
      </c>
      <c r="K357" s="680">
        <v>356</v>
      </c>
      <c r="L357" s="680">
        <v>1</v>
      </c>
      <c r="M357" s="680">
        <v>178</v>
      </c>
      <c r="N357" s="680">
        <v>4</v>
      </c>
      <c r="O357" s="680">
        <v>712</v>
      </c>
      <c r="P357" s="702">
        <v>2</v>
      </c>
      <c r="Q357" s="681">
        <v>178</v>
      </c>
    </row>
    <row r="358" spans="1:17" ht="14.4" customHeight="1" x14ac:dyDescent="0.3">
      <c r="A358" s="675" t="s">
        <v>3933</v>
      </c>
      <c r="B358" s="676" t="s">
        <v>3934</v>
      </c>
      <c r="C358" s="676" t="s">
        <v>2244</v>
      </c>
      <c r="D358" s="676" t="s">
        <v>3846</v>
      </c>
      <c r="E358" s="676" t="s">
        <v>3847</v>
      </c>
      <c r="F358" s="680">
        <v>3</v>
      </c>
      <c r="G358" s="680">
        <v>510</v>
      </c>
      <c r="H358" s="680"/>
      <c r="I358" s="680">
        <v>170</v>
      </c>
      <c r="J358" s="680"/>
      <c r="K358" s="680"/>
      <c r="L358" s="680"/>
      <c r="M358" s="680"/>
      <c r="N358" s="680"/>
      <c r="O358" s="680"/>
      <c r="P358" s="702"/>
      <c r="Q358" s="681"/>
    </row>
    <row r="359" spans="1:17" ht="14.4" customHeight="1" thickBot="1" x14ac:dyDescent="0.35">
      <c r="A359" s="682" t="s">
        <v>3933</v>
      </c>
      <c r="B359" s="683" t="s">
        <v>3934</v>
      </c>
      <c r="C359" s="683" t="s">
        <v>2244</v>
      </c>
      <c r="D359" s="683" t="s">
        <v>3848</v>
      </c>
      <c r="E359" s="683" t="s">
        <v>3849</v>
      </c>
      <c r="F359" s="687"/>
      <c r="G359" s="687"/>
      <c r="H359" s="687"/>
      <c r="I359" s="687"/>
      <c r="J359" s="687"/>
      <c r="K359" s="687"/>
      <c r="L359" s="687"/>
      <c r="M359" s="687"/>
      <c r="N359" s="687">
        <v>20</v>
      </c>
      <c r="O359" s="687">
        <v>45940</v>
      </c>
      <c r="P359" s="695"/>
      <c r="Q359" s="688">
        <v>2297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73" bestFit="1" customWidth="1"/>
    <col min="2" max="2" width="15.6640625" style="173" bestFit="1" customWidth="1"/>
    <col min="3" max="3" width="8.33203125" style="181" hidden="1" customWidth="1" outlineLevel="1"/>
    <col min="4" max="4" width="8.33203125" style="181" customWidth="1" collapsed="1"/>
    <col min="5" max="5" width="8.33203125" style="181" customWidth="1"/>
    <col min="6" max="6" width="6.109375" style="182" customWidth="1"/>
    <col min="7" max="7" width="8.33203125" style="181" hidden="1" customWidth="1" outlineLevel="1"/>
    <col min="8" max="8" width="8.33203125" style="181" customWidth="1" collapsed="1"/>
    <col min="9" max="9" width="8.33203125" style="181" customWidth="1"/>
    <col min="10" max="10" width="6.109375" style="182" customWidth="1"/>
    <col min="11" max="11" width="8.33203125" style="181" hidden="1" customWidth="1" outlineLevel="1"/>
    <col min="12" max="12" width="8.33203125" style="181" customWidth="1" collapsed="1"/>
    <col min="13" max="14" width="8.33203125" style="181" customWidth="1"/>
    <col min="15" max="16384" width="8.88671875" style="173"/>
  </cols>
  <sheetData>
    <row r="1" spans="1:14" ht="18.600000000000001" customHeight="1" thickBot="1" x14ac:dyDescent="0.4">
      <c r="A1" s="619" t="s">
        <v>162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20"/>
    </row>
    <row r="2" spans="1:14" ht="14.4" customHeight="1" thickBot="1" x14ac:dyDescent="0.35">
      <c r="A2" s="351" t="s">
        <v>288</v>
      </c>
      <c r="B2" s="174"/>
      <c r="C2" s="174"/>
      <c r="D2" s="174"/>
      <c r="E2" s="174"/>
      <c r="F2" s="174"/>
      <c r="G2" s="405"/>
      <c r="H2" s="405"/>
      <c r="I2" s="405"/>
      <c r="J2" s="174"/>
      <c r="K2" s="405"/>
      <c r="L2" s="405"/>
      <c r="M2" s="405"/>
      <c r="N2" s="174"/>
    </row>
    <row r="3" spans="1:14" ht="14.4" customHeight="1" thickBot="1" x14ac:dyDescent="0.35">
      <c r="A3" s="175"/>
      <c r="B3" s="176" t="s">
        <v>142</v>
      </c>
      <c r="C3" s="177">
        <f>SUBTOTAL(9,C6:C1048576)</f>
        <v>1654</v>
      </c>
      <c r="D3" s="178">
        <f>SUBTOTAL(9,D6:D1048576)</f>
        <v>1863</v>
      </c>
      <c r="E3" s="178">
        <f>SUBTOTAL(9,E6:E1048576)</f>
        <v>2042</v>
      </c>
      <c r="F3" s="179">
        <f>IF(OR(E3=0,D3=0),"",E3/D3)</f>
        <v>1.096081588835212</v>
      </c>
      <c r="G3" s="406">
        <f>SUBTOTAL(9,G6:G1048576)</f>
        <v>17912.020499999999</v>
      </c>
      <c r="H3" s="407">
        <f>SUBTOTAL(9,H6:H1048576)</f>
        <v>20389.374399999997</v>
      </c>
      <c r="I3" s="407">
        <f>SUBTOTAL(9,I6:I1048576)</f>
        <v>22062.676420000003</v>
      </c>
      <c r="J3" s="179">
        <f>IF(OR(I3=0,H3=0),"",I3/H3)</f>
        <v>1.0820673546511563</v>
      </c>
      <c r="K3" s="406">
        <f>SUBTOTAL(9,K6:K1048576)</f>
        <v>3687.5</v>
      </c>
      <c r="L3" s="407">
        <f>SUBTOTAL(9,L6:L1048576)</f>
        <v>4160</v>
      </c>
      <c r="M3" s="407">
        <f>SUBTOTAL(9,M6:M1048576)</f>
        <v>4405</v>
      </c>
      <c r="N3" s="180">
        <f>IF(OR(M3=0,E3=0),"",M3*1000/E3)</f>
        <v>2157.1988246816845</v>
      </c>
    </row>
    <row r="4" spans="1:14" ht="14.4" customHeight="1" x14ac:dyDescent="0.3">
      <c r="A4" s="621" t="s">
        <v>77</v>
      </c>
      <c r="B4" s="622" t="s">
        <v>11</v>
      </c>
      <c r="C4" s="623" t="s">
        <v>78</v>
      </c>
      <c r="D4" s="623"/>
      <c r="E4" s="623"/>
      <c r="F4" s="624"/>
      <c r="G4" s="625" t="s">
        <v>285</v>
      </c>
      <c r="H4" s="623"/>
      <c r="I4" s="623"/>
      <c r="J4" s="624"/>
      <c r="K4" s="625" t="s">
        <v>79</v>
      </c>
      <c r="L4" s="623"/>
      <c r="M4" s="623"/>
      <c r="N4" s="626"/>
    </row>
    <row r="5" spans="1:14" ht="14.4" customHeight="1" thickBot="1" x14ac:dyDescent="0.35">
      <c r="A5" s="827"/>
      <c r="B5" s="828"/>
      <c r="C5" s="835">
        <v>2015</v>
      </c>
      <c r="D5" s="835">
        <v>2016</v>
      </c>
      <c r="E5" s="835">
        <v>2017</v>
      </c>
      <c r="F5" s="836" t="s">
        <v>2</v>
      </c>
      <c r="G5" s="846">
        <v>2015</v>
      </c>
      <c r="H5" s="835">
        <v>2016</v>
      </c>
      <c r="I5" s="835">
        <v>2017</v>
      </c>
      <c r="J5" s="836" t="s">
        <v>2</v>
      </c>
      <c r="K5" s="846">
        <v>2015</v>
      </c>
      <c r="L5" s="835">
        <v>2016</v>
      </c>
      <c r="M5" s="835">
        <v>2017</v>
      </c>
      <c r="N5" s="847" t="s">
        <v>80</v>
      </c>
    </row>
    <row r="6" spans="1:14" ht="14.4" customHeight="1" x14ac:dyDescent="0.3">
      <c r="A6" s="829" t="s">
        <v>2983</v>
      </c>
      <c r="B6" s="832" t="s">
        <v>3940</v>
      </c>
      <c r="C6" s="837">
        <v>1</v>
      </c>
      <c r="D6" s="838">
        <v>2</v>
      </c>
      <c r="E6" s="838">
        <v>1</v>
      </c>
      <c r="F6" s="843">
        <v>0.5</v>
      </c>
      <c r="G6" s="837">
        <v>28.769400000000001</v>
      </c>
      <c r="H6" s="838">
        <v>57.538800000000002</v>
      </c>
      <c r="I6" s="838">
        <v>28.769400000000001</v>
      </c>
      <c r="J6" s="843">
        <v>0.5</v>
      </c>
      <c r="K6" s="837">
        <v>11</v>
      </c>
      <c r="L6" s="838">
        <v>22</v>
      </c>
      <c r="M6" s="838">
        <v>11</v>
      </c>
      <c r="N6" s="848">
        <v>11000</v>
      </c>
    </row>
    <row r="7" spans="1:14" ht="14.4" customHeight="1" x14ac:dyDescent="0.3">
      <c r="A7" s="830" t="s">
        <v>3012</v>
      </c>
      <c r="B7" s="833" t="s">
        <v>3940</v>
      </c>
      <c r="C7" s="839">
        <v>40</v>
      </c>
      <c r="D7" s="840">
        <v>37</v>
      </c>
      <c r="E7" s="840">
        <v>29</v>
      </c>
      <c r="F7" s="844">
        <v>0.78378378378378377</v>
      </c>
      <c r="G7" s="839">
        <v>1006.7759999999998</v>
      </c>
      <c r="H7" s="840">
        <v>931.26780000000008</v>
      </c>
      <c r="I7" s="840">
        <v>729.9126</v>
      </c>
      <c r="J7" s="844">
        <v>0.78378378378378366</v>
      </c>
      <c r="K7" s="839">
        <v>360</v>
      </c>
      <c r="L7" s="840">
        <v>333</v>
      </c>
      <c r="M7" s="840">
        <v>261</v>
      </c>
      <c r="N7" s="849">
        <v>9000</v>
      </c>
    </row>
    <row r="8" spans="1:14" ht="14.4" customHeight="1" x14ac:dyDescent="0.3">
      <c r="A8" s="830" t="s">
        <v>3007</v>
      </c>
      <c r="B8" s="833" t="s">
        <v>3940</v>
      </c>
      <c r="C8" s="839">
        <v>68</v>
      </c>
      <c r="D8" s="840">
        <v>71</v>
      </c>
      <c r="E8" s="840">
        <v>62</v>
      </c>
      <c r="F8" s="844">
        <v>0.87323943661971826</v>
      </c>
      <c r="G8" s="839">
        <v>1466.7192000000005</v>
      </c>
      <c r="H8" s="840">
        <v>1531.4274</v>
      </c>
      <c r="I8" s="840">
        <v>1337.3027999999999</v>
      </c>
      <c r="J8" s="844">
        <v>0.87323943661971826</v>
      </c>
      <c r="K8" s="839">
        <v>476</v>
      </c>
      <c r="L8" s="840">
        <v>497</v>
      </c>
      <c r="M8" s="840">
        <v>434</v>
      </c>
      <c r="N8" s="849">
        <v>7000</v>
      </c>
    </row>
    <row r="9" spans="1:14" ht="14.4" customHeight="1" x14ac:dyDescent="0.3">
      <c r="A9" s="830" t="s">
        <v>2985</v>
      </c>
      <c r="B9" s="833" t="s">
        <v>3940</v>
      </c>
      <c r="C9" s="839">
        <v>1311</v>
      </c>
      <c r="D9" s="840">
        <v>1565</v>
      </c>
      <c r="E9" s="840">
        <v>1761</v>
      </c>
      <c r="F9" s="844">
        <v>1.1252396166134184</v>
      </c>
      <c r="G9" s="839">
        <v>14037.2703</v>
      </c>
      <c r="H9" s="840">
        <v>16760.493599999998</v>
      </c>
      <c r="I9" s="840">
        <v>18855.555300000004</v>
      </c>
      <c r="J9" s="844">
        <v>1.1250000000000004</v>
      </c>
      <c r="K9" s="839">
        <v>2622</v>
      </c>
      <c r="L9" s="840">
        <v>3130</v>
      </c>
      <c r="M9" s="840">
        <v>3522</v>
      </c>
      <c r="N9" s="849">
        <v>2000</v>
      </c>
    </row>
    <row r="10" spans="1:14" ht="14.4" customHeight="1" x14ac:dyDescent="0.3">
      <c r="A10" s="830" t="s">
        <v>3009</v>
      </c>
      <c r="B10" s="833" t="s">
        <v>3940</v>
      </c>
      <c r="C10" s="839">
        <v>203</v>
      </c>
      <c r="D10" s="840">
        <v>168</v>
      </c>
      <c r="E10" s="840">
        <v>165</v>
      </c>
      <c r="F10" s="844">
        <v>0.9821428571428571</v>
      </c>
      <c r="G10" s="839">
        <v>1219.7051999999999</v>
      </c>
      <c r="H10" s="840">
        <v>1010.0788000000001</v>
      </c>
      <c r="I10" s="840">
        <v>992.85472000000004</v>
      </c>
      <c r="J10" s="844">
        <v>0.98294778585591536</v>
      </c>
      <c r="K10" s="839">
        <v>203</v>
      </c>
      <c r="L10" s="840">
        <v>168</v>
      </c>
      <c r="M10" s="840">
        <v>165</v>
      </c>
      <c r="N10" s="849">
        <v>1000</v>
      </c>
    </row>
    <row r="11" spans="1:14" ht="14.4" customHeight="1" thickBot="1" x14ac:dyDescent="0.35">
      <c r="A11" s="831" t="s">
        <v>3005</v>
      </c>
      <c r="B11" s="834" t="s">
        <v>3940</v>
      </c>
      <c r="C11" s="841">
        <v>31</v>
      </c>
      <c r="D11" s="842">
        <v>20</v>
      </c>
      <c r="E11" s="842">
        <v>24</v>
      </c>
      <c r="F11" s="845">
        <v>1.2</v>
      </c>
      <c r="G11" s="841">
        <v>152.78039999999999</v>
      </c>
      <c r="H11" s="842">
        <v>98.567999999999998</v>
      </c>
      <c r="I11" s="842">
        <v>118.28159999999998</v>
      </c>
      <c r="J11" s="845">
        <v>1.2</v>
      </c>
      <c r="K11" s="841">
        <v>15.5</v>
      </c>
      <c r="L11" s="842">
        <v>10</v>
      </c>
      <c r="M11" s="842">
        <v>12</v>
      </c>
      <c r="N11" s="850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31" bestFit="1" customWidth="1"/>
    <col min="2" max="2" width="9.5546875" style="231" hidden="1" customWidth="1" outlineLevel="1"/>
    <col min="3" max="3" width="9.5546875" style="231" customWidth="1" collapsed="1"/>
    <col min="4" max="4" width="2.21875" style="231" customWidth="1"/>
    <col min="5" max="8" width="9.5546875" style="231" customWidth="1"/>
    <col min="9" max="10" width="9.77734375" style="231" hidden="1" customWidth="1" outlineLevel="1"/>
    <col min="11" max="11" width="8.88671875" style="231" collapsed="1"/>
    <col min="12" max="16384" width="8.88671875" style="231"/>
  </cols>
  <sheetData>
    <row r="1" spans="1:10" ht="18.600000000000001" customHeight="1" thickBot="1" x14ac:dyDescent="0.4">
      <c r="A1" s="507" t="s">
        <v>157</v>
      </c>
      <c r="B1" s="507"/>
      <c r="C1" s="507"/>
      <c r="D1" s="507"/>
      <c r="E1" s="507"/>
      <c r="F1" s="507"/>
      <c r="G1" s="507"/>
      <c r="H1" s="507"/>
      <c r="I1" s="507"/>
      <c r="J1" s="507"/>
    </row>
    <row r="2" spans="1:10" ht="14.4" customHeight="1" thickBot="1" x14ac:dyDescent="0.35">
      <c r="A2" s="351" t="s">
        <v>288</v>
      </c>
      <c r="B2" s="204"/>
      <c r="C2" s="204"/>
      <c r="D2" s="204"/>
      <c r="E2" s="204"/>
      <c r="F2" s="204"/>
    </row>
    <row r="3" spans="1:10" ht="14.4" customHeight="1" x14ac:dyDescent="0.3">
      <c r="A3" s="498"/>
      <c r="B3" s="200">
        <v>2015</v>
      </c>
      <c r="C3" s="44">
        <v>2016</v>
      </c>
      <c r="D3" s="11"/>
      <c r="E3" s="502">
        <v>2017</v>
      </c>
      <c r="F3" s="503"/>
      <c r="G3" s="503"/>
      <c r="H3" s="504"/>
      <c r="I3" s="505">
        <v>2017</v>
      </c>
      <c r="J3" s="506"/>
    </row>
    <row r="4" spans="1:10" ht="14.4" customHeight="1" thickBot="1" x14ac:dyDescent="0.35">
      <c r="A4" s="499"/>
      <c r="B4" s="500" t="s">
        <v>81</v>
      </c>
      <c r="C4" s="501"/>
      <c r="D4" s="11"/>
      <c r="E4" s="221" t="s">
        <v>81</v>
      </c>
      <c r="F4" s="202" t="s">
        <v>82</v>
      </c>
      <c r="G4" s="202" t="s">
        <v>56</v>
      </c>
      <c r="H4" s="203" t="s">
        <v>83</v>
      </c>
      <c r="I4" s="447" t="s">
        <v>275</v>
      </c>
      <c r="J4" s="448" t="s">
        <v>276</v>
      </c>
    </row>
    <row r="5" spans="1:10" ht="14.4" customHeight="1" x14ac:dyDescent="0.3">
      <c r="A5" s="205" t="str">
        <f>HYPERLINK("#'Léky Žádanky'!A1","Léky (Kč)")</f>
        <v>Léky (Kč)</v>
      </c>
      <c r="B5" s="31">
        <v>4696.8146499999993</v>
      </c>
      <c r="C5" s="33">
        <v>4656.0262000000002</v>
      </c>
      <c r="D5" s="12"/>
      <c r="E5" s="210">
        <v>6587.9047500000006</v>
      </c>
      <c r="F5" s="32">
        <v>5921.0361562500002</v>
      </c>
      <c r="G5" s="209">
        <f>E5-F5</f>
        <v>666.8685937500004</v>
      </c>
      <c r="H5" s="215">
        <f>IF(F5&lt;0.00000001,"",E5/F5)</f>
        <v>1.1126270092179866</v>
      </c>
    </row>
    <row r="6" spans="1:10" ht="14.4" customHeight="1" x14ac:dyDescent="0.3">
      <c r="A6" s="205" t="str">
        <f>HYPERLINK("#'Materiál Žádanky'!A1","Materiál - SZM (Kč)")</f>
        <v>Materiál - SZM (Kč)</v>
      </c>
      <c r="B6" s="14">
        <v>1859.0676399999998</v>
      </c>
      <c r="C6" s="35">
        <v>1953.1812799999998</v>
      </c>
      <c r="D6" s="12"/>
      <c r="E6" s="211">
        <v>2355.9636800000003</v>
      </c>
      <c r="F6" s="34">
        <v>2348.8649936523439</v>
      </c>
      <c r="G6" s="212">
        <f>E6-F6</f>
        <v>7.0986863476564395</v>
      </c>
      <c r="H6" s="216">
        <f>IF(F6&lt;0.00000001,"",E6/F6)</f>
        <v>1.003022177250221</v>
      </c>
    </row>
    <row r="7" spans="1:10" ht="14.4" customHeight="1" x14ac:dyDescent="0.3">
      <c r="A7" s="205" t="str">
        <f>HYPERLINK("#'Osobní náklady'!A1","Osobní náklady (Kč) *")</f>
        <v>Osobní náklady (Kč) *</v>
      </c>
      <c r="B7" s="14">
        <v>16617.26397</v>
      </c>
      <c r="C7" s="35">
        <v>19772.492129999999</v>
      </c>
      <c r="D7" s="12"/>
      <c r="E7" s="211">
        <v>22134.033520000001</v>
      </c>
      <c r="F7" s="34">
        <v>21965.5</v>
      </c>
      <c r="G7" s="212">
        <f>E7-F7</f>
        <v>168.53352000000086</v>
      </c>
      <c r="H7" s="216">
        <f>IF(F7&lt;0.00000001,"",E7/F7)</f>
        <v>1.0076726466504291</v>
      </c>
    </row>
    <row r="8" spans="1:10" ht="14.4" customHeight="1" thickBot="1" x14ac:dyDescent="0.35">
      <c r="A8" s="1" t="s">
        <v>84</v>
      </c>
      <c r="B8" s="15">
        <v>3855.596140000011</v>
      </c>
      <c r="C8" s="37">
        <v>4462.9400999999971</v>
      </c>
      <c r="D8" s="12"/>
      <c r="E8" s="213">
        <v>4373.813699999997</v>
      </c>
      <c r="F8" s="36">
        <v>5520.4052380371104</v>
      </c>
      <c r="G8" s="214">
        <f>E8-F8</f>
        <v>-1146.5915380371134</v>
      </c>
      <c r="H8" s="217">
        <f>IF(F8&lt;0.00000001,"",E8/F8)</f>
        <v>0.79229938952003331</v>
      </c>
    </row>
    <row r="9" spans="1:10" ht="14.4" customHeight="1" thickBot="1" x14ac:dyDescent="0.35">
      <c r="A9" s="2" t="s">
        <v>85</v>
      </c>
      <c r="B9" s="3">
        <v>27028.742400000014</v>
      </c>
      <c r="C9" s="39">
        <v>30844.639709999996</v>
      </c>
      <c r="D9" s="12"/>
      <c r="E9" s="3">
        <v>35451.715649999998</v>
      </c>
      <c r="F9" s="38">
        <v>35755.806387939454</v>
      </c>
      <c r="G9" s="38">
        <f>E9-F9</f>
        <v>-304.09073793945572</v>
      </c>
      <c r="H9" s="218">
        <f>IF(F9&lt;0.00000001,"",E9/F9)</f>
        <v>0.99149534666789041</v>
      </c>
    </row>
    <row r="10" spans="1:10" ht="14.4" customHeight="1" thickBot="1" x14ac:dyDescent="0.35">
      <c r="A10" s="16"/>
      <c r="B10" s="16"/>
      <c r="C10" s="201"/>
      <c r="D10" s="12"/>
      <c r="E10" s="16"/>
      <c r="F10" s="17"/>
    </row>
    <row r="11" spans="1:10" ht="14.4" customHeight="1" x14ac:dyDescent="0.3">
      <c r="A11" s="234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IF(ISERROR(VLOOKUP("Celkem:",#REF!,5,0)),0,VLOOKUP("Celkem:",#REF!,5,0)/1000)</f>
        <v>0</v>
      </c>
      <c r="D11" s="12"/>
      <c r="E11" s="210">
        <f>IF(ISERROR(VLOOKUP("Celkem:",#REF!,8,0)),0,VLOOKUP("Celkem:",#REF!,8,0)/1000)</f>
        <v>0</v>
      </c>
      <c r="F11" s="32">
        <f>C11</f>
        <v>0</v>
      </c>
      <c r="G11" s="209">
        <f>E11-F11</f>
        <v>0</v>
      </c>
      <c r="H11" s="215" t="str">
        <f>IF(F11&lt;0.00000001,"",E11/F11)</f>
        <v/>
      </c>
      <c r="I11" s="209">
        <f>E11-B11</f>
        <v>0</v>
      </c>
      <c r="J11" s="215" t="str">
        <f>IF(B11&lt;0.00000001,"",E11/B11)</f>
        <v/>
      </c>
    </row>
    <row r="12" spans="1:10" ht="14.4" customHeight="1" thickBot="1" x14ac:dyDescent="0.35">
      <c r="A12" s="235" t="str">
        <f>HYPERLINK("#CaseMix!A1","Hospitalizace *")</f>
        <v>Hospitalizace *</v>
      </c>
      <c r="B12" s="15">
        <f>IF(ISERROR(VLOOKUP("Celkem",CaseMix!A:D,2,0)),0,VLOOKUP("Celkem",CaseMix!A:D,2,0)*30)</f>
        <v>6303.63</v>
      </c>
      <c r="C12" s="37">
        <f>IF(ISERROR(VLOOKUP("Celkem",CaseMix!A:D,3,0)),0,VLOOKUP("Celkem",CaseMix!A:D,3,0)*30)</f>
        <v>8399.16</v>
      </c>
      <c r="D12" s="12"/>
      <c r="E12" s="213">
        <f>IF(ISERROR(VLOOKUP("Celkem",CaseMix!A:D,4,0)),0,VLOOKUP("Celkem",CaseMix!A:D,4,0)*30)</f>
        <v>8027.88</v>
      </c>
      <c r="F12" s="36">
        <f>C12</f>
        <v>8399.16</v>
      </c>
      <c r="G12" s="214">
        <f>E12-F12</f>
        <v>-371.27999999999975</v>
      </c>
      <c r="H12" s="217">
        <f>IF(F12&lt;0.00000001,"",E12/F12)</f>
        <v>0.9557955795579558</v>
      </c>
      <c r="I12" s="214">
        <f>E12-B12</f>
        <v>1724.25</v>
      </c>
      <c r="J12" s="217">
        <f>IF(B12&lt;0.00000001,"",E12/B12)</f>
        <v>1.2735328691563432</v>
      </c>
    </row>
    <row r="13" spans="1:10" ht="14.4" customHeight="1" thickBot="1" x14ac:dyDescent="0.35">
      <c r="A13" s="4" t="s">
        <v>88</v>
      </c>
      <c r="B13" s="9">
        <f>SUM(B11:B12)</f>
        <v>6303.63</v>
      </c>
      <c r="C13" s="41">
        <f>SUM(C11:C12)</f>
        <v>8399.16</v>
      </c>
      <c r="D13" s="12"/>
      <c r="E13" s="9">
        <f>SUM(E11:E12)</f>
        <v>8027.88</v>
      </c>
      <c r="F13" s="40">
        <f>SUM(F11:F12)</f>
        <v>8399.16</v>
      </c>
      <c r="G13" s="40">
        <f>E13-F13</f>
        <v>-371.27999999999975</v>
      </c>
      <c r="H13" s="219">
        <f>IF(F13&lt;0.00000001,"",E13/F13)</f>
        <v>0.9557955795579558</v>
      </c>
      <c r="I13" s="40">
        <f>SUM(I11:I12)</f>
        <v>1724.25</v>
      </c>
      <c r="J13" s="219">
        <f>IF(B13&lt;0.00000001,"",E13/B13)</f>
        <v>1.2735328691563432</v>
      </c>
    </row>
    <row r="14" spans="1:10" ht="14.4" customHeight="1" thickBot="1" x14ac:dyDescent="0.35">
      <c r="A14" s="16"/>
      <c r="B14" s="16"/>
      <c r="C14" s="201"/>
      <c r="D14" s="12"/>
      <c r="E14" s="16"/>
      <c r="F14" s="17"/>
    </row>
    <row r="15" spans="1:10" ht="14.4" customHeight="1" thickBot="1" x14ac:dyDescent="0.35">
      <c r="A15" s="236" t="str">
        <f>HYPERLINK("#'HI Graf'!A1","Hospodářský index (Výnosy / Náklady) *")</f>
        <v>Hospodářský index (Výnosy / Náklady) *</v>
      </c>
      <c r="B15" s="10">
        <f>IF(B9=0,"",B13/B9)</f>
        <v>0.23321950783770085</v>
      </c>
      <c r="C15" s="43">
        <f>IF(C9=0,"",C13/C9)</f>
        <v>0.27230533664742235</v>
      </c>
      <c r="D15" s="12"/>
      <c r="E15" s="10">
        <f>IF(E9=0,"",E13/E9)</f>
        <v>0.22644545835964361</v>
      </c>
      <c r="F15" s="42">
        <f>IF(F9=0,"",F13/F9)</f>
        <v>0.23490338628841728</v>
      </c>
      <c r="G15" s="42">
        <f>IF(ISERROR(F15-E15),"",E15-F15)</f>
        <v>-8.4579279287736731E-3</v>
      </c>
      <c r="H15" s="220">
        <f>IF(ISERROR(F15-E15),"",IF(F15&lt;0.00000001,"",E15/F15))</f>
        <v>0.96399401446521116</v>
      </c>
    </row>
    <row r="17" spans="1:8" ht="14.4" customHeight="1" x14ac:dyDescent="0.3">
      <c r="A17" s="206" t="s">
        <v>177</v>
      </c>
    </row>
    <row r="18" spans="1:8" ht="14.4" customHeight="1" x14ac:dyDescent="0.3">
      <c r="A18" s="390" t="s">
        <v>212</v>
      </c>
      <c r="B18" s="391"/>
      <c r="C18" s="391"/>
      <c r="D18" s="391"/>
      <c r="E18" s="391"/>
      <c r="F18" s="391"/>
      <c r="G18" s="391"/>
      <c r="H18" s="391"/>
    </row>
    <row r="19" spans="1:8" x14ac:dyDescent="0.3">
      <c r="A19" s="389" t="s">
        <v>211</v>
      </c>
      <c r="B19" s="391"/>
      <c r="C19" s="391"/>
      <c r="D19" s="391"/>
      <c r="E19" s="391"/>
      <c r="F19" s="391"/>
      <c r="G19" s="391"/>
      <c r="H19" s="391"/>
    </row>
    <row r="20" spans="1:8" ht="14.4" customHeight="1" x14ac:dyDescent="0.3">
      <c r="A20" s="207" t="s">
        <v>237</v>
      </c>
    </row>
    <row r="21" spans="1:8" ht="14.4" customHeight="1" x14ac:dyDescent="0.3">
      <c r="A21" s="207" t="s">
        <v>178</v>
      </c>
    </row>
    <row r="22" spans="1:8" ht="14.4" customHeight="1" x14ac:dyDescent="0.3">
      <c r="A22" s="208" t="s">
        <v>274</v>
      </c>
    </row>
    <row r="23" spans="1:8" ht="14.4" customHeight="1" x14ac:dyDescent="0.3">
      <c r="A23" s="208" t="s">
        <v>179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0" priority="8" operator="greaterThan">
      <formula>0</formula>
    </cfRule>
  </conditionalFormatting>
  <conditionalFormatting sqref="G11:G13 G15">
    <cfRule type="cellIs" dxfId="69" priority="7" operator="lessThan">
      <formula>0</formula>
    </cfRule>
  </conditionalFormatting>
  <conditionalFormatting sqref="H5:H9">
    <cfRule type="cellIs" dxfId="68" priority="6" operator="greaterThan">
      <formula>1</formula>
    </cfRule>
  </conditionalFormatting>
  <conditionalFormatting sqref="H11:H13 H15">
    <cfRule type="cellIs" dxfId="67" priority="5" operator="lessThan">
      <formula>1</formula>
    </cfRule>
  </conditionalFormatting>
  <conditionalFormatting sqref="I11:I13">
    <cfRule type="cellIs" dxfId="66" priority="4" operator="lessThan">
      <formula>0</formula>
    </cfRule>
  </conditionalFormatting>
  <conditionalFormatting sqref="J11:J13">
    <cfRule type="cellIs" dxfId="6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1"/>
    <col min="2" max="13" width="8.88671875" style="231" customWidth="1"/>
    <col min="14" max="16384" width="8.88671875" style="231"/>
  </cols>
  <sheetData>
    <row r="1" spans="1:13" ht="18.600000000000001" customHeight="1" thickBot="1" x14ac:dyDescent="0.4">
      <c r="A1" s="496" t="s">
        <v>115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</row>
    <row r="2" spans="1:13" ht="14.4" customHeight="1" x14ac:dyDescent="0.3">
      <c r="A2" s="351" t="s">
        <v>288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ht="14.4" customHeight="1" x14ac:dyDescent="0.3">
      <c r="A3" s="301"/>
      <c r="B3" s="302" t="s">
        <v>90</v>
      </c>
      <c r="C3" s="303" t="s">
        <v>91</v>
      </c>
      <c r="D3" s="303" t="s">
        <v>92</v>
      </c>
      <c r="E3" s="302" t="s">
        <v>93</v>
      </c>
      <c r="F3" s="303" t="s">
        <v>94</v>
      </c>
      <c r="G3" s="303" t="s">
        <v>95</v>
      </c>
      <c r="H3" s="303" t="s">
        <v>96</v>
      </c>
      <c r="I3" s="303" t="s">
        <v>97</v>
      </c>
      <c r="J3" s="303" t="s">
        <v>98</v>
      </c>
      <c r="K3" s="303" t="s">
        <v>99</v>
      </c>
      <c r="L3" s="303" t="s">
        <v>100</v>
      </c>
      <c r="M3" s="303" t="s">
        <v>101</v>
      </c>
    </row>
    <row r="4" spans="1:13" ht="14.4" customHeight="1" x14ac:dyDescent="0.3">
      <c r="A4" s="301" t="s">
        <v>89</v>
      </c>
      <c r="B4" s="304">
        <f>(B10+B8)/B6</f>
        <v>0.10915317801177141</v>
      </c>
      <c r="C4" s="304">
        <f t="shared" ref="C4:M4" si="0">(C10+C8)/C6</f>
        <v>0.13430368277813926</v>
      </c>
      <c r="D4" s="304">
        <f t="shared" si="0"/>
        <v>0.20348249793457474</v>
      </c>
      <c r="E4" s="304">
        <f t="shared" si="0"/>
        <v>0.22362186047169363</v>
      </c>
      <c r="F4" s="304">
        <f t="shared" si="0"/>
        <v>0.24495622115613455</v>
      </c>
      <c r="G4" s="304">
        <f t="shared" si="0"/>
        <v>0.2264454583596435</v>
      </c>
      <c r="H4" s="304">
        <f t="shared" si="0"/>
        <v>0</v>
      </c>
      <c r="I4" s="304">
        <f t="shared" si="0"/>
        <v>0</v>
      </c>
      <c r="J4" s="304">
        <f t="shared" si="0"/>
        <v>0</v>
      </c>
      <c r="K4" s="304">
        <f t="shared" si="0"/>
        <v>0</v>
      </c>
      <c r="L4" s="304">
        <f t="shared" si="0"/>
        <v>0</v>
      </c>
      <c r="M4" s="304">
        <f t="shared" si="0"/>
        <v>0</v>
      </c>
    </row>
    <row r="5" spans="1:13" ht="14.4" customHeight="1" x14ac:dyDescent="0.3">
      <c r="A5" s="305" t="s">
        <v>40</v>
      </c>
      <c r="B5" s="304">
        <f>IF(ISERROR(VLOOKUP($A5,'Man Tab'!$A:$Q,COLUMN()+2,0)),0,VLOOKUP($A5,'Man Tab'!$A:$Q,COLUMN()+2,0))</f>
        <v>6290.6093300000002</v>
      </c>
      <c r="C5" s="304">
        <f>IF(ISERROR(VLOOKUP($A5,'Man Tab'!$A:$Q,COLUMN()+2,0)),0,VLOOKUP($A5,'Man Tab'!$A:$Q,COLUMN()+2,0))</f>
        <v>5576.8239899999999</v>
      </c>
      <c r="D5" s="304">
        <f>IF(ISERROR(VLOOKUP($A5,'Man Tab'!$A:$Q,COLUMN()+2,0)),0,VLOOKUP($A5,'Man Tab'!$A:$Q,COLUMN()+2,0))</f>
        <v>5433.9564100000098</v>
      </c>
      <c r="E5" s="304">
        <f>IF(ISERROR(VLOOKUP($A5,'Man Tab'!$A:$Q,COLUMN()+2,0)),0,VLOOKUP($A5,'Man Tab'!$A:$Q,COLUMN()+2,0))</f>
        <v>5903.4078200000004</v>
      </c>
      <c r="F5" s="304">
        <f>IF(ISERROR(VLOOKUP($A5,'Man Tab'!$A:$Q,COLUMN()+2,0)),0,VLOOKUP($A5,'Man Tab'!$A:$Q,COLUMN()+2,0))</f>
        <v>6795.9101899999996</v>
      </c>
      <c r="G5" s="304">
        <f>IF(ISERROR(VLOOKUP($A5,'Man Tab'!$A:$Q,COLUMN()+2,0)),0,VLOOKUP($A5,'Man Tab'!$A:$Q,COLUMN()+2,0))</f>
        <v>5451.0079100000003</v>
      </c>
      <c r="H5" s="304">
        <f>IF(ISERROR(VLOOKUP($A5,'Man Tab'!$A:$Q,COLUMN()+2,0)),0,VLOOKUP($A5,'Man Tab'!$A:$Q,COLUMN()+2,0))</f>
        <v>0</v>
      </c>
      <c r="I5" s="304">
        <f>IF(ISERROR(VLOOKUP($A5,'Man Tab'!$A:$Q,COLUMN()+2,0)),0,VLOOKUP($A5,'Man Tab'!$A:$Q,COLUMN()+2,0))</f>
        <v>0</v>
      </c>
      <c r="J5" s="304">
        <f>IF(ISERROR(VLOOKUP($A5,'Man Tab'!$A:$Q,COLUMN()+2,0)),0,VLOOKUP($A5,'Man Tab'!$A:$Q,COLUMN()+2,0))</f>
        <v>0</v>
      </c>
      <c r="K5" s="304">
        <f>IF(ISERROR(VLOOKUP($A5,'Man Tab'!$A:$Q,COLUMN()+2,0)),0,VLOOKUP($A5,'Man Tab'!$A:$Q,COLUMN()+2,0))</f>
        <v>0</v>
      </c>
      <c r="L5" s="304">
        <f>IF(ISERROR(VLOOKUP($A5,'Man Tab'!$A:$Q,COLUMN()+2,0)),0,VLOOKUP($A5,'Man Tab'!$A:$Q,COLUMN()+2,0))</f>
        <v>0</v>
      </c>
      <c r="M5" s="304">
        <f>IF(ISERROR(VLOOKUP($A5,'Man Tab'!$A:$Q,COLUMN()+2,0)),0,VLOOKUP($A5,'Man Tab'!$A:$Q,COLUMN()+2,0))</f>
        <v>0</v>
      </c>
    </row>
    <row r="6" spans="1:13" ht="14.4" customHeight="1" x14ac:dyDescent="0.3">
      <c r="A6" s="305" t="s">
        <v>85</v>
      </c>
      <c r="B6" s="306">
        <f>B5</f>
        <v>6290.6093300000002</v>
      </c>
      <c r="C6" s="306">
        <f t="shared" ref="C6:M6" si="1">C5+B6</f>
        <v>11867.43332</v>
      </c>
      <c r="D6" s="306">
        <f t="shared" si="1"/>
        <v>17301.38973000001</v>
      </c>
      <c r="E6" s="306">
        <f t="shared" si="1"/>
        <v>23204.79755000001</v>
      </c>
      <c r="F6" s="306">
        <f t="shared" si="1"/>
        <v>30000.707740000009</v>
      </c>
      <c r="G6" s="306">
        <f t="shared" si="1"/>
        <v>35451.715650000013</v>
      </c>
      <c r="H6" s="306">
        <f t="shared" si="1"/>
        <v>35451.715650000013</v>
      </c>
      <c r="I6" s="306">
        <f t="shared" si="1"/>
        <v>35451.715650000013</v>
      </c>
      <c r="J6" s="306">
        <f t="shared" si="1"/>
        <v>35451.715650000013</v>
      </c>
      <c r="K6" s="306">
        <f t="shared" si="1"/>
        <v>35451.715650000013</v>
      </c>
      <c r="L6" s="306">
        <f t="shared" si="1"/>
        <v>35451.715650000013</v>
      </c>
      <c r="M6" s="306">
        <f t="shared" si="1"/>
        <v>35451.715650000013</v>
      </c>
    </row>
    <row r="7" spans="1:13" ht="14.4" customHeight="1" x14ac:dyDescent="0.3">
      <c r="A7" s="305" t="s">
        <v>113</v>
      </c>
      <c r="B7" s="305">
        <v>22.888000000000002</v>
      </c>
      <c r="C7" s="305">
        <v>53.128</v>
      </c>
      <c r="D7" s="305">
        <v>117.351</v>
      </c>
      <c r="E7" s="305">
        <v>172.97</v>
      </c>
      <c r="F7" s="305">
        <v>244.96199999999999</v>
      </c>
      <c r="G7" s="305">
        <v>267.596</v>
      </c>
      <c r="H7" s="305"/>
      <c r="I7" s="305"/>
      <c r="J7" s="305"/>
      <c r="K7" s="305"/>
      <c r="L7" s="305"/>
      <c r="M7" s="305"/>
    </row>
    <row r="8" spans="1:13" ht="14.4" customHeight="1" x14ac:dyDescent="0.3">
      <c r="A8" s="305" t="s">
        <v>86</v>
      </c>
      <c r="B8" s="306">
        <f>B7*30</f>
        <v>686.6400000000001</v>
      </c>
      <c r="C8" s="306">
        <f t="shared" ref="C8:M8" si="2">C7*30</f>
        <v>1593.84</v>
      </c>
      <c r="D8" s="306">
        <f t="shared" si="2"/>
        <v>3520.5299999999997</v>
      </c>
      <c r="E8" s="306">
        <f t="shared" si="2"/>
        <v>5189.1000000000004</v>
      </c>
      <c r="F8" s="306">
        <f t="shared" si="2"/>
        <v>7348.86</v>
      </c>
      <c r="G8" s="306">
        <f t="shared" si="2"/>
        <v>8027.88</v>
      </c>
      <c r="H8" s="306">
        <f t="shared" si="2"/>
        <v>0</v>
      </c>
      <c r="I8" s="306">
        <f t="shared" si="2"/>
        <v>0</v>
      </c>
      <c r="J8" s="306">
        <f t="shared" si="2"/>
        <v>0</v>
      </c>
      <c r="K8" s="306">
        <f t="shared" si="2"/>
        <v>0</v>
      </c>
      <c r="L8" s="306">
        <f t="shared" si="2"/>
        <v>0</v>
      </c>
      <c r="M8" s="306">
        <f t="shared" si="2"/>
        <v>0</v>
      </c>
    </row>
    <row r="9" spans="1:13" ht="14.4" customHeight="1" x14ac:dyDescent="0.3">
      <c r="A9" s="305" t="s">
        <v>114</v>
      </c>
      <c r="B9" s="305">
        <v>0</v>
      </c>
      <c r="C9" s="305">
        <v>0</v>
      </c>
      <c r="D9" s="305">
        <v>0</v>
      </c>
      <c r="E9" s="305">
        <v>0</v>
      </c>
      <c r="F9" s="305">
        <v>0</v>
      </c>
      <c r="G9" s="305">
        <v>0</v>
      </c>
      <c r="H9" s="305">
        <v>0</v>
      </c>
      <c r="I9" s="305">
        <v>0</v>
      </c>
      <c r="J9" s="305">
        <v>0</v>
      </c>
      <c r="K9" s="305">
        <v>0</v>
      </c>
      <c r="L9" s="305">
        <v>0</v>
      </c>
      <c r="M9" s="305">
        <v>0</v>
      </c>
    </row>
    <row r="10" spans="1:13" ht="14.4" customHeight="1" x14ac:dyDescent="0.3">
      <c r="A10" s="305" t="s">
        <v>87</v>
      </c>
      <c r="B10" s="306">
        <f>B9/1000</f>
        <v>0</v>
      </c>
      <c r="C10" s="306">
        <f t="shared" ref="C10:M10" si="3">C9/1000+B10</f>
        <v>0</v>
      </c>
      <c r="D10" s="306">
        <f t="shared" si="3"/>
        <v>0</v>
      </c>
      <c r="E10" s="306">
        <f t="shared" si="3"/>
        <v>0</v>
      </c>
      <c r="F10" s="306">
        <f t="shared" si="3"/>
        <v>0</v>
      </c>
      <c r="G10" s="306">
        <f t="shared" si="3"/>
        <v>0</v>
      </c>
      <c r="H10" s="306">
        <f t="shared" si="3"/>
        <v>0</v>
      </c>
      <c r="I10" s="306">
        <f t="shared" si="3"/>
        <v>0</v>
      </c>
      <c r="J10" s="306">
        <f t="shared" si="3"/>
        <v>0</v>
      </c>
      <c r="K10" s="306">
        <f t="shared" si="3"/>
        <v>0</v>
      </c>
      <c r="L10" s="306">
        <f t="shared" si="3"/>
        <v>0</v>
      </c>
      <c r="M10" s="306">
        <f t="shared" si="3"/>
        <v>0</v>
      </c>
    </row>
    <row r="11" spans="1:13" ht="14.4" customHeight="1" x14ac:dyDescent="0.3">
      <c r="A11" s="301"/>
      <c r="B11" s="301" t="s">
        <v>103</v>
      </c>
      <c r="C11" s="301">
        <f ca="1">IF(MONTH(TODAY())=1,12,MONTH(TODAY())-1)</f>
        <v>6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</row>
    <row r="12" spans="1:13" ht="14.4" customHeight="1" x14ac:dyDescent="0.3">
      <c r="A12" s="301">
        <v>0</v>
      </c>
      <c r="B12" s="304">
        <f>IF(ISERROR(HI!F15),#REF!,HI!F15)</f>
        <v>0.23490338628841728</v>
      </c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</row>
    <row r="13" spans="1:13" ht="14.4" customHeight="1" x14ac:dyDescent="0.3">
      <c r="A13" s="301">
        <v>1</v>
      </c>
      <c r="B13" s="304">
        <f>IF(ISERROR(HI!F15),#REF!,HI!F15)</f>
        <v>0.23490338628841728</v>
      </c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1" bestFit="1" customWidth="1"/>
    <col min="2" max="2" width="12.77734375" style="231" bestFit="1" customWidth="1"/>
    <col min="3" max="3" width="13.6640625" style="231" bestFit="1" customWidth="1"/>
    <col min="4" max="15" width="7.77734375" style="231" bestFit="1" customWidth="1"/>
    <col min="16" max="16" width="8.88671875" style="231" customWidth="1"/>
    <col min="17" max="17" width="6.6640625" style="231" bestFit="1" customWidth="1"/>
    <col min="18" max="16384" width="8.88671875" style="231"/>
  </cols>
  <sheetData>
    <row r="1" spans="1:17" s="307" customFormat="1" ht="18.600000000000001" customHeight="1" thickBot="1" x14ac:dyDescent="0.4">
      <c r="A1" s="508" t="s">
        <v>290</v>
      </c>
      <c r="B1" s="508"/>
      <c r="C1" s="508"/>
      <c r="D1" s="508"/>
      <c r="E1" s="508"/>
      <c r="F1" s="508"/>
      <c r="G1" s="508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s="307" customFormat="1" ht="14.4" customHeight="1" thickBot="1" x14ac:dyDescent="0.3">
      <c r="A2" s="351" t="s">
        <v>288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</row>
    <row r="3" spans="1:17" ht="14.4" customHeight="1" x14ac:dyDescent="0.3">
      <c r="A3" s="92"/>
      <c r="B3" s="509" t="s">
        <v>16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240"/>
      <c r="Q3" s="242"/>
    </row>
    <row r="4" spans="1:17" ht="14.4" customHeight="1" x14ac:dyDescent="0.3">
      <c r="A4" s="93"/>
      <c r="B4" s="24">
        <v>2017</v>
      </c>
      <c r="C4" s="241" t="s">
        <v>17</v>
      </c>
      <c r="D4" s="422" t="s">
        <v>243</v>
      </c>
      <c r="E4" s="422" t="s">
        <v>244</v>
      </c>
      <c r="F4" s="422" t="s">
        <v>245</v>
      </c>
      <c r="G4" s="422" t="s">
        <v>246</v>
      </c>
      <c r="H4" s="422" t="s">
        <v>247</v>
      </c>
      <c r="I4" s="422" t="s">
        <v>248</v>
      </c>
      <c r="J4" s="422" t="s">
        <v>249</v>
      </c>
      <c r="K4" s="422" t="s">
        <v>250</v>
      </c>
      <c r="L4" s="422" t="s">
        <v>251</v>
      </c>
      <c r="M4" s="422" t="s">
        <v>252</v>
      </c>
      <c r="N4" s="422" t="s">
        <v>253</v>
      </c>
      <c r="O4" s="422" t="s">
        <v>254</v>
      </c>
      <c r="P4" s="511" t="s">
        <v>3</v>
      </c>
      <c r="Q4" s="512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69" t="s">
        <v>289</v>
      </c>
    </row>
    <row r="7" spans="1:17" ht="14.4" customHeight="1" x14ac:dyDescent="0.3">
      <c r="A7" s="19" t="s">
        <v>22</v>
      </c>
      <c r="B7" s="55">
        <v>11842.072755223</v>
      </c>
      <c r="C7" s="56">
        <v>986.83939626858501</v>
      </c>
      <c r="D7" s="56">
        <v>1471.5908400000001</v>
      </c>
      <c r="E7" s="56">
        <v>937.63559999999995</v>
      </c>
      <c r="F7" s="56">
        <v>867.31410000000096</v>
      </c>
      <c r="G7" s="56">
        <v>764.52490999999998</v>
      </c>
      <c r="H7" s="56">
        <v>1794.7445700000001</v>
      </c>
      <c r="I7" s="56">
        <v>752.09473000000003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6587.9047499999997</v>
      </c>
      <c r="Q7" s="170">
        <v>1.1126269676210001</v>
      </c>
    </row>
    <row r="8" spans="1:17" ht="14.4" customHeight="1" x14ac:dyDescent="0.3">
      <c r="A8" s="19" t="s">
        <v>23</v>
      </c>
      <c r="B8" s="55">
        <v>6052.8870346389103</v>
      </c>
      <c r="C8" s="56">
        <v>504.40725288657598</v>
      </c>
      <c r="D8" s="56">
        <v>380.01299999999998</v>
      </c>
      <c r="E8" s="56">
        <v>281.10000000000002</v>
      </c>
      <c r="F8" s="56">
        <v>223.89</v>
      </c>
      <c r="G8" s="56">
        <v>299.83999999999997</v>
      </c>
      <c r="H8" s="56">
        <v>349.24</v>
      </c>
      <c r="I8" s="56">
        <v>277.77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1811.8530000000001</v>
      </c>
      <c r="Q8" s="170">
        <v>0.598673984705</v>
      </c>
    </row>
    <row r="9" spans="1:17" ht="14.4" customHeight="1" x14ac:dyDescent="0.3">
      <c r="A9" s="19" t="s">
        <v>24</v>
      </c>
      <c r="B9" s="55">
        <v>4697.7299108092102</v>
      </c>
      <c r="C9" s="56">
        <v>391.47749256743401</v>
      </c>
      <c r="D9" s="56">
        <v>411.25175999999999</v>
      </c>
      <c r="E9" s="56">
        <v>424.17421000000002</v>
      </c>
      <c r="F9" s="56">
        <v>377.67227000000099</v>
      </c>
      <c r="G9" s="56">
        <v>259.42043999999999</v>
      </c>
      <c r="H9" s="56">
        <v>470.69524000000001</v>
      </c>
      <c r="I9" s="56">
        <v>412.74975999999998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2355.9636799999998</v>
      </c>
      <c r="Q9" s="170">
        <v>1.0030221935820001</v>
      </c>
    </row>
    <row r="10" spans="1:17" ht="14.4" customHeight="1" x14ac:dyDescent="0.3">
      <c r="A10" s="19" t="s">
        <v>25</v>
      </c>
      <c r="B10" s="55">
        <v>66.321911945281997</v>
      </c>
      <c r="C10" s="56">
        <v>5.5268259954400003</v>
      </c>
      <c r="D10" s="56">
        <v>7.1603500000000002</v>
      </c>
      <c r="E10" s="56">
        <v>3.4470100000000001</v>
      </c>
      <c r="F10" s="56">
        <v>6.0919600000000003</v>
      </c>
      <c r="G10" s="56">
        <v>8.3977400000000006</v>
      </c>
      <c r="H10" s="56">
        <v>8.1190999999999995</v>
      </c>
      <c r="I10" s="56">
        <v>6.9955400000000001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40.2117</v>
      </c>
      <c r="Q10" s="170">
        <v>1.212621856655</v>
      </c>
    </row>
    <row r="11" spans="1:17" ht="14.4" customHeight="1" x14ac:dyDescent="0.3">
      <c r="A11" s="19" t="s">
        <v>26</v>
      </c>
      <c r="B11" s="55">
        <v>482.40369210129899</v>
      </c>
      <c r="C11" s="56">
        <v>40.200307675108</v>
      </c>
      <c r="D11" s="56">
        <v>34.075679999999998</v>
      </c>
      <c r="E11" s="56">
        <v>40.740200000000002</v>
      </c>
      <c r="F11" s="56">
        <v>42.400979999999997</v>
      </c>
      <c r="G11" s="56">
        <v>36.109020000000001</v>
      </c>
      <c r="H11" s="56">
        <v>47.553269999999998</v>
      </c>
      <c r="I11" s="56">
        <v>44.654209999999999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245.53335999999999</v>
      </c>
      <c r="Q11" s="170">
        <v>1.017958046425</v>
      </c>
    </row>
    <row r="12" spans="1:17" ht="14.4" customHeight="1" x14ac:dyDescent="0.3">
      <c r="A12" s="19" t="s">
        <v>27</v>
      </c>
      <c r="B12" s="55">
        <v>260.93503331185599</v>
      </c>
      <c r="C12" s="56">
        <v>21.744586109320998</v>
      </c>
      <c r="D12" s="56">
        <v>3.1919999999999997E-2</v>
      </c>
      <c r="E12" s="56">
        <v>0</v>
      </c>
      <c r="F12" s="56">
        <v>0.70772000000000002</v>
      </c>
      <c r="G12" s="56">
        <v>18.6873</v>
      </c>
      <c r="H12" s="56">
        <v>21.600210000000001</v>
      </c>
      <c r="I12" s="56">
        <v>4.1869999999999997E-2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41.069020000000002</v>
      </c>
      <c r="Q12" s="170">
        <v>0.31478348827800001</v>
      </c>
    </row>
    <row r="13" spans="1:17" ht="14.4" customHeight="1" x14ac:dyDescent="0.3">
      <c r="A13" s="19" t="s">
        <v>28</v>
      </c>
      <c r="B13" s="55">
        <v>278.55983442335997</v>
      </c>
      <c r="C13" s="56">
        <v>23.21331953528</v>
      </c>
      <c r="D13" s="56">
        <v>14.18704</v>
      </c>
      <c r="E13" s="56">
        <v>8.4786099999999998</v>
      </c>
      <c r="F13" s="56">
        <v>15.990220000000001</v>
      </c>
      <c r="G13" s="56">
        <v>17.450959999999998</v>
      </c>
      <c r="H13" s="56">
        <v>23.93655</v>
      </c>
      <c r="I13" s="56">
        <v>17.168900000000001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97.212280000000007</v>
      </c>
      <c r="Q13" s="170">
        <v>0.69796336719700003</v>
      </c>
    </row>
    <row r="14" spans="1:17" ht="14.4" customHeight="1" x14ac:dyDescent="0.3">
      <c r="A14" s="19" t="s">
        <v>29</v>
      </c>
      <c r="B14" s="55">
        <v>302.25195330528999</v>
      </c>
      <c r="C14" s="56">
        <v>25.18766277544</v>
      </c>
      <c r="D14" s="56">
        <v>39.463000000000001</v>
      </c>
      <c r="E14" s="56">
        <v>31.300999999999998</v>
      </c>
      <c r="F14" s="56">
        <v>28.062000000000001</v>
      </c>
      <c r="G14" s="56">
        <v>24.004000000000001</v>
      </c>
      <c r="H14" s="56">
        <v>20.398</v>
      </c>
      <c r="I14" s="56">
        <v>16.748000000000001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159.976</v>
      </c>
      <c r="Q14" s="170">
        <v>1.058560570084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0" t="s">
        <v>289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0" t="s">
        <v>289</v>
      </c>
    </row>
    <row r="17" spans="1:17" ht="14.4" customHeight="1" x14ac:dyDescent="0.3">
      <c r="A17" s="19" t="s">
        <v>32</v>
      </c>
      <c r="B17" s="55">
        <v>746.73813139167498</v>
      </c>
      <c r="C17" s="56">
        <v>62.228177615973003</v>
      </c>
      <c r="D17" s="56">
        <v>44.842010000000002</v>
      </c>
      <c r="E17" s="56">
        <v>83.275400000000005</v>
      </c>
      <c r="F17" s="56">
        <v>129.67277999999999</v>
      </c>
      <c r="G17" s="56">
        <v>75.911299999999997</v>
      </c>
      <c r="H17" s="56">
        <v>60.553759999999997</v>
      </c>
      <c r="I17" s="56">
        <v>143.4879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537.74315000000001</v>
      </c>
      <c r="Q17" s="170">
        <v>1.4402455891670001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0.90700000000000003</v>
      </c>
      <c r="E18" s="56">
        <v>38.023000000000003</v>
      </c>
      <c r="F18" s="56">
        <v>9.2569999999999997</v>
      </c>
      <c r="G18" s="56">
        <v>23.472000000000001</v>
      </c>
      <c r="H18" s="56">
        <v>2.1509999999999998</v>
      </c>
      <c r="I18" s="56">
        <v>8.6430000000000007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82.453000000000003</v>
      </c>
      <c r="Q18" s="170" t="s">
        <v>289</v>
      </c>
    </row>
    <row r="19" spans="1:17" ht="14.4" customHeight="1" x14ac:dyDescent="0.3">
      <c r="A19" s="19" t="s">
        <v>34</v>
      </c>
      <c r="B19" s="55">
        <v>979.71305093147805</v>
      </c>
      <c r="C19" s="56">
        <v>81.642754244288994</v>
      </c>
      <c r="D19" s="56">
        <v>66.064300000000003</v>
      </c>
      <c r="E19" s="56">
        <v>48.62079</v>
      </c>
      <c r="F19" s="56">
        <v>101.8008</v>
      </c>
      <c r="G19" s="56">
        <v>72.723770000000002</v>
      </c>
      <c r="H19" s="56">
        <v>40.926940000000002</v>
      </c>
      <c r="I19" s="56">
        <v>49.559530000000002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379.69612999999998</v>
      </c>
      <c r="Q19" s="170">
        <v>0.77511701949599998</v>
      </c>
    </row>
    <row r="20" spans="1:17" ht="14.4" customHeight="1" x14ac:dyDescent="0.3">
      <c r="A20" s="19" t="s">
        <v>35</v>
      </c>
      <c r="B20" s="55">
        <v>43931</v>
      </c>
      <c r="C20" s="56">
        <v>3660.9166666666702</v>
      </c>
      <c r="D20" s="56">
        <v>3669.9090900000001</v>
      </c>
      <c r="E20" s="56">
        <v>3506.4272299999998</v>
      </c>
      <c r="F20" s="56">
        <v>3478.32566000001</v>
      </c>
      <c r="G20" s="56">
        <v>4113.7156400000003</v>
      </c>
      <c r="H20" s="56">
        <v>3810.2137200000002</v>
      </c>
      <c r="I20" s="56">
        <v>3555.44218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22134.033520000001</v>
      </c>
      <c r="Q20" s="170">
        <v>1.0076726466499999</v>
      </c>
    </row>
    <row r="21" spans="1:17" ht="14.4" customHeight="1" x14ac:dyDescent="0.3">
      <c r="A21" s="20" t="s">
        <v>36</v>
      </c>
      <c r="B21" s="55">
        <v>1884</v>
      </c>
      <c r="C21" s="56">
        <v>157</v>
      </c>
      <c r="D21" s="56">
        <v>151.113</v>
      </c>
      <c r="E21" s="56">
        <v>144.50200000000001</v>
      </c>
      <c r="F21" s="56">
        <v>144.15700000000001</v>
      </c>
      <c r="G21" s="56">
        <v>143.751</v>
      </c>
      <c r="H21" s="56">
        <v>143.751</v>
      </c>
      <c r="I21" s="56">
        <v>143.751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871.02499999999998</v>
      </c>
      <c r="Q21" s="170">
        <v>0.92465498938400004</v>
      </c>
    </row>
    <row r="22" spans="1:17" ht="14.4" customHeight="1" x14ac:dyDescent="0.3">
      <c r="A22" s="19" t="s">
        <v>37</v>
      </c>
      <c r="B22" s="55">
        <v>7</v>
      </c>
      <c r="C22" s="56">
        <v>0.58333333333299997</v>
      </c>
      <c r="D22" s="56">
        <v>0</v>
      </c>
      <c r="E22" s="56">
        <v>0</v>
      </c>
      <c r="F22" s="56">
        <v>0</v>
      </c>
      <c r="G22" s="56">
        <v>35.87189</v>
      </c>
      <c r="H22" s="56">
        <v>1.5249999999999999</v>
      </c>
      <c r="I22" s="56">
        <v>14.46918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51.866070000000001</v>
      </c>
      <c r="Q22" s="170">
        <v>14.818877142857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0"/>
    </row>
    <row r="24" spans="1:17" ht="14.4" customHeight="1" x14ac:dyDescent="0.3">
      <c r="A24" s="20" t="s">
        <v>39</v>
      </c>
      <c r="B24" s="55">
        <v>-1.45519152283669E-11</v>
      </c>
      <c r="C24" s="56">
        <v>-9.0949470177292804E-13</v>
      </c>
      <c r="D24" s="56">
        <v>3.4000000000000002E-4</v>
      </c>
      <c r="E24" s="56">
        <v>29.098939999997999</v>
      </c>
      <c r="F24" s="56">
        <v>8.6139200000010003</v>
      </c>
      <c r="G24" s="56">
        <v>9.5278500000009991</v>
      </c>
      <c r="H24" s="56">
        <v>0.50183</v>
      </c>
      <c r="I24" s="56">
        <v>7.4321099999999998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55.174990000003</v>
      </c>
      <c r="Q24" s="170"/>
    </row>
    <row r="25" spans="1:17" ht="14.4" customHeight="1" x14ac:dyDescent="0.3">
      <c r="A25" s="21" t="s">
        <v>40</v>
      </c>
      <c r="B25" s="58">
        <v>71531.613308081403</v>
      </c>
      <c r="C25" s="59">
        <v>5960.96777567345</v>
      </c>
      <c r="D25" s="59">
        <v>6290.6093300000002</v>
      </c>
      <c r="E25" s="59">
        <v>5576.8239899999999</v>
      </c>
      <c r="F25" s="59">
        <v>5433.9564100000098</v>
      </c>
      <c r="G25" s="59">
        <v>5903.4078200000004</v>
      </c>
      <c r="H25" s="59">
        <v>6795.9101899999996</v>
      </c>
      <c r="I25" s="59">
        <v>5451.0079100000003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35451.715649999998</v>
      </c>
      <c r="Q25" s="171">
        <v>0.991218120506</v>
      </c>
    </row>
    <row r="26" spans="1:17" ht="14.4" customHeight="1" x14ac:dyDescent="0.3">
      <c r="A26" s="19" t="s">
        <v>41</v>
      </c>
      <c r="B26" s="55">
        <v>5764.3193937791402</v>
      </c>
      <c r="C26" s="56">
        <v>480.35994948159498</v>
      </c>
      <c r="D26" s="56">
        <v>684.27739999999994</v>
      </c>
      <c r="E26" s="56">
        <v>681.55605000000003</v>
      </c>
      <c r="F26" s="56">
        <v>573.92006000000003</v>
      </c>
      <c r="G26" s="56">
        <v>760.06205999999997</v>
      </c>
      <c r="H26" s="56">
        <v>772.80754000000002</v>
      </c>
      <c r="I26" s="56">
        <v>687.53259000000003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4160.1557000000003</v>
      </c>
      <c r="Q26" s="170">
        <v>1.4434160967859999</v>
      </c>
    </row>
    <row r="27" spans="1:17" ht="14.4" customHeight="1" x14ac:dyDescent="0.3">
      <c r="A27" s="22" t="s">
        <v>42</v>
      </c>
      <c r="B27" s="58">
        <v>77295.932701860496</v>
      </c>
      <c r="C27" s="59">
        <v>6441.3277251550398</v>
      </c>
      <c r="D27" s="59">
        <v>6974.8867300000002</v>
      </c>
      <c r="E27" s="59">
        <v>6258.38004</v>
      </c>
      <c r="F27" s="59">
        <v>6007.8764700000102</v>
      </c>
      <c r="G27" s="59">
        <v>6663.4698799999996</v>
      </c>
      <c r="H27" s="59">
        <v>7568.7177300000003</v>
      </c>
      <c r="I27" s="59">
        <v>6138.5405000000001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39611.871350000001</v>
      </c>
      <c r="Q27" s="171">
        <v>1.024940639575</v>
      </c>
    </row>
    <row r="28" spans="1:17" ht="14.4" customHeight="1" x14ac:dyDescent="0.3">
      <c r="A28" s="20" t="s">
        <v>43</v>
      </c>
      <c r="B28" s="55">
        <v>0.45669018547099999</v>
      </c>
      <c r="C28" s="56">
        <v>3.8057515455000003E-2</v>
      </c>
      <c r="D28" s="56">
        <v>0</v>
      </c>
      <c r="E28" s="56">
        <v>0.39337</v>
      </c>
      <c r="F28" s="56">
        <v>0</v>
      </c>
      <c r="G28" s="56">
        <v>0</v>
      </c>
      <c r="H28" s="56">
        <v>0</v>
      </c>
      <c r="I28" s="56">
        <v>0.17687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0.57023999999999997</v>
      </c>
      <c r="Q28" s="170">
        <v>0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0" t="s">
        <v>289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0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2" t="s">
        <v>289</v>
      </c>
    </row>
    <row r="32" spans="1:17" ht="14.4" customHeight="1" x14ac:dyDescent="0.3"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</row>
    <row r="33" spans="1:17" ht="14.4" customHeight="1" x14ac:dyDescent="0.3">
      <c r="A33" s="206" t="s">
        <v>177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</row>
    <row r="34" spans="1:17" ht="14.4" customHeight="1" x14ac:dyDescent="0.3">
      <c r="A34" s="237" t="s">
        <v>255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</row>
    <row r="35" spans="1:17" ht="14.4" customHeight="1" x14ac:dyDescent="0.3">
      <c r="A35" s="238" t="s">
        <v>47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1" customWidth="1"/>
    <col min="2" max="11" width="10" style="231" customWidth="1"/>
    <col min="12" max="16384" width="8.88671875" style="231"/>
  </cols>
  <sheetData>
    <row r="1" spans="1:11" s="64" customFormat="1" ht="18.600000000000001" customHeight="1" thickBot="1" x14ac:dyDescent="0.4">
      <c r="A1" s="508" t="s">
        <v>48</v>
      </c>
      <c r="B1" s="508"/>
      <c r="C1" s="508"/>
      <c r="D1" s="508"/>
      <c r="E1" s="508"/>
      <c r="F1" s="508"/>
      <c r="G1" s="508"/>
      <c r="H1" s="513"/>
      <c r="I1" s="513"/>
      <c r="J1" s="513"/>
      <c r="K1" s="513"/>
    </row>
    <row r="2" spans="1:11" s="64" customFormat="1" ht="14.4" customHeight="1" thickBot="1" x14ac:dyDescent="0.35">
      <c r="A2" s="351" t="s">
        <v>288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509" t="s">
        <v>49</v>
      </c>
      <c r="C3" s="510"/>
      <c r="D3" s="510"/>
      <c r="E3" s="510"/>
      <c r="F3" s="516" t="s">
        <v>50</v>
      </c>
      <c r="G3" s="510"/>
      <c r="H3" s="510"/>
      <c r="I3" s="510"/>
      <c r="J3" s="510"/>
      <c r="K3" s="517"/>
    </row>
    <row r="4" spans="1:11" ht="14.4" customHeight="1" x14ac:dyDescent="0.3">
      <c r="A4" s="93"/>
      <c r="B4" s="514"/>
      <c r="C4" s="515"/>
      <c r="D4" s="515"/>
      <c r="E4" s="515"/>
      <c r="F4" s="518" t="s">
        <v>256</v>
      </c>
      <c r="G4" s="520" t="s">
        <v>51</v>
      </c>
      <c r="H4" s="243" t="s">
        <v>164</v>
      </c>
      <c r="I4" s="518" t="s">
        <v>52</v>
      </c>
      <c r="J4" s="520" t="s">
        <v>266</v>
      </c>
      <c r="K4" s="521" t="s">
        <v>257</v>
      </c>
    </row>
    <row r="5" spans="1:11" ht="42" thickBot="1" x14ac:dyDescent="0.35">
      <c r="A5" s="94"/>
      <c r="B5" s="28" t="s">
        <v>259</v>
      </c>
      <c r="C5" s="29" t="s">
        <v>260</v>
      </c>
      <c r="D5" s="30" t="s">
        <v>261</v>
      </c>
      <c r="E5" s="30" t="s">
        <v>262</v>
      </c>
      <c r="F5" s="519"/>
      <c r="G5" s="519"/>
      <c r="H5" s="29" t="s">
        <v>258</v>
      </c>
      <c r="I5" s="519"/>
      <c r="J5" s="519"/>
      <c r="K5" s="522"/>
    </row>
    <row r="6" spans="1:11" ht="14.4" customHeight="1" thickBot="1" x14ac:dyDescent="0.35">
      <c r="A6" s="645" t="s">
        <v>291</v>
      </c>
      <c r="B6" s="627">
        <v>61301.105177258702</v>
      </c>
      <c r="C6" s="627">
        <v>67678.415850000005</v>
      </c>
      <c r="D6" s="628">
        <v>6377.3106727413297</v>
      </c>
      <c r="E6" s="629">
        <v>1.104032556253</v>
      </c>
      <c r="F6" s="627">
        <v>71531.613308081403</v>
      </c>
      <c r="G6" s="628">
        <v>35765.806654040702</v>
      </c>
      <c r="H6" s="630">
        <v>5451.0079100000003</v>
      </c>
      <c r="I6" s="627">
        <v>35451.715649999998</v>
      </c>
      <c r="J6" s="628">
        <v>-314.09100404067402</v>
      </c>
      <c r="K6" s="631">
        <v>0.495609060253</v>
      </c>
    </row>
    <row r="7" spans="1:11" ht="14.4" customHeight="1" thickBot="1" x14ac:dyDescent="0.35">
      <c r="A7" s="646" t="s">
        <v>292</v>
      </c>
      <c r="B7" s="627">
        <v>18974.7907705006</v>
      </c>
      <c r="C7" s="627">
        <v>20790.69284</v>
      </c>
      <c r="D7" s="628">
        <v>1815.9020694993701</v>
      </c>
      <c r="E7" s="629">
        <v>1.09570076906</v>
      </c>
      <c r="F7" s="627">
        <v>23983.162125758201</v>
      </c>
      <c r="G7" s="628">
        <v>11991.581062879101</v>
      </c>
      <c r="H7" s="630">
        <v>1528.2231200000001</v>
      </c>
      <c r="I7" s="627">
        <v>11339.728800000001</v>
      </c>
      <c r="J7" s="628">
        <v>-651.85226287911098</v>
      </c>
      <c r="K7" s="631">
        <v>0.47282042044900002</v>
      </c>
    </row>
    <row r="8" spans="1:11" ht="14.4" customHeight="1" thickBot="1" x14ac:dyDescent="0.35">
      <c r="A8" s="647" t="s">
        <v>293</v>
      </c>
      <c r="B8" s="627">
        <v>18670.105127699298</v>
      </c>
      <c r="C8" s="627">
        <v>20491.690839999999</v>
      </c>
      <c r="D8" s="628">
        <v>1821.5857123006699</v>
      </c>
      <c r="E8" s="629">
        <v>1.097566976717</v>
      </c>
      <c r="F8" s="627">
        <v>23680.910172452899</v>
      </c>
      <c r="G8" s="628">
        <v>11840.4550862265</v>
      </c>
      <c r="H8" s="630">
        <v>1511.4751200000001</v>
      </c>
      <c r="I8" s="627">
        <v>11179.7528</v>
      </c>
      <c r="J8" s="628">
        <v>-660.702286226468</v>
      </c>
      <c r="K8" s="631">
        <v>0.47209979340199998</v>
      </c>
    </row>
    <row r="9" spans="1:11" ht="14.4" customHeight="1" thickBot="1" x14ac:dyDescent="0.35">
      <c r="A9" s="648" t="s">
        <v>294</v>
      </c>
      <c r="B9" s="632">
        <v>0</v>
      </c>
      <c r="C9" s="632">
        <v>8.2100000000000003E-3</v>
      </c>
      <c r="D9" s="633">
        <v>8.2100000000000003E-3</v>
      </c>
      <c r="E9" s="634" t="s">
        <v>289</v>
      </c>
      <c r="F9" s="632">
        <v>0</v>
      </c>
      <c r="G9" s="633">
        <v>0</v>
      </c>
      <c r="H9" s="635">
        <v>1.1E-4</v>
      </c>
      <c r="I9" s="632">
        <v>5.0099999999999997E-3</v>
      </c>
      <c r="J9" s="633">
        <v>5.0099999999999997E-3</v>
      </c>
      <c r="K9" s="636" t="s">
        <v>289</v>
      </c>
    </row>
    <row r="10" spans="1:11" ht="14.4" customHeight="1" thickBot="1" x14ac:dyDescent="0.35">
      <c r="A10" s="649" t="s">
        <v>295</v>
      </c>
      <c r="B10" s="627">
        <v>0</v>
      </c>
      <c r="C10" s="627">
        <v>8.2100000000000003E-3</v>
      </c>
      <c r="D10" s="628">
        <v>8.2100000000000003E-3</v>
      </c>
      <c r="E10" s="637" t="s">
        <v>289</v>
      </c>
      <c r="F10" s="627">
        <v>0</v>
      </c>
      <c r="G10" s="628">
        <v>0</v>
      </c>
      <c r="H10" s="630">
        <v>1.1E-4</v>
      </c>
      <c r="I10" s="627">
        <v>5.0099999999999997E-3</v>
      </c>
      <c r="J10" s="628">
        <v>5.0099999999999997E-3</v>
      </c>
      <c r="K10" s="638" t="s">
        <v>289</v>
      </c>
    </row>
    <row r="11" spans="1:11" ht="14.4" customHeight="1" thickBot="1" x14ac:dyDescent="0.35">
      <c r="A11" s="648" t="s">
        <v>296</v>
      </c>
      <c r="B11" s="632">
        <v>9400.2891524788192</v>
      </c>
      <c r="C11" s="632">
        <v>9973.4979400000102</v>
      </c>
      <c r="D11" s="633">
        <v>573.20878752118904</v>
      </c>
      <c r="E11" s="639">
        <v>1.060977782515</v>
      </c>
      <c r="F11" s="632">
        <v>11842.072755223</v>
      </c>
      <c r="G11" s="633">
        <v>5921.03637761151</v>
      </c>
      <c r="H11" s="635">
        <v>752.09473000000003</v>
      </c>
      <c r="I11" s="632">
        <v>6587.9047499999997</v>
      </c>
      <c r="J11" s="633">
        <v>666.86837238849296</v>
      </c>
      <c r="K11" s="640">
        <v>0.55631348381000001</v>
      </c>
    </row>
    <row r="12" spans="1:11" ht="14.4" customHeight="1" thickBot="1" x14ac:dyDescent="0.35">
      <c r="A12" s="649" t="s">
        <v>297</v>
      </c>
      <c r="B12" s="627">
        <v>3999.8941597153398</v>
      </c>
      <c r="C12" s="627">
        <v>3783.8091599999998</v>
      </c>
      <c r="D12" s="628">
        <v>-216.08499971533999</v>
      </c>
      <c r="E12" s="629">
        <v>0.94597732062700002</v>
      </c>
      <c r="F12" s="627">
        <v>4731.9898391773304</v>
      </c>
      <c r="G12" s="628">
        <v>2365.9949195886702</v>
      </c>
      <c r="H12" s="630">
        <v>318.87880999999999</v>
      </c>
      <c r="I12" s="627">
        <v>2479.60248</v>
      </c>
      <c r="J12" s="628">
        <v>113.607560411335</v>
      </c>
      <c r="K12" s="631">
        <v>0.52400841174000001</v>
      </c>
    </row>
    <row r="13" spans="1:11" ht="14.4" customHeight="1" thickBot="1" x14ac:dyDescent="0.35">
      <c r="A13" s="649" t="s">
        <v>298</v>
      </c>
      <c r="B13" s="627">
        <v>1613.00013183803</v>
      </c>
      <c r="C13" s="627">
        <v>1581.2873</v>
      </c>
      <c r="D13" s="628">
        <v>-31.712831838027</v>
      </c>
      <c r="E13" s="629">
        <v>0.98033922551300001</v>
      </c>
      <c r="F13" s="627">
        <v>1749.6952657913</v>
      </c>
      <c r="G13" s="628">
        <v>874.84763289565001</v>
      </c>
      <c r="H13" s="630">
        <v>105.84468</v>
      </c>
      <c r="I13" s="627">
        <v>1022.30539</v>
      </c>
      <c r="J13" s="628">
        <v>147.457757104351</v>
      </c>
      <c r="K13" s="631">
        <v>0.58427625083400003</v>
      </c>
    </row>
    <row r="14" spans="1:11" ht="14.4" customHeight="1" thickBot="1" x14ac:dyDescent="0.35">
      <c r="A14" s="649" t="s">
        <v>299</v>
      </c>
      <c r="B14" s="627">
        <v>343.99993623060999</v>
      </c>
      <c r="C14" s="627">
        <v>172.96305000000001</v>
      </c>
      <c r="D14" s="628">
        <v>-171.03688623061001</v>
      </c>
      <c r="E14" s="629">
        <v>0.50279965715999997</v>
      </c>
      <c r="F14" s="627">
        <v>260.022059268514</v>
      </c>
      <c r="G14" s="628">
        <v>130.011029634257</v>
      </c>
      <c r="H14" s="630">
        <v>17.722549999999998</v>
      </c>
      <c r="I14" s="627">
        <v>148.57783000000001</v>
      </c>
      <c r="J14" s="628">
        <v>18.566800365742999</v>
      </c>
      <c r="K14" s="631">
        <v>0.57140471242299995</v>
      </c>
    </row>
    <row r="15" spans="1:11" ht="14.4" customHeight="1" thickBot="1" x14ac:dyDescent="0.35">
      <c r="A15" s="649" t="s">
        <v>300</v>
      </c>
      <c r="B15" s="627">
        <v>0</v>
      </c>
      <c r="C15" s="627">
        <v>8.8119999999999994</v>
      </c>
      <c r="D15" s="628">
        <v>8.8119999999999994</v>
      </c>
      <c r="E15" s="637" t="s">
        <v>301</v>
      </c>
      <c r="F15" s="627">
        <v>0</v>
      </c>
      <c r="G15" s="628">
        <v>0</v>
      </c>
      <c r="H15" s="630">
        <v>0</v>
      </c>
      <c r="I15" s="627">
        <v>0</v>
      </c>
      <c r="J15" s="628">
        <v>0</v>
      </c>
      <c r="K15" s="638" t="s">
        <v>289</v>
      </c>
    </row>
    <row r="16" spans="1:11" ht="14.4" customHeight="1" thickBot="1" x14ac:dyDescent="0.35">
      <c r="A16" s="649" t="s">
        <v>302</v>
      </c>
      <c r="B16" s="627">
        <v>744.000067167937</v>
      </c>
      <c r="C16" s="627">
        <v>2107.5559600000001</v>
      </c>
      <c r="D16" s="628">
        <v>1363.55589283206</v>
      </c>
      <c r="E16" s="629">
        <v>2.8327362496380002</v>
      </c>
      <c r="F16" s="627">
        <v>2000</v>
      </c>
      <c r="G16" s="628">
        <v>1000</v>
      </c>
      <c r="H16" s="630">
        <v>154.49539999999999</v>
      </c>
      <c r="I16" s="627">
        <v>817.35423000000003</v>
      </c>
      <c r="J16" s="628">
        <v>-182.64577</v>
      </c>
      <c r="K16" s="631">
        <v>0.40867711499999998</v>
      </c>
    </row>
    <row r="17" spans="1:11" ht="14.4" customHeight="1" thickBot="1" x14ac:dyDescent="0.35">
      <c r="A17" s="649" t="s">
        <v>303</v>
      </c>
      <c r="B17" s="627">
        <v>350.00003159782</v>
      </c>
      <c r="C17" s="627">
        <v>21.263470000000002</v>
      </c>
      <c r="D17" s="628">
        <v>-328.73656159782001</v>
      </c>
      <c r="E17" s="629">
        <v>6.0752765942999998E-2</v>
      </c>
      <c r="F17" s="627">
        <v>440</v>
      </c>
      <c r="G17" s="628">
        <v>220</v>
      </c>
      <c r="H17" s="630">
        <v>0</v>
      </c>
      <c r="I17" s="627">
        <v>386.98660000000001</v>
      </c>
      <c r="J17" s="628">
        <v>166.98660000000001</v>
      </c>
      <c r="K17" s="631">
        <v>0.87951500000000005</v>
      </c>
    </row>
    <row r="18" spans="1:11" ht="14.4" customHeight="1" thickBot="1" x14ac:dyDescent="0.35">
      <c r="A18" s="649" t="s">
        <v>304</v>
      </c>
      <c r="B18" s="627">
        <v>1293.2325199664399</v>
      </c>
      <c r="C18" s="627">
        <v>1164.84041</v>
      </c>
      <c r="D18" s="628">
        <v>-128.392109966443</v>
      </c>
      <c r="E18" s="629">
        <v>0.90072001130099999</v>
      </c>
      <c r="F18" s="627">
        <v>1460.8156791537399</v>
      </c>
      <c r="G18" s="628">
        <v>730.40783957686801</v>
      </c>
      <c r="H18" s="630">
        <v>94.412949999999995</v>
      </c>
      <c r="I18" s="627">
        <v>1176.3283100000001</v>
      </c>
      <c r="J18" s="628">
        <v>445.92047042313197</v>
      </c>
      <c r="K18" s="631">
        <v>0.80525443886299997</v>
      </c>
    </row>
    <row r="19" spans="1:11" ht="14.4" customHeight="1" thickBot="1" x14ac:dyDescent="0.35">
      <c r="A19" s="649" t="s">
        <v>305</v>
      </c>
      <c r="B19" s="627">
        <v>909.16229269155497</v>
      </c>
      <c r="C19" s="627">
        <v>1004.80948</v>
      </c>
      <c r="D19" s="628">
        <v>95.647187308445993</v>
      </c>
      <c r="E19" s="629">
        <v>1.105203645242</v>
      </c>
      <c r="F19" s="627">
        <v>1069.54991183213</v>
      </c>
      <c r="G19" s="628">
        <v>534.77495591606703</v>
      </c>
      <c r="H19" s="630">
        <v>51.122500000000002</v>
      </c>
      <c r="I19" s="627">
        <v>486.37770999999998</v>
      </c>
      <c r="J19" s="628">
        <v>-48.397245916067</v>
      </c>
      <c r="K19" s="631">
        <v>0.454749894903</v>
      </c>
    </row>
    <row r="20" spans="1:11" ht="14.4" customHeight="1" thickBot="1" x14ac:dyDescent="0.35">
      <c r="A20" s="649" t="s">
        <v>306</v>
      </c>
      <c r="B20" s="627">
        <v>147.00001327108501</v>
      </c>
      <c r="C20" s="627">
        <v>128.15710999999999</v>
      </c>
      <c r="D20" s="628">
        <v>-18.842903271084001</v>
      </c>
      <c r="E20" s="629">
        <v>0.87181699612200003</v>
      </c>
      <c r="F20" s="627">
        <v>130</v>
      </c>
      <c r="G20" s="628">
        <v>65</v>
      </c>
      <c r="H20" s="630">
        <v>9.6178399999999993</v>
      </c>
      <c r="I20" s="627">
        <v>70.372200000000007</v>
      </c>
      <c r="J20" s="628">
        <v>5.3722000000000003</v>
      </c>
      <c r="K20" s="631">
        <v>0.54132461538400001</v>
      </c>
    </row>
    <row r="21" spans="1:11" ht="14.4" customHeight="1" thickBot="1" x14ac:dyDescent="0.35">
      <c r="A21" s="648" t="s">
        <v>307</v>
      </c>
      <c r="B21" s="632">
        <v>4662.6962705982696</v>
      </c>
      <c r="C21" s="632">
        <v>5841.5079999999998</v>
      </c>
      <c r="D21" s="633">
        <v>1178.81172940173</v>
      </c>
      <c r="E21" s="639">
        <v>1.252817610453</v>
      </c>
      <c r="F21" s="632">
        <v>6052.8870346389103</v>
      </c>
      <c r="G21" s="633">
        <v>3026.4435173194602</v>
      </c>
      <c r="H21" s="635">
        <v>277.77</v>
      </c>
      <c r="I21" s="632">
        <v>1811.8530000000001</v>
      </c>
      <c r="J21" s="633">
        <v>-1214.5905173194601</v>
      </c>
      <c r="K21" s="640">
        <v>0.29933699235200001</v>
      </c>
    </row>
    <row r="22" spans="1:11" ht="14.4" customHeight="1" thickBot="1" x14ac:dyDescent="0.35">
      <c r="A22" s="649" t="s">
        <v>308</v>
      </c>
      <c r="B22" s="627">
        <v>4101.84861955208</v>
      </c>
      <c r="C22" s="627">
        <v>5196.3580000000002</v>
      </c>
      <c r="D22" s="628">
        <v>1094.50938044792</v>
      </c>
      <c r="E22" s="629">
        <v>1.2668331969219999</v>
      </c>
      <c r="F22" s="627">
        <v>5357.5821639421902</v>
      </c>
      <c r="G22" s="628">
        <v>2678.7910819711001</v>
      </c>
      <c r="H22" s="630">
        <v>258.95999999999998</v>
      </c>
      <c r="I22" s="627">
        <v>1657.625</v>
      </c>
      <c r="J22" s="628">
        <v>-1021.16608197109</v>
      </c>
      <c r="K22" s="631">
        <v>0.30939796148199999</v>
      </c>
    </row>
    <row r="23" spans="1:11" ht="14.4" customHeight="1" thickBot="1" x14ac:dyDescent="0.35">
      <c r="A23" s="649" t="s">
        <v>309</v>
      </c>
      <c r="B23" s="627">
        <v>560.84765104618896</v>
      </c>
      <c r="C23" s="627">
        <v>645.15</v>
      </c>
      <c r="D23" s="628">
        <v>84.302348953809997</v>
      </c>
      <c r="E23" s="629">
        <v>1.15031238661</v>
      </c>
      <c r="F23" s="627">
        <v>695.30487069672199</v>
      </c>
      <c r="G23" s="628">
        <v>347.652435348361</v>
      </c>
      <c r="H23" s="630">
        <v>18.809999999999999</v>
      </c>
      <c r="I23" s="627">
        <v>154.22800000000001</v>
      </c>
      <c r="J23" s="628">
        <v>-193.42443534836099</v>
      </c>
      <c r="K23" s="631">
        <v>0.221813490024</v>
      </c>
    </row>
    <row r="24" spans="1:11" ht="14.4" customHeight="1" thickBot="1" x14ac:dyDescent="0.35">
      <c r="A24" s="648" t="s">
        <v>310</v>
      </c>
      <c r="B24" s="632">
        <v>3910.0003529927899</v>
      </c>
      <c r="C24" s="632">
        <v>3747.9295200000001</v>
      </c>
      <c r="D24" s="633">
        <v>-162.07083299278401</v>
      </c>
      <c r="E24" s="639">
        <v>0.95854966282300003</v>
      </c>
      <c r="F24" s="632">
        <v>4697.7299108092102</v>
      </c>
      <c r="G24" s="633">
        <v>2348.8649554046101</v>
      </c>
      <c r="H24" s="635">
        <v>412.74975999999998</v>
      </c>
      <c r="I24" s="632">
        <v>2355.9636799999998</v>
      </c>
      <c r="J24" s="633">
        <v>7.0987245953929996</v>
      </c>
      <c r="K24" s="640">
        <v>0.50151109679100003</v>
      </c>
    </row>
    <row r="25" spans="1:11" ht="14.4" customHeight="1" thickBot="1" x14ac:dyDescent="0.35">
      <c r="A25" s="649" t="s">
        <v>311</v>
      </c>
      <c r="B25" s="627">
        <v>600.00005416769102</v>
      </c>
      <c r="C25" s="627">
        <v>578.27327000000105</v>
      </c>
      <c r="D25" s="628">
        <v>-21.726784167689999</v>
      </c>
      <c r="E25" s="629">
        <v>0.96378869632200004</v>
      </c>
      <c r="F25" s="627">
        <v>520.37806580690403</v>
      </c>
      <c r="G25" s="628">
        <v>260.18903290345202</v>
      </c>
      <c r="H25" s="630">
        <v>38.611919999999998</v>
      </c>
      <c r="I25" s="627">
        <v>224.01862</v>
      </c>
      <c r="J25" s="628">
        <v>-36.170412903451997</v>
      </c>
      <c r="K25" s="631">
        <v>0.430492049376</v>
      </c>
    </row>
    <row r="26" spans="1:11" ht="14.4" customHeight="1" thickBot="1" x14ac:dyDescent="0.35">
      <c r="A26" s="649" t="s">
        <v>312</v>
      </c>
      <c r="B26" s="627">
        <v>1.0000000902790001</v>
      </c>
      <c r="C26" s="627">
        <v>0.24743999999999999</v>
      </c>
      <c r="D26" s="628">
        <v>-0.75256009027899995</v>
      </c>
      <c r="E26" s="629">
        <v>0.24743997766100001</v>
      </c>
      <c r="F26" s="627">
        <v>1</v>
      </c>
      <c r="G26" s="628">
        <v>0.5</v>
      </c>
      <c r="H26" s="630">
        <v>0</v>
      </c>
      <c r="I26" s="627">
        <v>0.14349999999999999</v>
      </c>
      <c r="J26" s="628">
        <v>-0.35649999999999998</v>
      </c>
      <c r="K26" s="631">
        <v>0.14349999999999999</v>
      </c>
    </row>
    <row r="27" spans="1:11" ht="14.4" customHeight="1" thickBot="1" x14ac:dyDescent="0.35">
      <c r="A27" s="649" t="s">
        <v>313</v>
      </c>
      <c r="B27" s="627">
        <v>380.00003430620399</v>
      </c>
      <c r="C27" s="627">
        <v>390.47676000000001</v>
      </c>
      <c r="D27" s="628">
        <v>10.476725693796</v>
      </c>
      <c r="E27" s="629">
        <v>1.0275703282840001</v>
      </c>
      <c r="F27" s="627">
        <v>556.35228309926299</v>
      </c>
      <c r="G27" s="628">
        <v>278.17614154963201</v>
      </c>
      <c r="H27" s="630">
        <v>35.845910000000003</v>
      </c>
      <c r="I27" s="627">
        <v>227.06777</v>
      </c>
      <c r="J27" s="628">
        <v>-51.108371549631002</v>
      </c>
      <c r="K27" s="631">
        <v>0.40813667328699998</v>
      </c>
    </row>
    <row r="28" spans="1:11" ht="14.4" customHeight="1" thickBot="1" x14ac:dyDescent="0.35">
      <c r="A28" s="649" t="s">
        <v>314</v>
      </c>
      <c r="B28" s="627">
        <v>2253.0002033996798</v>
      </c>
      <c r="C28" s="627">
        <v>2071.8252699999998</v>
      </c>
      <c r="D28" s="628">
        <v>-181.174933399678</v>
      </c>
      <c r="E28" s="629">
        <v>0.91958503460100005</v>
      </c>
      <c r="F28" s="627">
        <v>2465.6489489773498</v>
      </c>
      <c r="G28" s="628">
        <v>1232.8244744886799</v>
      </c>
      <c r="H28" s="630">
        <v>236.88425000000001</v>
      </c>
      <c r="I28" s="627">
        <v>1406.5223900000001</v>
      </c>
      <c r="J28" s="628">
        <v>173.697915511323</v>
      </c>
      <c r="K28" s="631">
        <v>0.57044713951799997</v>
      </c>
    </row>
    <row r="29" spans="1:11" ht="14.4" customHeight="1" thickBot="1" x14ac:dyDescent="0.35">
      <c r="A29" s="649" t="s">
        <v>315</v>
      </c>
      <c r="B29" s="627">
        <v>90.000008125153002</v>
      </c>
      <c r="C29" s="627">
        <v>116.51282</v>
      </c>
      <c r="D29" s="628">
        <v>26.512811874846001</v>
      </c>
      <c r="E29" s="629">
        <v>1.2945867720140001</v>
      </c>
      <c r="F29" s="627">
        <v>205.20152863258801</v>
      </c>
      <c r="G29" s="628">
        <v>102.600764316294</v>
      </c>
      <c r="H29" s="630">
        <v>10.747199999999999</v>
      </c>
      <c r="I29" s="627">
        <v>116.45312</v>
      </c>
      <c r="J29" s="628">
        <v>13.852355683706</v>
      </c>
      <c r="K29" s="631">
        <v>0.56750610375999999</v>
      </c>
    </row>
    <row r="30" spans="1:11" ht="14.4" customHeight="1" thickBot="1" x14ac:dyDescent="0.35">
      <c r="A30" s="649" t="s">
        <v>316</v>
      </c>
      <c r="B30" s="627">
        <v>20.000001805589001</v>
      </c>
      <c r="C30" s="627">
        <v>17.433129999999998</v>
      </c>
      <c r="D30" s="628">
        <v>-2.5668718055889999</v>
      </c>
      <c r="E30" s="629">
        <v>0.87165642130700005</v>
      </c>
      <c r="F30" s="627">
        <v>30.451505057039</v>
      </c>
      <c r="G30" s="628">
        <v>15.225752528518999</v>
      </c>
      <c r="H30" s="630">
        <v>1.2096899999999999</v>
      </c>
      <c r="I30" s="627">
        <v>11.3787</v>
      </c>
      <c r="J30" s="628">
        <v>-3.8470525285189998</v>
      </c>
      <c r="K30" s="631">
        <v>0.37366625980099999</v>
      </c>
    </row>
    <row r="31" spans="1:11" ht="14.4" customHeight="1" thickBot="1" x14ac:dyDescent="0.35">
      <c r="A31" s="649" t="s">
        <v>317</v>
      </c>
      <c r="B31" s="627">
        <v>25.000002256986999</v>
      </c>
      <c r="C31" s="627">
        <v>29.179569999999998</v>
      </c>
      <c r="D31" s="628">
        <v>4.179567743012</v>
      </c>
      <c r="E31" s="629">
        <v>1.1671826946270001</v>
      </c>
      <c r="F31" s="627">
        <v>60.262671133044996</v>
      </c>
      <c r="G31" s="628">
        <v>30.131335566522001</v>
      </c>
      <c r="H31" s="630">
        <v>2.339</v>
      </c>
      <c r="I31" s="627">
        <v>14.10943</v>
      </c>
      <c r="J31" s="628">
        <v>-16.021905566522001</v>
      </c>
      <c r="K31" s="631">
        <v>0.23413217062399999</v>
      </c>
    </row>
    <row r="32" spans="1:11" ht="14.4" customHeight="1" thickBot="1" x14ac:dyDescent="0.35">
      <c r="A32" s="649" t="s">
        <v>318</v>
      </c>
      <c r="B32" s="627">
        <v>180.000016250307</v>
      </c>
      <c r="C32" s="627">
        <v>190.00629000000001</v>
      </c>
      <c r="D32" s="628">
        <v>10.006273749691999</v>
      </c>
      <c r="E32" s="629">
        <v>1.0555904047010001</v>
      </c>
      <c r="F32" s="627">
        <v>364.76608864449503</v>
      </c>
      <c r="G32" s="628">
        <v>182.383044322247</v>
      </c>
      <c r="H32" s="630">
        <v>22.587</v>
      </c>
      <c r="I32" s="627">
        <v>130.83416</v>
      </c>
      <c r="J32" s="628">
        <v>-51.548884322246998</v>
      </c>
      <c r="K32" s="631">
        <v>0.35867961434099999</v>
      </c>
    </row>
    <row r="33" spans="1:11" ht="14.4" customHeight="1" thickBot="1" x14ac:dyDescent="0.35">
      <c r="A33" s="649" t="s">
        <v>319</v>
      </c>
      <c r="B33" s="627">
        <v>200.00001805589699</v>
      </c>
      <c r="C33" s="627">
        <v>160.16390999999999</v>
      </c>
      <c r="D33" s="628">
        <v>-39.836108055895998</v>
      </c>
      <c r="E33" s="629">
        <v>0.80081947770200002</v>
      </c>
      <c r="F33" s="627">
        <v>209.93351122917301</v>
      </c>
      <c r="G33" s="628">
        <v>104.966755614587</v>
      </c>
      <c r="H33" s="630">
        <v>33.4542</v>
      </c>
      <c r="I33" s="627">
        <v>102.1789</v>
      </c>
      <c r="J33" s="628">
        <v>-2.7878556145859998</v>
      </c>
      <c r="K33" s="631">
        <v>0.486720292542</v>
      </c>
    </row>
    <row r="34" spans="1:11" ht="14.4" customHeight="1" thickBot="1" x14ac:dyDescent="0.35">
      <c r="A34" s="649" t="s">
        <v>320</v>
      </c>
      <c r="B34" s="627">
        <v>157.00001417387901</v>
      </c>
      <c r="C34" s="627">
        <v>190.39203000000001</v>
      </c>
      <c r="D34" s="628">
        <v>33.392015826121003</v>
      </c>
      <c r="E34" s="629">
        <v>1.212687979691</v>
      </c>
      <c r="F34" s="627">
        <v>275.04118619689899</v>
      </c>
      <c r="G34" s="628">
        <v>137.52059309844901</v>
      </c>
      <c r="H34" s="630">
        <v>31.070589999999999</v>
      </c>
      <c r="I34" s="627">
        <v>122.88469000000001</v>
      </c>
      <c r="J34" s="628">
        <v>-14.635903098449001</v>
      </c>
      <c r="K34" s="631">
        <v>0.44678650386500002</v>
      </c>
    </row>
    <row r="35" spans="1:11" ht="14.4" customHeight="1" thickBot="1" x14ac:dyDescent="0.35">
      <c r="A35" s="649" t="s">
        <v>321</v>
      </c>
      <c r="B35" s="627">
        <v>4.0000003611170003</v>
      </c>
      <c r="C35" s="627">
        <v>3.4190299999999998</v>
      </c>
      <c r="D35" s="628">
        <v>-0.58097036111699996</v>
      </c>
      <c r="E35" s="629">
        <v>0.85475742283199996</v>
      </c>
      <c r="F35" s="627">
        <v>8.6941220324510002</v>
      </c>
      <c r="G35" s="628">
        <v>4.3470610162250001</v>
      </c>
      <c r="H35" s="630">
        <v>0</v>
      </c>
      <c r="I35" s="627">
        <v>0.37240000000000001</v>
      </c>
      <c r="J35" s="628">
        <v>-3.9746610162249998</v>
      </c>
      <c r="K35" s="631">
        <v>4.2833537257000003E-2</v>
      </c>
    </row>
    <row r="36" spans="1:11" ht="14.4" customHeight="1" thickBot="1" x14ac:dyDescent="0.35">
      <c r="A36" s="648" t="s">
        <v>322</v>
      </c>
      <c r="B36" s="632">
        <v>65.408991560133998</v>
      </c>
      <c r="C36" s="632">
        <v>71.293369999999996</v>
      </c>
      <c r="D36" s="633">
        <v>5.8843784398650003</v>
      </c>
      <c r="E36" s="639">
        <v>1.0899628369050001</v>
      </c>
      <c r="F36" s="632">
        <v>66.321911945281997</v>
      </c>
      <c r="G36" s="633">
        <v>33.160955972640998</v>
      </c>
      <c r="H36" s="635">
        <v>6.9955400000000001</v>
      </c>
      <c r="I36" s="632">
        <v>40.2117</v>
      </c>
      <c r="J36" s="633">
        <v>7.0507440273580002</v>
      </c>
      <c r="K36" s="640">
        <v>0.60631092832699995</v>
      </c>
    </row>
    <row r="37" spans="1:11" ht="14.4" customHeight="1" thickBot="1" x14ac:dyDescent="0.35">
      <c r="A37" s="649" t="s">
        <v>323</v>
      </c>
      <c r="B37" s="627">
        <v>48.967497144989999</v>
      </c>
      <c r="C37" s="627">
        <v>46.453159999999997</v>
      </c>
      <c r="D37" s="628">
        <v>-2.5143371449899998</v>
      </c>
      <c r="E37" s="629">
        <v>0.94865293732300005</v>
      </c>
      <c r="F37" s="627">
        <v>59.227171949540001</v>
      </c>
      <c r="G37" s="628">
        <v>29.61358597477</v>
      </c>
      <c r="H37" s="630">
        <v>3.8221099999999999</v>
      </c>
      <c r="I37" s="627">
        <v>25.35615</v>
      </c>
      <c r="J37" s="628">
        <v>-4.2574359747699999</v>
      </c>
      <c r="K37" s="631">
        <v>0.42811684511199999</v>
      </c>
    </row>
    <row r="38" spans="1:11" ht="14.4" customHeight="1" thickBot="1" x14ac:dyDescent="0.35">
      <c r="A38" s="649" t="s">
        <v>324</v>
      </c>
      <c r="B38" s="627">
        <v>16.441494415143001</v>
      </c>
      <c r="C38" s="627">
        <v>24.840209999999999</v>
      </c>
      <c r="D38" s="628">
        <v>8.3987155848559993</v>
      </c>
      <c r="E38" s="629">
        <v>1.5108243431399999</v>
      </c>
      <c r="F38" s="627">
        <v>7.0947399957409996</v>
      </c>
      <c r="G38" s="628">
        <v>3.5473699978700002</v>
      </c>
      <c r="H38" s="630">
        <v>3.1734300000000002</v>
      </c>
      <c r="I38" s="627">
        <v>14.855549999999999</v>
      </c>
      <c r="J38" s="628">
        <v>11.308180002128999</v>
      </c>
      <c r="K38" s="631">
        <v>2.093882229499</v>
      </c>
    </row>
    <row r="39" spans="1:11" ht="14.4" customHeight="1" thickBot="1" x14ac:dyDescent="0.35">
      <c r="A39" s="648" t="s">
        <v>325</v>
      </c>
      <c r="B39" s="632">
        <v>378.481903829185</v>
      </c>
      <c r="C39" s="632">
        <v>403.56081999999998</v>
      </c>
      <c r="D39" s="633">
        <v>25.078916170814999</v>
      </c>
      <c r="E39" s="639">
        <v>1.066261863294</v>
      </c>
      <c r="F39" s="632">
        <v>482.40369210129899</v>
      </c>
      <c r="G39" s="633">
        <v>241.20184605064901</v>
      </c>
      <c r="H39" s="635">
        <v>44.654209999999999</v>
      </c>
      <c r="I39" s="632">
        <v>245.53335999999999</v>
      </c>
      <c r="J39" s="633">
        <v>4.3315139493499997</v>
      </c>
      <c r="K39" s="640">
        <v>0.50897902321199995</v>
      </c>
    </row>
    <row r="40" spans="1:11" ht="14.4" customHeight="1" thickBot="1" x14ac:dyDescent="0.35">
      <c r="A40" s="649" t="s">
        <v>326</v>
      </c>
      <c r="B40" s="627">
        <v>19.697506190725001</v>
      </c>
      <c r="C40" s="627">
        <v>-1.4210854715202001E-14</v>
      </c>
      <c r="D40" s="628">
        <v>-19.697506190725001</v>
      </c>
      <c r="E40" s="629">
        <v>-7.2145451193681099E-16</v>
      </c>
      <c r="F40" s="627">
        <v>0</v>
      </c>
      <c r="G40" s="628">
        <v>0</v>
      </c>
      <c r="H40" s="630">
        <v>0</v>
      </c>
      <c r="I40" s="627">
        <v>3.1663000000000001</v>
      </c>
      <c r="J40" s="628">
        <v>3.1663000000000001</v>
      </c>
      <c r="K40" s="638" t="s">
        <v>289</v>
      </c>
    </row>
    <row r="41" spans="1:11" ht="14.4" customHeight="1" thickBot="1" x14ac:dyDescent="0.35">
      <c r="A41" s="649" t="s">
        <v>327</v>
      </c>
      <c r="B41" s="627">
        <v>8.3343548604290003</v>
      </c>
      <c r="C41" s="627">
        <v>16.172930000000001</v>
      </c>
      <c r="D41" s="628">
        <v>7.8385751395699996</v>
      </c>
      <c r="E41" s="629">
        <v>1.940513725517</v>
      </c>
      <c r="F41" s="627">
        <v>118</v>
      </c>
      <c r="G41" s="628">
        <v>59</v>
      </c>
      <c r="H41" s="630">
        <v>9.3881399999999999</v>
      </c>
      <c r="I41" s="627">
        <v>24.260059999999999</v>
      </c>
      <c r="J41" s="628">
        <v>-34.739939999999997</v>
      </c>
      <c r="K41" s="631">
        <v>0.205593728813</v>
      </c>
    </row>
    <row r="42" spans="1:11" ht="14.4" customHeight="1" thickBot="1" x14ac:dyDescent="0.35">
      <c r="A42" s="649" t="s">
        <v>328</v>
      </c>
      <c r="B42" s="627">
        <v>191.80018709975499</v>
      </c>
      <c r="C42" s="627">
        <v>214.85581999999999</v>
      </c>
      <c r="D42" s="628">
        <v>23.055632900245001</v>
      </c>
      <c r="E42" s="629">
        <v>1.120206519341</v>
      </c>
      <c r="F42" s="627">
        <v>199.04881379336899</v>
      </c>
      <c r="G42" s="628">
        <v>99.524406896683999</v>
      </c>
      <c r="H42" s="630">
        <v>20.29665</v>
      </c>
      <c r="I42" s="627">
        <v>123.3009</v>
      </c>
      <c r="J42" s="628">
        <v>23.776493103315001</v>
      </c>
      <c r="K42" s="631">
        <v>0.61945056416099997</v>
      </c>
    </row>
    <row r="43" spans="1:11" ht="14.4" customHeight="1" thickBot="1" x14ac:dyDescent="0.35">
      <c r="A43" s="649" t="s">
        <v>329</v>
      </c>
      <c r="B43" s="627">
        <v>55.601336356822998</v>
      </c>
      <c r="C43" s="627">
        <v>48.626390000000001</v>
      </c>
      <c r="D43" s="628">
        <v>-6.9749463568229997</v>
      </c>
      <c r="E43" s="629">
        <v>0.874554339628</v>
      </c>
      <c r="F43" s="627">
        <v>50</v>
      </c>
      <c r="G43" s="628">
        <v>25</v>
      </c>
      <c r="H43" s="630">
        <v>5.2449500000000002</v>
      </c>
      <c r="I43" s="627">
        <v>26.396609999999999</v>
      </c>
      <c r="J43" s="628">
        <v>1.3966099999999999</v>
      </c>
      <c r="K43" s="631">
        <v>0.52793219999999996</v>
      </c>
    </row>
    <row r="44" spans="1:11" ht="14.4" customHeight="1" thickBot="1" x14ac:dyDescent="0.35">
      <c r="A44" s="649" t="s">
        <v>330</v>
      </c>
      <c r="B44" s="627">
        <v>7.2183597543599998</v>
      </c>
      <c r="C44" s="627">
        <v>11.74446</v>
      </c>
      <c r="D44" s="628">
        <v>4.5261002456390003</v>
      </c>
      <c r="E44" s="629">
        <v>1.6270261388539999</v>
      </c>
      <c r="F44" s="627">
        <v>12.480089223275</v>
      </c>
      <c r="G44" s="628">
        <v>6.2400446116369999</v>
      </c>
      <c r="H44" s="630">
        <v>1.0999999999999999E-2</v>
      </c>
      <c r="I44" s="627">
        <v>0.99255000000000004</v>
      </c>
      <c r="J44" s="628">
        <v>-5.2474946116370003</v>
      </c>
      <c r="K44" s="631">
        <v>7.9530681411000004E-2</v>
      </c>
    </row>
    <row r="45" spans="1:11" ht="14.4" customHeight="1" thickBot="1" x14ac:dyDescent="0.35">
      <c r="A45" s="649" t="s">
        <v>331</v>
      </c>
      <c r="B45" s="627">
        <v>0</v>
      </c>
      <c r="C45" s="627">
        <v>0.27224999999999999</v>
      </c>
      <c r="D45" s="628">
        <v>0.27224999999999999</v>
      </c>
      <c r="E45" s="637" t="s">
        <v>301</v>
      </c>
      <c r="F45" s="627">
        <v>0</v>
      </c>
      <c r="G45" s="628">
        <v>0</v>
      </c>
      <c r="H45" s="630">
        <v>0</v>
      </c>
      <c r="I45" s="627">
        <v>8.5646199999999997</v>
      </c>
      <c r="J45" s="628">
        <v>8.5646199999999997</v>
      </c>
      <c r="K45" s="638" t="s">
        <v>289</v>
      </c>
    </row>
    <row r="46" spans="1:11" ht="14.4" customHeight="1" thickBot="1" x14ac:dyDescent="0.35">
      <c r="A46" s="649" t="s">
        <v>332</v>
      </c>
      <c r="B46" s="627">
        <v>19.466272473231999</v>
      </c>
      <c r="C46" s="627">
        <v>8.3102400000000003</v>
      </c>
      <c r="D46" s="628">
        <v>-11.156032473232001</v>
      </c>
      <c r="E46" s="629">
        <v>0.42690453508300003</v>
      </c>
      <c r="F46" s="627">
        <v>11</v>
      </c>
      <c r="G46" s="628">
        <v>5.5</v>
      </c>
      <c r="H46" s="630">
        <v>0</v>
      </c>
      <c r="I46" s="627">
        <v>0</v>
      </c>
      <c r="J46" s="628">
        <v>-5.5</v>
      </c>
      <c r="K46" s="631">
        <v>0</v>
      </c>
    </row>
    <row r="47" spans="1:11" ht="14.4" customHeight="1" thickBot="1" x14ac:dyDescent="0.35">
      <c r="A47" s="649" t="s">
        <v>333</v>
      </c>
      <c r="B47" s="627">
        <v>13.300507797807001</v>
      </c>
      <c r="C47" s="627">
        <v>21.898250000000001</v>
      </c>
      <c r="D47" s="628">
        <v>8.5977422021920002</v>
      </c>
      <c r="E47" s="629">
        <v>1.6464221015380001</v>
      </c>
      <c r="F47" s="627">
        <v>16.874789084652999</v>
      </c>
      <c r="G47" s="628">
        <v>8.4373945423260004</v>
      </c>
      <c r="H47" s="630">
        <v>0.81354000000000004</v>
      </c>
      <c r="I47" s="627">
        <v>16.830570000000002</v>
      </c>
      <c r="J47" s="628">
        <v>8.3931754576729993</v>
      </c>
      <c r="K47" s="631">
        <v>0.997379577046</v>
      </c>
    </row>
    <row r="48" spans="1:11" ht="14.4" customHeight="1" thickBot="1" x14ac:dyDescent="0.35">
      <c r="A48" s="649" t="s">
        <v>334</v>
      </c>
      <c r="B48" s="627">
        <v>0</v>
      </c>
      <c r="C48" s="627">
        <v>2.9039999999999999</v>
      </c>
      <c r="D48" s="628">
        <v>2.9039999999999999</v>
      </c>
      <c r="E48" s="637" t="s">
        <v>301</v>
      </c>
      <c r="F48" s="627">
        <v>0</v>
      </c>
      <c r="G48" s="628">
        <v>0</v>
      </c>
      <c r="H48" s="630">
        <v>1.452</v>
      </c>
      <c r="I48" s="627">
        <v>1.452</v>
      </c>
      <c r="J48" s="628">
        <v>1.452</v>
      </c>
      <c r="K48" s="638" t="s">
        <v>289</v>
      </c>
    </row>
    <row r="49" spans="1:11" ht="14.4" customHeight="1" thickBot="1" x14ac:dyDescent="0.35">
      <c r="A49" s="649" t="s">
        <v>335</v>
      </c>
      <c r="B49" s="627">
        <v>0</v>
      </c>
      <c r="C49" s="627">
        <v>2.67</v>
      </c>
      <c r="D49" s="628">
        <v>2.67</v>
      </c>
      <c r="E49" s="637" t="s">
        <v>301</v>
      </c>
      <c r="F49" s="627">
        <v>0</v>
      </c>
      <c r="G49" s="628">
        <v>0</v>
      </c>
      <c r="H49" s="630">
        <v>0</v>
      </c>
      <c r="I49" s="627">
        <v>0</v>
      </c>
      <c r="J49" s="628">
        <v>0</v>
      </c>
      <c r="K49" s="638" t="s">
        <v>289</v>
      </c>
    </row>
    <row r="50" spans="1:11" ht="14.4" customHeight="1" thickBot="1" x14ac:dyDescent="0.35">
      <c r="A50" s="649" t="s">
        <v>336</v>
      </c>
      <c r="B50" s="627">
        <v>63.063379296050996</v>
      </c>
      <c r="C50" s="627">
        <v>76.106480000000005</v>
      </c>
      <c r="D50" s="628">
        <v>13.043100703947999</v>
      </c>
      <c r="E50" s="629">
        <v>1.2068252740259999</v>
      </c>
      <c r="F50" s="627">
        <v>75</v>
      </c>
      <c r="G50" s="628">
        <v>37.5</v>
      </c>
      <c r="H50" s="630">
        <v>7.4479300000000004</v>
      </c>
      <c r="I50" s="627">
        <v>40.569749999999999</v>
      </c>
      <c r="J50" s="628">
        <v>3.06975</v>
      </c>
      <c r="K50" s="631">
        <v>0.54093000000000002</v>
      </c>
    </row>
    <row r="51" spans="1:11" ht="14.4" customHeight="1" thickBot="1" x14ac:dyDescent="0.35">
      <c r="A51" s="648" t="s">
        <v>337</v>
      </c>
      <c r="B51" s="632">
        <v>111.10826860548801</v>
      </c>
      <c r="C51" s="632">
        <v>234.63054</v>
      </c>
      <c r="D51" s="633">
        <v>123.522271394512</v>
      </c>
      <c r="E51" s="639">
        <v>2.1117288834110002</v>
      </c>
      <c r="F51" s="632">
        <v>260.93503331185599</v>
      </c>
      <c r="G51" s="633">
        <v>130.46751665592799</v>
      </c>
      <c r="H51" s="635">
        <v>4.1869999999999997E-2</v>
      </c>
      <c r="I51" s="632">
        <v>41.069020000000002</v>
      </c>
      <c r="J51" s="633">
        <v>-89.398496655928</v>
      </c>
      <c r="K51" s="640">
        <v>0.15739174413900001</v>
      </c>
    </row>
    <row r="52" spans="1:11" ht="14.4" customHeight="1" thickBot="1" x14ac:dyDescent="0.35">
      <c r="A52" s="649" t="s">
        <v>338</v>
      </c>
      <c r="B52" s="627">
        <v>0</v>
      </c>
      <c r="C52" s="627">
        <v>18.774000000000001</v>
      </c>
      <c r="D52" s="628">
        <v>18.774000000000001</v>
      </c>
      <c r="E52" s="637" t="s">
        <v>301</v>
      </c>
      <c r="F52" s="627">
        <v>24.480147409762001</v>
      </c>
      <c r="G52" s="628">
        <v>12.240073704881</v>
      </c>
      <c r="H52" s="630">
        <v>0</v>
      </c>
      <c r="I52" s="627">
        <v>0</v>
      </c>
      <c r="J52" s="628">
        <v>-12.240073704881</v>
      </c>
      <c r="K52" s="631">
        <v>0</v>
      </c>
    </row>
    <row r="53" spans="1:11" ht="14.4" customHeight="1" thickBot="1" x14ac:dyDescent="0.35">
      <c r="A53" s="649" t="s">
        <v>339</v>
      </c>
      <c r="B53" s="627">
        <v>105.258731244354</v>
      </c>
      <c r="C53" s="627">
        <v>207.90558999999999</v>
      </c>
      <c r="D53" s="628">
        <v>102.64685875564599</v>
      </c>
      <c r="E53" s="629">
        <v>1.9751861678560001</v>
      </c>
      <c r="F53" s="627">
        <v>228.02309124639601</v>
      </c>
      <c r="G53" s="628">
        <v>114.011545623198</v>
      </c>
      <c r="H53" s="630">
        <v>0</v>
      </c>
      <c r="I53" s="627">
        <v>40.605849999999997</v>
      </c>
      <c r="J53" s="628">
        <v>-73.405695623197005</v>
      </c>
      <c r="K53" s="631">
        <v>0.178077798077</v>
      </c>
    </row>
    <row r="54" spans="1:11" ht="14.4" customHeight="1" thickBot="1" x14ac:dyDescent="0.35">
      <c r="A54" s="649" t="s">
        <v>340</v>
      </c>
      <c r="B54" s="627">
        <v>5.8495373611329997</v>
      </c>
      <c r="C54" s="627">
        <v>7.9509499999999997</v>
      </c>
      <c r="D54" s="628">
        <v>2.1014126388659999</v>
      </c>
      <c r="E54" s="629">
        <v>1.359244246019</v>
      </c>
      <c r="F54" s="627">
        <v>8.4317946556980008</v>
      </c>
      <c r="G54" s="628">
        <v>4.2158973278490004</v>
      </c>
      <c r="H54" s="630">
        <v>4.1869999999999997E-2</v>
      </c>
      <c r="I54" s="627">
        <v>0.46317000000000003</v>
      </c>
      <c r="J54" s="628">
        <v>-3.7527273278490001</v>
      </c>
      <c r="K54" s="631">
        <v>5.4931366204999998E-2</v>
      </c>
    </row>
    <row r="55" spans="1:11" ht="14.4" customHeight="1" thickBot="1" x14ac:dyDescent="0.35">
      <c r="A55" s="648" t="s">
        <v>341</v>
      </c>
      <c r="B55" s="632">
        <v>142.120187634671</v>
      </c>
      <c r="C55" s="632">
        <v>219.26244</v>
      </c>
      <c r="D55" s="633">
        <v>77.142252365329</v>
      </c>
      <c r="E55" s="639">
        <v>1.542795880368</v>
      </c>
      <c r="F55" s="632">
        <v>278.55983442335997</v>
      </c>
      <c r="G55" s="633">
        <v>139.27991721167999</v>
      </c>
      <c r="H55" s="635">
        <v>17.168900000000001</v>
      </c>
      <c r="I55" s="632">
        <v>97.212280000000007</v>
      </c>
      <c r="J55" s="633">
        <v>-42.067637211680001</v>
      </c>
      <c r="K55" s="640">
        <v>0.34898168359800003</v>
      </c>
    </row>
    <row r="56" spans="1:11" ht="14.4" customHeight="1" thickBot="1" x14ac:dyDescent="0.35">
      <c r="A56" s="649" t="s">
        <v>342</v>
      </c>
      <c r="B56" s="627">
        <v>0</v>
      </c>
      <c r="C56" s="627">
        <v>0</v>
      </c>
      <c r="D56" s="628">
        <v>0</v>
      </c>
      <c r="E56" s="629">
        <v>1</v>
      </c>
      <c r="F56" s="627">
        <v>20</v>
      </c>
      <c r="G56" s="628">
        <v>10</v>
      </c>
      <c r="H56" s="630">
        <v>5.03078</v>
      </c>
      <c r="I56" s="627">
        <v>11.91464</v>
      </c>
      <c r="J56" s="628">
        <v>1.9146399999999999</v>
      </c>
      <c r="K56" s="631">
        <v>0.59573200000000004</v>
      </c>
    </row>
    <row r="57" spans="1:11" ht="14.4" customHeight="1" thickBot="1" x14ac:dyDescent="0.35">
      <c r="A57" s="649" t="s">
        <v>343</v>
      </c>
      <c r="B57" s="627">
        <v>0</v>
      </c>
      <c r="C57" s="627">
        <v>8.9540699999999998</v>
      </c>
      <c r="D57" s="628">
        <v>8.9540699999999998</v>
      </c>
      <c r="E57" s="637" t="s">
        <v>289</v>
      </c>
      <c r="F57" s="627">
        <v>10</v>
      </c>
      <c r="G57" s="628">
        <v>5</v>
      </c>
      <c r="H57" s="630">
        <v>0</v>
      </c>
      <c r="I57" s="627">
        <v>1.7641800000000001</v>
      </c>
      <c r="J57" s="628">
        <v>-3.2358199999999999</v>
      </c>
      <c r="K57" s="631">
        <v>0.17641799999999999</v>
      </c>
    </row>
    <row r="58" spans="1:11" ht="14.4" customHeight="1" thickBot="1" x14ac:dyDescent="0.35">
      <c r="A58" s="649" t="s">
        <v>344</v>
      </c>
      <c r="B58" s="627">
        <v>4.540210264673</v>
      </c>
      <c r="C58" s="627">
        <v>6.1095300000000003</v>
      </c>
      <c r="D58" s="628">
        <v>1.569319735326</v>
      </c>
      <c r="E58" s="629">
        <v>1.3456491316129999</v>
      </c>
      <c r="F58" s="627">
        <v>0</v>
      </c>
      <c r="G58" s="628">
        <v>0</v>
      </c>
      <c r="H58" s="630">
        <v>1.6552800000000001</v>
      </c>
      <c r="I58" s="627">
        <v>2.6898300000000002</v>
      </c>
      <c r="J58" s="628">
        <v>2.6898300000000002</v>
      </c>
      <c r="K58" s="638" t="s">
        <v>289</v>
      </c>
    </row>
    <row r="59" spans="1:11" ht="14.4" customHeight="1" thickBot="1" x14ac:dyDescent="0.35">
      <c r="A59" s="649" t="s">
        <v>345</v>
      </c>
      <c r="B59" s="627">
        <v>0</v>
      </c>
      <c r="C59" s="627">
        <v>10.1477</v>
      </c>
      <c r="D59" s="628">
        <v>10.1477</v>
      </c>
      <c r="E59" s="637" t="s">
        <v>289</v>
      </c>
      <c r="F59" s="627">
        <v>0</v>
      </c>
      <c r="G59" s="628">
        <v>0</v>
      </c>
      <c r="H59" s="630">
        <v>0</v>
      </c>
      <c r="I59" s="627">
        <v>0</v>
      </c>
      <c r="J59" s="628">
        <v>0</v>
      </c>
      <c r="K59" s="638" t="s">
        <v>289</v>
      </c>
    </row>
    <row r="60" spans="1:11" ht="14.4" customHeight="1" thickBot="1" x14ac:dyDescent="0.35">
      <c r="A60" s="649" t="s">
        <v>346</v>
      </c>
      <c r="B60" s="627">
        <v>18.787730906566001</v>
      </c>
      <c r="C60" s="627">
        <v>23.82281</v>
      </c>
      <c r="D60" s="628">
        <v>5.0350790934329996</v>
      </c>
      <c r="E60" s="629">
        <v>1.2679982547369999</v>
      </c>
      <c r="F60" s="627">
        <v>73.734175836877</v>
      </c>
      <c r="G60" s="628">
        <v>36.867087918438003</v>
      </c>
      <c r="H60" s="630">
        <v>0.94574000000000003</v>
      </c>
      <c r="I60" s="627">
        <v>18.460699999999999</v>
      </c>
      <c r="J60" s="628">
        <v>-18.406387918438</v>
      </c>
      <c r="K60" s="631">
        <v>0.25036829652499998</v>
      </c>
    </row>
    <row r="61" spans="1:11" ht="14.4" customHeight="1" thickBot="1" x14ac:dyDescent="0.35">
      <c r="A61" s="649" t="s">
        <v>347</v>
      </c>
      <c r="B61" s="627">
        <v>6.0700633676519997</v>
      </c>
      <c r="C61" s="627">
        <v>10.051410000000001</v>
      </c>
      <c r="D61" s="628">
        <v>3.9813466323469999</v>
      </c>
      <c r="E61" s="629">
        <v>1.6558986935060001</v>
      </c>
      <c r="F61" s="627">
        <v>59.825658586482</v>
      </c>
      <c r="G61" s="628">
        <v>29.912829293241</v>
      </c>
      <c r="H61" s="630">
        <v>0</v>
      </c>
      <c r="I61" s="627">
        <v>2.2559999999999998</v>
      </c>
      <c r="J61" s="628">
        <v>-27.656829293241</v>
      </c>
      <c r="K61" s="631">
        <v>3.7709572334999997E-2</v>
      </c>
    </row>
    <row r="62" spans="1:11" ht="14.4" customHeight="1" thickBot="1" x14ac:dyDescent="0.35">
      <c r="A62" s="649" t="s">
        <v>348</v>
      </c>
      <c r="B62" s="627">
        <v>112.722183095779</v>
      </c>
      <c r="C62" s="627">
        <v>160.17692</v>
      </c>
      <c r="D62" s="628">
        <v>47.454736904221001</v>
      </c>
      <c r="E62" s="629">
        <v>1.420988447889</v>
      </c>
      <c r="F62" s="627">
        <v>115</v>
      </c>
      <c r="G62" s="628">
        <v>57.5</v>
      </c>
      <c r="H62" s="630">
        <v>9.5371000000000006</v>
      </c>
      <c r="I62" s="627">
        <v>60.126930000000002</v>
      </c>
      <c r="J62" s="628">
        <v>2.6269300000000002</v>
      </c>
      <c r="K62" s="631">
        <v>0.52284286956500003</v>
      </c>
    </row>
    <row r="63" spans="1:11" ht="14.4" customHeight="1" thickBot="1" x14ac:dyDescent="0.35">
      <c r="A63" s="647" t="s">
        <v>29</v>
      </c>
      <c r="B63" s="627">
        <v>304.68564280130101</v>
      </c>
      <c r="C63" s="627">
        <v>299.00200000000001</v>
      </c>
      <c r="D63" s="628">
        <v>-5.6836428013000004</v>
      </c>
      <c r="E63" s="629">
        <v>0.981345879152</v>
      </c>
      <c r="F63" s="627">
        <v>302.25195330528999</v>
      </c>
      <c r="G63" s="628">
        <v>151.12597665264499</v>
      </c>
      <c r="H63" s="630">
        <v>16.748000000000001</v>
      </c>
      <c r="I63" s="627">
        <v>159.976</v>
      </c>
      <c r="J63" s="628">
        <v>8.8500233473550001</v>
      </c>
      <c r="K63" s="631">
        <v>0.52928028504199998</v>
      </c>
    </row>
    <row r="64" spans="1:11" ht="14.4" customHeight="1" thickBot="1" x14ac:dyDescent="0.35">
      <c r="A64" s="648" t="s">
        <v>349</v>
      </c>
      <c r="B64" s="632">
        <v>304.68564280130101</v>
      </c>
      <c r="C64" s="632">
        <v>299.00200000000001</v>
      </c>
      <c r="D64" s="633">
        <v>-5.6836428013000004</v>
      </c>
      <c r="E64" s="639">
        <v>0.981345879152</v>
      </c>
      <c r="F64" s="632">
        <v>302.25195330528999</v>
      </c>
      <c r="G64" s="633">
        <v>151.12597665264499</v>
      </c>
      <c r="H64" s="635">
        <v>16.748000000000001</v>
      </c>
      <c r="I64" s="632">
        <v>159.976</v>
      </c>
      <c r="J64" s="633">
        <v>8.8500233473550001</v>
      </c>
      <c r="K64" s="640">
        <v>0.52928028504199998</v>
      </c>
    </row>
    <row r="65" spans="1:11" ht="14.4" customHeight="1" thickBot="1" x14ac:dyDescent="0.35">
      <c r="A65" s="649" t="s">
        <v>350</v>
      </c>
      <c r="B65" s="627">
        <v>104.655162717577</v>
      </c>
      <c r="C65" s="627">
        <v>95.093999999999994</v>
      </c>
      <c r="D65" s="628">
        <v>-9.561162717577</v>
      </c>
      <c r="E65" s="629">
        <v>0.90864127034599995</v>
      </c>
      <c r="F65" s="627">
        <v>97.999999999999005</v>
      </c>
      <c r="G65" s="628">
        <v>48.999999999998998</v>
      </c>
      <c r="H65" s="630">
        <v>8.8829999999999991</v>
      </c>
      <c r="I65" s="627">
        <v>49.405000000000001</v>
      </c>
      <c r="J65" s="628">
        <v>0.40500000000000003</v>
      </c>
      <c r="K65" s="631">
        <v>0.50413265306099997</v>
      </c>
    </row>
    <row r="66" spans="1:11" ht="14.4" customHeight="1" thickBot="1" x14ac:dyDescent="0.35">
      <c r="A66" s="649" t="s">
        <v>351</v>
      </c>
      <c r="B66" s="627">
        <v>25.940625280494999</v>
      </c>
      <c r="C66" s="627">
        <v>27.087</v>
      </c>
      <c r="D66" s="628">
        <v>1.1463747195039999</v>
      </c>
      <c r="E66" s="629">
        <v>1.0441922547010001</v>
      </c>
      <c r="F66" s="627">
        <v>29.251953305290002</v>
      </c>
      <c r="G66" s="628">
        <v>14.625976652645001</v>
      </c>
      <c r="H66" s="630">
        <v>2.206</v>
      </c>
      <c r="I66" s="627">
        <v>13.9</v>
      </c>
      <c r="J66" s="628">
        <v>-0.725976652645</v>
      </c>
      <c r="K66" s="631">
        <v>0.47518194272100001</v>
      </c>
    </row>
    <row r="67" spans="1:11" ht="14.4" customHeight="1" thickBot="1" x14ac:dyDescent="0.35">
      <c r="A67" s="649" t="s">
        <v>352</v>
      </c>
      <c r="B67" s="627">
        <v>174.08985480322801</v>
      </c>
      <c r="C67" s="627">
        <v>176.821</v>
      </c>
      <c r="D67" s="628">
        <v>2.7311451967720002</v>
      </c>
      <c r="E67" s="629">
        <v>1.0156881353010001</v>
      </c>
      <c r="F67" s="627">
        <v>174.99999999999901</v>
      </c>
      <c r="G67" s="628">
        <v>87.499999999999005</v>
      </c>
      <c r="H67" s="630">
        <v>5.6589999999999998</v>
      </c>
      <c r="I67" s="627">
        <v>96.671000000000006</v>
      </c>
      <c r="J67" s="628">
        <v>9.1709999999999994</v>
      </c>
      <c r="K67" s="631">
        <v>0.55240571428499996</v>
      </c>
    </row>
    <row r="68" spans="1:11" ht="14.4" customHeight="1" thickBot="1" x14ac:dyDescent="0.35">
      <c r="A68" s="650" t="s">
        <v>353</v>
      </c>
      <c r="B68" s="632">
        <v>1546.9264129926</v>
      </c>
      <c r="C68" s="632">
        <v>1838.4109599999999</v>
      </c>
      <c r="D68" s="633">
        <v>291.48454700740399</v>
      </c>
      <c r="E68" s="639">
        <v>1.188428191903</v>
      </c>
      <c r="F68" s="632">
        <v>1726.4511823231501</v>
      </c>
      <c r="G68" s="633">
        <v>863.22559116157697</v>
      </c>
      <c r="H68" s="635">
        <v>201.69042999999999</v>
      </c>
      <c r="I68" s="632">
        <v>999.89228000000003</v>
      </c>
      <c r="J68" s="633">
        <v>136.66668883842399</v>
      </c>
      <c r="K68" s="640">
        <v>0.57916047105000001</v>
      </c>
    </row>
    <row r="69" spans="1:11" ht="14.4" customHeight="1" thickBot="1" x14ac:dyDescent="0.35">
      <c r="A69" s="647" t="s">
        <v>32</v>
      </c>
      <c r="B69" s="627">
        <v>578.10704015763395</v>
      </c>
      <c r="C69" s="627">
        <v>628.76692000000003</v>
      </c>
      <c r="D69" s="628">
        <v>50.659879842366003</v>
      </c>
      <c r="E69" s="629">
        <v>1.087630622572</v>
      </c>
      <c r="F69" s="627">
        <v>746.73813139167498</v>
      </c>
      <c r="G69" s="628">
        <v>373.369065695838</v>
      </c>
      <c r="H69" s="630">
        <v>143.4879</v>
      </c>
      <c r="I69" s="627">
        <v>537.74315000000001</v>
      </c>
      <c r="J69" s="628">
        <v>164.37408430416201</v>
      </c>
      <c r="K69" s="631">
        <v>0.72012279458299999</v>
      </c>
    </row>
    <row r="70" spans="1:11" ht="14.4" customHeight="1" thickBot="1" x14ac:dyDescent="0.35">
      <c r="A70" s="651" t="s">
        <v>354</v>
      </c>
      <c r="B70" s="627">
        <v>578.10704015763395</v>
      </c>
      <c r="C70" s="627">
        <v>628.76692000000003</v>
      </c>
      <c r="D70" s="628">
        <v>50.659879842366003</v>
      </c>
      <c r="E70" s="629">
        <v>1.087630622572</v>
      </c>
      <c r="F70" s="627">
        <v>746.73813139167498</v>
      </c>
      <c r="G70" s="628">
        <v>373.369065695838</v>
      </c>
      <c r="H70" s="630">
        <v>143.4879</v>
      </c>
      <c r="I70" s="627">
        <v>537.74315000000001</v>
      </c>
      <c r="J70" s="628">
        <v>164.37408430416201</v>
      </c>
      <c r="K70" s="631">
        <v>0.72012279458299999</v>
      </c>
    </row>
    <row r="71" spans="1:11" ht="14.4" customHeight="1" thickBot="1" x14ac:dyDescent="0.35">
      <c r="A71" s="649" t="s">
        <v>355</v>
      </c>
      <c r="B71" s="627">
        <v>524.76082482663401</v>
      </c>
      <c r="C71" s="627">
        <v>497.05614000000003</v>
      </c>
      <c r="D71" s="628">
        <v>-27.704684826634001</v>
      </c>
      <c r="E71" s="629">
        <v>0.94720511990199996</v>
      </c>
      <c r="F71" s="627">
        <v>612.73151418735301</v>
      </c>
      <c r="G71" s="628">
        <v>306.36575709367702</v>
      </c>
      <c r="H71" s="630">
        <v>101.34025</v>
      </c>
      <c r="I71" s="627">
        <v>440.10915</v>
      </c>
      <c r="J71" s="628">
        <v>133.743392906324</v>
      </c>
      <c r="K71" s="631">
        <v>0.71827405610700001</v>
      </c>
    </row>
    <row r="72" spans="1:11" ht="14.4" customHeight="1" thickBot="1" x14ac:dyDescent="0.35">
      <c r="A72" s="649" t="s">
        <v>356</v>
      </c>
      <c r="B72" s="627">
        <v>0</v>
      </c>
      <c r="C72" s="627">
        <v>6.1201299999999996</v>
      </c>
      <c r="D72" s="628">
        <v>6.1201299999999996</v>
      </c>
      <c r="E72" s="637" t="s">
        <v>289</v>
      </c>
      <c r="F72" s="627">
        <v>3.782589646425</v>
      </c>
      <c r="G72" s="628">
        <v>1.8912948232119999</v>
      </c>
      <c r="H72" s="630">
        <v>9.94543</v>
      </c>
      <c r="I72" s="627">
        <v>11.34605</v>
      </c>
      <c r="J72" s="628">
        <v>9.4547551767869997</v>
      </c>
      <c r="K72" s="631">
        <v>2.9995455654879999</v>
      </c>
    </row>
    <row r="73" spans="1:11" ht="14.4" customHeight="1" thickBot="1" x14ac:dyDescent="0.35">
      <c r="A73" s="649" t="s">
        <v>357</v>
      </c>
      <c r="B73" s="627">
        <v>23.684919065047001</v>
      </c>
      <c r="C73" s="627">
        <v>95.282449999999997</v>
      </c>
      <c r="D73" s="628">
        <v>71.597530934952999</v>
      </c>
      <c r="E73" s="629">
        <v>4.0229164278890002</v>
      </c>
      <c r="F73" s="627">
        <v>98.224027557895994</v>
      </c>
      <c r="G73" s="628">
        <v>49.112013778947997</v>
      </c>
      <c r="H73" s="630">
        <v>18.960699999999999</v>
      </c>
      <c r="I73" s="627">
        <v>62.512320000000003</v>
      </c>
      <c r="J73" s="628">
        <v>13.400306221051</v>
      </c>
      <c r="K73" s="631">
        <v>0.63642594947700004</v>
      </c>
    </row>
    <row r="74" spans="1:11" ht="14.4" customHeight="1" thickBot="1" x14ac:dyDescent="0.35">
      <c r="A74" s="649" t="s">
        <v>358</v>
      </c>
      <c r="B74" s="627">
        <v>29.661296265952</v>
      </c>
      <c r="C74" s="627">
        <v>30.308199999999999</v>
      </c>
      <c r="D74" s="628">
        <v>0.64690373404699997</v>
      </c>
      <c r="E74" s="629">
        <v>1.021809691938</v>
      </c>
      <c r="F74" s="627">
        <v>31.999999999999002</v>
      </c>
      <c r="G74" s="628">
        <v>15.999999999999</v>
      </c>
      <c r="H74" s="630">
        <v>7.4105400000000001</v>
      </c>
      <c r="I74" s="627">
        <v>17.944649999999999</v>
      </c>
      <c r="J74" s="628">
        <v>1.94465</v>
      </c>
      <c r="K74" s="631">
        <v>0.56077031249999998</v>
      </c>
    </row>
    <row r="75" spans="1:11" ht="14.4" customHeight="1" thickBot="1" x14ac:dyDescent="0.35">
      <c r="A75" s="649" t="s">
        <v>359</v>
      </c>
      <c r="B75" s="627">
        <v>0</v>
      </c>
      <c r="C75" s="627">
        <v>0</v>
      </c>
      <c r="D75" s="628">
        <v>0</v>
      </c>
      <c r="E75" s="629">
        <v>1</v>
      </c>
      <c r="F75" s="627">
        <v>0</v>
      </c>
      <c r="G75" s="628">
        <v>0</v>
      </c>
      <c r="H75" s="630">
        <v>5.8309800000000003</v>
      </c>
      <c r="I75" s="627">
        <v>5.8309800000000003</v>
      </c>
      <c r="J75" s="628">
        <v>5.8309800000000003</v>
      </c>
      <c r="K75" s="638" t="s">
        <v>301</v>
      </c>
    </row>
    <row r="76" spans="1:11" ht="14.4" customHeight="1" thickBot="1" x14ac:dyDescent="0.35">
      <c r="A76" s="652" t="s">
        <v>33</v>
      </c>
      <c r="B76" s="632">
        <v>0</v>
      </c>
      <c r="C76" s="632">
        <v>198.92202</v>
      </c>
      <c r="D76" s="633">
        <v>198.92202</v>
      </c>
      <c r="E76" s="634" t="s">
        <v>289</v>
      </c>
      <c r="F76" s="632">
        <v>0</v>
      </c>
      <c r="G76" s="633">
        <v>0</v>
      </c>
      <c r="H76" s="635">
        <v>8.6430000000000007</v>
      </c>
      <c r="I76" s="632">
        <v>82.453000000000003</v>
      </c>
      <c r="J76" s="633">
        <v>82.453000000000003</v>
      </c>
      <c r="K76" s="636" t="s">
        <v>289</v>
      </c>
    </row>
    <row r="77" spans="1:11" ht="14.4" customHeight="1" thickBot="1" x14ac:dyDescent="0.35">
      <c r="A77" s="648" t="s">
        <v>360</v>
      </c>
      <c r="B77" s="632">
        <v>0</v>
      </c>
      <c r="C77" s="632">
        <v>164.571</v>
      </c>
      <c r="D77" s="633">
        <v>164.571</v>
      </c>
      <c r="E77" s="634" t="s">
        <v>289</v>
      </c>
      <c r="F77" s="632">
        <v>0</v>
      </c>
      <c r="G77" s="633">
        <v>0</v>
      </c>
      <c r="H77" s="635">
        <v>8.6430000000000007</v>
      </c>
      <c r="I77" s="632">
        <v>44.615000000000002</v>
      </c>
      <c r="J77" s="633">
        <v>44.615000000000002</v>
      </c>
      <c r="K77" s="636" t="s">
        <v>289</v>
      </c>
    </row>
    <row r="78" spans="1:11" ht="14.4" customHeight="1" thickBot="1" x14ac:dyDescent="0.35">
      <c r="A78" s="649" t="s">
        <v>361</v>
      </c>
      <c r="B78" s="627">
        <v>0</v>
      </c>
      <c r="C78" s="627">
        <v>77.301000000000002</v>
      </c>
      <c r="D78" s="628">
        <v>77.301000000000002</v>
      </c>
      <c r="E78" s="637" t="s">
        <v>289</v>
      </c>
      <c r="F78" s="627">
        <v>0</v>
      </c>
      <c r="G78" s="628">
        <v>0</v>
      </c>
      <c r="H78" s="630">
        <v>2.0030000000000001</v>
      </c>
      <c r="I78" s="627">
        <v>24.695</v>
      </c>
      <c r="J78" s="628">
        <v>24.695</v>
      </c>
      <c r="K78" s="638" t="s">
        <v>289</v>
      </c>
    </row>
    <row r="79" spans="1:11" ht="14.4" customHeight="1" thickBot="1" x14ac:dyDescent="0.35">
      <c r="A79" s="649" t="s">
        <v>362</v>
      </c>
      <c r="B79" s="627">
        <v>0</v>
      </c>
      <c r="C79" s="627">
        <v>87.27</v>
      </c>
      <c r="D79" s="628">
        <v>87.27</v>
      </c>
      <c r="E79" s="637" t="s">
        <v>289</v>
      </c>
      <c r="F79" s="627">
        <v>0</v>
      </c>
      <c r="G79" s="628">
        <v>0</v>
      </c>
      <c r="H79" s="630">
        <v>6.64</v>
      </c>
      <c r="I79" s="627">
        <v>19.920000000000002</v>
      </c>
      <c r="J79" s="628">
        <v>19.920000000000002</v>
      </c>
      <c r="K79" s="638" t="s">
        <v>289</v>
      </c>
    </row>
    <row r="80" spans="1:11" ht="14.4" customHeight="1" thickBot="1" x14ac:dyDescent="0.35">
      <c r="A80" s="648" t="s">
        <v>363</v>
      </c>
      <c r="B80" s="632">
        <v>0</v>
      </c>
      <c r="C80" s="632">
        <v>34.351019999999998</v>
      </c>
      <c r="D80" s="633">
        <v>34.351019999999998</v>
      </c>
      <c r="E80" s="634" t="s">
        <v>289</v>
      </c>
      <c r="F80" s="632">
        <v>0</v>
      </c>
      <c r="G80" s="633">
        <v>0</v>
      </c>
      <c r="H80" s="635">
        <v>0</v>
      </c>
      <c r="I80" s="632">
        <v>37.838000000000001</v>
      </c>
      <c r="J80" s="633">
        <v>37.838000000000001</v>
      </c>
      <c r="K80" s="636" t="s">
        <v>289</v>
      </c>
    </row>
    <row r="81" spans="1:11" ht="14.4" customHeight="1" thickBot="1" x14ac:dyDescent="0.35">
      <c r="A81" s="649" t="s">
        <v>364</v>
      </c>
      <c r="B81" s="627">
        <v>0</v>
      </c>
      <c r="C81" s="627">
        <v>17.568000000000001</v>
      </c>
      <c r="D81" s="628">
        <v>17.568000000000001</v>
      </c>
      <c r="E81" s="637" t="s">
        <v>289</v>
      </c>
      <c r="F81" s="627">
        <v>0</v>
      </c>
      <c r="G81" s="628">
        <v>0</v>
      </c>
      <c r="H81" s="630">
        <v>0</v>
      </c>
      <c r="I81" s="627">
        <v>37.838000000000001</v>
      </c>
      <c r="J81" s="628">
        <v>37.838000000000001</v>
      </c>
      <c r="K81" s="638" t="s">
        <v>289</v>
      </c>
    </row>
    <row r="82" spans="1:11" ht="14.4" customHeight="1" thickBot="1" x14ac:dyDescent="0.35">
      <c r="A82" s="649" t="s">
        <v>365</v>
      </c>
      <c r="B82" s="627">
        <v>0</v>
      </c>
      <c r="C82" s="627">
        <v>16.78302</v>
      </c>
      <c r="D82" s="628">
        <v>16.78302</v>
      </c>
      <c r="E82" s="637" t="s">
        <v>301</v>
      </c>
      <c r="F82" s="627">
        <v>0</v>
      </c>
      <c r="G82" s="628">
        <v>0</v>
      </c>
      <c r="H82" s="630">
        <v>0</v>
      </c>
      <c r="I82" s="627">
        <v>0</v>
      </c>
      <c r="J82" s="628">
        <v>0</v>
      </c>
      <c r="K82" s="638" t="s">
        <v>289</v>
      </c>
    </row>
    <row r="83" spans="1:11" ht="14.4" customHeight="1" thickBot="1" x14ac:dyDescent="0.35">
      <c r="A83" s="647" t="s">
        <v>34</v>
      </c>
      <c r="B83" s="627">
        <v>968.81937283496302</v>
      </c>
      <c r="C83" s="627">
        <v>1010.72202</v>
      </c>
      <c r="D83" s="628">
        <v>41.902647165037003</v>
      </c>
      <c r="E83" s="629">
        <v>1.0432512482089999</v>
      </c>
      <c r="F83" s="627">
        <v>979.71305093147805</v>
      </c>
      <c r="G83" s="628">
        <v>489.85652546573903</v>
      </c>
      <c r="H83" s="630">
        <v>49.559530000000002</v>
      </c>
      <c r="I83" s="627">
        <v>379.69612999999998</v>
      </c>
      <c r="J83" s="628">
        <v>-110.160395465739</v>
      </c>
      <c r="K83" s="631">
        <v>0.38755850974799999</v>
      </c>
    </row>
    <row r="84" spans="1:11" ht="14.4" customHeight="1" thickBot="1" x14ac:dyDescent="0.35">
      <c r="A84" s="648" t="s">
        <v>366</v>
      </c>
      <c r="B84" s="632">
        <v>5.2766745769999996</v>
      </c>
      <c r="C84" s="632">
        <v>0</v>
      </c>
      <c r="D84" s="633">
        <v>-5.2766745769999996</v>
      </c>
      <c r="E84" s="639">
        <v>0</v>
      </c>
      <c r="F84" s="632">
        <v>0</v>
      </c>
      <c r="G84" s="633">
        <v>0</v>
      </c>
      <c r="H84" s="635">
        <v>0</v>
      </c>
      <c r="I84" s="632">
        <v>0</v>
      </c>
      <c r="J84" s="633">
        <v>0</v>
      </c>
      <c r="K84" s="640">
        <v>0</v>
      </c>
    </row>
    <row r="85" spans="1:11" ht="14.4" customHeight="1" thickBot="1" x14ac:dyDescent="0.35">
      <c r="A85" s="649" t="s">
        <v>367</v>
      </c>
      <c r="B85" s="627">
        <v>5.2766745769999996</v>
      </c>
      <c r="C85" s="627">
        <v>0</v>
      </c>
      <c r="D85" s="628">
        <v>-5.2766745769999996</v>
      </c>
      <c r="E85" s="629">
        <v>0</v>
      </c>
      <c r="F85" s="627">
        <v>0</v>
      </c>
      <c r="G85" s="628">
        <v>0</v>
      </c>
      <c r="H85" s="630">
        <v>0</v>
      </c>
      <c r="I85" s="627">
        <v>0</v>
      </c>
      <c r="J85" s="628">
        <v>0</v>
      </c>
      <c r="K85" s="631">
        <v>0</v>
      </c>
    </row>
    <row r="86" spans="1:11" ht="14.4" customHeight="1" thickBot="1" x14ac:dyDescent="0.35">
      <c r="A86" s="648" t="s">
        <v>368</v>
      </c>
      <c r="B86" s="632">
        <v>5.8516966701799999</v>
      </c>
      <c r="C86" s="632">
        <v>5.7067899999999998</v>
      </c>
      <c r="D86" s="633">
        <v>-0.14490667018</v>
      </c>
      <c r="E86" s="639">
        <v>0.97523681107399995</v>
      </c>
      <c r="F86" s="632">
        <v>6.088952058446</v>
      </c>
      <c r="G86" s="633">
        <v>3.044476029223</v>
      </c>
      <c r="H86" s="635">
        <v>0.32351000000000002</v>
      </c>
      <c r="I86" s="632">
        <v>2.1098300000000001</v>
      </c>
      <c r="J86" s="633">
        <v>-0.934646029223</v>
      </c>
      <c r="K86" s="640">
        <v>0.34650133220700002</v>
      </c>
    </row>
    <row r="87" spans="1:11" ht="14.4" customHeight="1" thickBot="1" x14ac:dyDescent="0.35">
      <c r="A87" s="649" t="s">
        <v>369</v>
      </c>
      <c r="B87" s="627">
        <v>0.73088596033300002</v>
      </c>
      <c r="C87" s="627">
        <v>1.2236</v>
      </c>
      <c r="D87" s="628">
        <v>0.49271403966600003</v>
      </c>
      <c r="E87" s="629">
        <v>1.674132582108</v>
      </c>
      <c r="F87" s="627">
        <v>1.100716192493</v>
      </c>
      <c r="G87" s="628">
        <v>0.55035809624599996</v>
      </c>
      <c r="H87" s="630">
        <v>4.6699999999999998E-2</v>
      </c>
      <c r="I87" s="627">
        <v>0.49609999999999999</v>
      </c>
      <c r="J87" s="628">
        <v>-5.4258096245999997E-2</v>
      </c>
      <c r="K87" s="631">
        <v>0.45070655213600003</v>
      </c>
    </row>
    <row r="88" spans="1:11" ht="14.4" customHeight="1" thickBot="1" x14ac:dyDescent="0.35">
      <c r="A88" s="649" t="s">
        <v>370</v>
      </c>
      <c r="B88" s="627">
        <v>5.1208107098470004</v>
      </c>
      <c r="C88" s="627">
        <v>4.4831899999999996</v>
      </c>
      <c r="D88" s="628">
        <v>-0.63762070984700003</v>
      </c>
      <c r="E88" s="629">
        <v>0.87548442112400005</v>
      </c>
      <c r="F88" s="627">
        <v>4.9882358659520003</v>
      </c>
      <c r="G88" s="628">
        <v>2.4941179329760002</v>
      </c>
      <c r="H88" s="630">
        <v>0.27681</v>
      </c>
      <c r="I88" s="627">
        <v>1.6137300000000001</v>
      </c>
      <c r="J88" s="628">
        <v>-0.88038793297600004</v>
      </c>
      <c r="K88" s="631">
        <v>0.32350715630999999</v>
      </c>
    </row>
    <row r="89" spans="1:11" ht="14.4" customHeight="1" thickBot="1" x14ac:dyDescent="0.35">
      <c r="A89" s="648" t="s">
        <v>371</v>
      </c>
      <c r="B89" s="632">
        <v>35.893306920904003</v>
      </c>
      <c r="C89" s="632">
        <v>34.533819999999999</v>
      </c>
      <c r="D89" s="633">
        <v>-1.3594869209039999</v>
      </c>
      <c r="E89" s="639">
        <v>0.96212422210299997</v>
      </c>
      <c r="F89" s="632">
        <v>33</v>
      </c>
      <c r="G89" s="633">
        <v>16.5</v>
      </c>
      <c r="H89" s="635">
        <v>0</v>
      </c>
      <c r="I89" s="632">
        <v>23.577999999999999</v>
      </c>
      <c r="J89" s="633">
        <v>7.0779999999990002</v>
      </c>
      <c r="K89" s="640">
        <v>0.71448484848399996</v>
      </c>
    </row>
    <row r="90" spans="1:11" ht="14.4" customHeight="1" thickBot="1" x14ac:dyDescent="0.35">
      <c r="A90" s="649" t="s">
        <v>372</v>
      </c>
      <c r="B90" s="627">
        <v>12.999979310038</v>
      </c>
      <c r="C90" s="627">
        <v>12.96</v>
      </c>
      <c r="D90" s="628">
        <v>-3.9979310038000003E-2</v>
      </c>
      <c r="E90" s="629">
        <v>0.996924663564</v>
      </c>
      <c r="F90" s="627">
        <v>11</v>
      </c>
      <c r="G90" s="628">
        <v>5.5</v>
      </c>
      <c r="H90" s="630">
        <v>0</v>
      </c>
      <c r="I90" s="627">
        <v>5.67</v>
      </c>
      <c r="J90" s="628">
        <v>0.16999999999900001</v>
      </c>
      <c r="K90" s="631">
        <v>0.51545454545400005</v>
      </c>
    </row>
    <row r="91" spans="1:11" ht="14.4" customHeight="1" thickBot="1" x14ac:dyDescent="0.35">
      <c r="A91" s="649" t="s">
        <v>373</v>
      </c>
      <c r="B91" s="627">
        <v>22.893327610865999</v>
      </c>
      <c r="C91" s="627">
        <v>21.573820000000001</v>
      </c>
      <c r="D91" s="628">
        <v>-1.319507610866</v>
      </c>
      <c r="E91" s="629">
        <v>0.94236278651600003</v>
      </c>
      <c r="F91" s="627">
        <v>22</v>
      </c>
      <c r="G91" s="628">
        <v>11</v>
      </c>
      <c r="H91" s="630">
        <v>0</v>
      </c>
      <c r="I91" s="627">
        <v>17.908000000000001</v>
      </c>
      <c r="J91" s="628">
        <v>6.9079999999990003</v>
      </c>
      <c r="K91" s="631">
        <v>0.81399999999899997</v>
      </c>
    </row>
    <row r="92" spans="1:11" ht="14.4" customHeight="1" thickBot="1" x14ac:dyDescent="0.35">
      <c r="A92" s="648" t="s">
        <v>374</v>
      </c>
      <c r="B92" s="632">
        <v>448.06023074944898</v>
      </c>
      <c r="C92" s="632">
        <v>455.68596000000002</v>
      </c>
      <c r="D92" s="633">
        <v>7.6257292505510001</v>
      </c>
      <c r="E92" s="639">
        <v>1.0170194289229999</v>
      </c>
      <c r="F92" s="632">
        <v>428.22825453617202</v>
      </c>
      <c r="G92" s="633">
        <v>214.11412726808601</v>
      </c>
      <c r="H92" s="635">
        <v>45.844799999999999</v>
      </c>
      <c r="I92" s="632">
        <v>222.25335999999999</v>
      </c>
      <c r="J92" s="633">
        <v>8.1392327319139994</v>
      </c>
      <c r="K92" s="640">
        <v>0.519006762505</v>
      </c>
    </row>
    <row r="93" spans="1:11" ht="14.4" customHeight="1" thickBot="1" x14ac:dyDescent="0.35">
      <c r="A93" s="649" t="s">
        <v>375</v>
      </c>
      <c r="B93" s="627">
        <v>448.06023074944898</v>
      </c>
      <c r="C93" s="627">
        <v>405.51229999999998</v>
      </c>
      <c r="D93" s="628">
        <v>-42.547930749448</v>
      </c>
      <c r="E93" s="629">
        <v>0.90503970709799997</v>
      </c>
      <c r="F93" s="627">
        <v>421</v>
      </c>
      <c r="G93" s="628">
        <v>210.5</v>
      </c>
      <c r="H93" s="630">
        <v>32.281579999999998</v>
      </c>
      <c r="I93" s="627">
        <v>202.52090000000001</v>
      </c>
      <c r="J93" s="628">
        <v>-7.9790999999999999</v>
      </c>
      <c r="K93" s="631">
        <v>0.48104726840799999</v>
      </c>
    </row>
    <row r="94" spans="1:11" ht="14.4" customHeight="1" thickBot="1" x14ac:dyDescent="0.35">
      <c r="A94" s="649" t="s">
        <v>376</v>
      </c>
      <c r="B94" s="627">
        <v>0</v>
      </c>
      <c r="C94" s="627">
        <v>43.736660000000001</v>
      </c>
      <c r="D94" s="628">
        <v>43.736660000000001</v>
      </c>
      <c r="E94" s="637" t="s">
        <v>301</v>
      </c>
      <c r="F94" s="627">
        <v>0</v>
      </c>
      <c r="G94" s="628">
        <v>0</v>
      </c>
      <c r="H94" s="630">
        <v>13.563219999999999</v>
      </c>
      <c r="I94" s="627">
        <v>19.73246</v>
      </c>
      <c r="J94" s="628">
        <v>19.73246</v>
      </c>
      <c r="K94" s="638" t="s">
        <v>289</v>
      </c>
    </row>
    <row r="95" spans="1:11" ht="14.4" customHeight="1" thickBot="1" x14ac:dyDescent="0.35">
      <c r="A95" s="649" t="s">
        <v>377</v>
      </c>
      <c r="B95" s="627">
        <v>0</v>
      </c>
      <c r="C95" s="627">
        <v>6.4370000000000003</v>
      </c>
      <c r="D95" s="628">
        <v>6.4370000000000003</v>
      </c>
      <c r="E95" s="637" t="s">
        <v>301</v>
      </c>
      <c r="F95" s="627">
        <v>7.2282545361709998</v>
      </c>
      <c r="G95" s="628">
        <v>3.6141272680849998</v>
      </c>
      <c r="H95" s="630">
        <v>0</v>
      </c>
      <c r="I95" s="627">
        <v>0</v>
      </c>
      <c r="J95" s="628">
        <v>-3.6141272680849998</v>
      </c>
      <c r="K95" s="631">
        <v>0</v>
      </c>
    </row>
    <row r="96" spans="1:11" ht="14.4" customHeight="1" thickBot="1" x14ac:dyDescent="0.35">
      <c r="A96" s="648" t="s">
        <v>378</v>
      </c>
      <c r="B96" s="632">
        <v>473.73746391742799</v>
      </c>
      <c r="C96" s="632">
        <v>514.79544999999996</v>
      </c>
      <c r="D96" s="633">
        <v>41.057986082570999</v>
      </c>
      <c r="E96" s="639">
        <v>1.0866682270450001</v>
      </c>
      <c r="F96" s="632">
        <v>512.39584433686002</v>
      </c>
      <c r="G96" s="633">
        <v>256.19792216843001</v>
      </c>
      <c r="H96" s="635">
        <v>3.3912200000000001</v>
      </c>
      <c r="I96" s="632">
        <v>131.75494</v>
      </c>
      <c r="J96" s="633">
        <v>-124.44298216843001</v>
      </c>
      <c r="K96" s="640">
        <v>0.25713506745999998</v>
      </c>
    </row>
    <row r="97" spans="1:11" ht="14.4" customHeight="1" thickBot="1" x14ac:dyDescent="0.35">
      <c r="A97" s="649" t="s">
        <v>379</v>
      </c>
      <c r="B97" s="627">
        <v>0.99999840846400001</v>
      </c>
      <c r="C97" s="627">
        <v>0.90500000000000003</v>
      </c>
      <c r="D97" s="628">
        <v>-9.4998408463999998E-2</v>
      </c>
      <c r="E97" s="629">
        <v>0.90500144034100005</v>
      </c>
      <c r="F97" s="627">
        <v>14.103999999998999</v>
      </c>
      <c r="G97" s="628">
        <v>7.0519999999990004</v>
      </c>
      <c r="H97" s="630">
        <v>0</v>
      </c>
      <c r="I97" s="627">
        <v>0</v>
      </c>
      <c r="J97" s="628">
        <v>-7.0519999999990004</v>
      </c>
      <c r="K97" s="631">
        <v>0</v>
      </c>
    </row>
    <row r="98" spans="1:11" ht="14.4" customHeight="1" thickBot="1" x14ac:dyDescent="0.35">
      <c r="A98" s="649" t="s">
        <v>380</v>
      </c>
      <c r="B98" s="627">
        <v>380.53282531032397</v>
      </c>
      <c r="C98" s="627">
        <v>458.89452999999997</v>
      </c>
      <c r="D98" s="628">
        <v>78.361704689674994</v>
      </c>
      <c r="E98" s="629">
        <v>1.20592626832</v>
      </c>
      <c r="F98" s="627">
        <v>414.07075081599601</v>
      </c>
      <c r="G98" s="628">
        <v>207.035375407998</v>
      </c>
      <c r="H98" s="630">
        <v>0.65283000000000002</v>
      </c>
      <c r="I98" s="627">
        <v>110.53548000000001</v>
      </c>
      <c r="J98" s="628">
        <v>-96.499895407997997</v>
      </c>
      <c r="K98" s="631">
        <v>0.26694829272999998</v>
      </c>
    </row>
    <row r="99" spans="1:11" ht="14.4" customHeight="1" thickBot="1" x14ac:dyDescent="0.35">
      <c r="A99" s="649" t="s">
        <v>381</v>
      </c>
      <c r="B99" s="627">
        <v>5.999990450786</v>
      </c>
      <c r="C99" s="627">
        <v>4.2519999999999998</v>
      </c>
      <c r="D99" s="628">
        <v>-1.747990450786</v>
      </c>
      <c r="E99" s="629">
        <v>0.70866779453600004</v>
      </c>
      <c r="F99" s="627">
        <v>5</v>
      </c>
      <c r="G99" s="628">
        <v>2.5</v>
      </c>
      <c r="H99" s="630">
        <v>0</v>
      </c>
      <c r="I99" s="627">
        <v>0</v>
      </c>
      <c r="J99" s="628">
        <v>-2.5</v>
      </c>
      <c r="K99" s="631">
        <v>0</v>
      </c>
    </row>
    <row r="100" spans="1:11" ht="14.4" customHeight="1" thickBot="1" x14ac:dyDescent="0.35">
      <c r="A100" s="649" t="s">
        <v>382</v>
      </c>
      <c r="B100" s="627">
        <v>1.7826979080700001</v>
      </c>
      <c r="C100" s="627">
        <v>0.77439999999999998</v>
      </c>
      <c r="D100" s="628">
        <v>-1.0082979080700001</v>
      </c>
      <c r="E100" s="629">
        <v>0.43439777232799998</v>
      </c>
      <c r="F100" s="627">
        <v>1.3958282360259999</v>
      </c>
      <c r="G100" s="628">
        <v>0.69791411801299996</v>
      </c>
      <c r="H100" s="630">
        <v>0</v>
      </c>
      <c r="I100" s="627">
        <v>0</v>
      </c>
      <c r="J100" s="628">
        <v>-0.69791411801299996</v>
      </c>
      <c r="K100" s="631">
        <v>0</v>
      </c>
    </row>
    <row r="101" spans="1:11" ht="14.4" customHeight="1" thickBot="1" x14ac:dyDescent="0.35">
      <c r="A101" s="649" t="s">
        <v>383</v>
      </c>
      <c r="B101" s="627">
        <v>84.421951839781997</v>
      </c>
      <c r="C101" s="627">
        <v>49.969520000000003</v>
      </c>
      <c r="D101" s="628">
        <v>-34.452431839782001</v>
      </c>
      <c r="E101" s="629">
        <v>0.59190197467600003</v>
      </c>
      <c r="F101" s="627">
        <v>77.825265284835993</v>
      </c>
      <c r="G101" s="628">
        <v>38.912632642417996</v>
      </c>
      <c r="H101" s="630">
        <v>2.7383899999999999</v>
      </c>
      <c r="I101" s="627">
        <v>21.219460000000002</v>
      </c>
      <c r="J101" s="628">
        <v>-17.693172642417998</v>
      </c>
      <c r="K101" s="631">
        <v>0.27265515796599998</v>
      </c>
    </row>
    <row r="102" spans="1:11" ht="14.4" customHeight="1" thickBot="1" x14ac:dyDescent="0.35">
      <c r="A102" s="646" t="s">
        <v>35</v>
      </c>
      <c r="B102" s="627">
        <v>38949.383767820298</v>
      </c>
      <c r="C102" s="627">
        <v>42785.85441</v>
      </c>
      <c r="D102" s="628">
        <v>3836.47064217969</v>
      </c>
      <c r="E102" s="629">
        <v>1.098498879084</v>
      </c>
      <c r="F102" s="627">
        <v>43931</v>
      </c>
      <c r="G102" s="628">
        <v>21965.5</v>
      </c>
      <c r="H102" s="630">
        <v>3555.44218</v>
      </c>
      <c r="I102" s="627">
        <v>22134.033520000001</v>
      </c>
      <c r="J102" s="628">
        <v>168.533520000001</v>
      </c>
      <c r="K102" s="631">
        <v>0.50383632332499995</v>
      </c>
    </row>
    <row r="103" spans="1:11" ht="14.4" customHeight="1" thickBot="1" x14ac:dyDescent="0.35">
      <c r="A103" s="652" t="s">
        <v>384</v>
      </c>
      <c r="B103" s="632">
        <v>28782.183045425601</v>
      </c>
      <c r="C103" s="632">
        <v>31677.327000000001</v>
      </c>
      <c r="D103" s="633">
        <v>2895.1439545743801</v>
      </c>
      <c r="E103" s="639">
        <v>1.1005880599810001</v>
      </c>
      <c r="F103" s="632">
        <v>32345</v>
      </c>
      <c r="G103" s="633">
        <v>16172.5</v>
      </c>
      <c r="H103" s="635">
        <v>2616.4780000000001</v>
      </c>
      <c r="I103" s="632">
        <v>16290.761</v>
      </c>
      <c r="J103" s="633">
        <v>118.26099999999499</v>
      </c>
      <c r="K103" s="640">
        <v>0.50365623743999999</v>
      </c>
    </row>
    <row r="104" spans="1:11" ht="14.4" customHeight="1" thickBot="1" x14ac:dyDescent="0.35">
      <c r="A104" s="648" t="s">
        <v>385</v>
      </c>
      <c r="B104" s="632">
        <v>28640.0020342934</v>
      </c>
      <c r="C104" s="632">
        <v>31543.356</v>
      </c>
      <c r="D104" s="633">
        <v>2903.3539657065799</v>
      </c>
      <c r="E104" s="639">
        <v>1.1013740837799999</v>
      </c>
      <c r="F104" s="632">
        <v>32185</v>
      </c>
      <c r="G104" s="633">
        <v>16092.5</v>
      </c>
      <c r="H104" s="635">
        <v>2607.9090000000001</v>
      </c>
      <c r="I104" s="632">
        <v>16229.71</v>
      </c>
      <c r="J104" s="633">
        <v>137.20999999999401</v>
      </c>
      <c r="K104" s="640">
        <v>0.50426316607099997</v>
      </c>
    </row>
    <row r="105" spans="1:11" ht="14.4" customHeight="1" thickBot="1" x14ac:dyDescent="0.35">
      <c r="A105" s="649" t="s">
        <v>386</v>
      </c>
      <c r="B105" s="627">
        <v>28640.0020342934</v>
      </c>
      <c r="C105" s="627">
        <v>31543.356</v>
      </c>
      <c r="D105" s="628">
        <v>2903.3539657065799</v>
      </c>
      <c r="E105" s="629">
        <v>1.1013740837799999</v>
      </c>
      <c r="F105" s="627">
        <v>32185</v>
      </c>
      <c r="G105" s="628">
        <v>16092.5</v>
      </c>
      <c r="H105" s="630">
        <v>2607.9090000000001</v>
      </c>
      <c r="I105" s="627">
        <v>16229.71</v>
      </c>
      <c r="J105" s="628">
        <v>137.20999999999401</v>
      </c>
      <c r="K105" s="631">
        <v>0.50426316607099997</v>
      </c>
    </row>
    <row r="106" spans="1:11" ht="14.4" customHeight="1" thickBot="1" x14ac:dyDescent="0.35">
      <c r="A106" s="648" t="s">
        <v>387</v>
      </c>
      <c r="B106" s="632">
        <v>60.000005416769</v>
      </c>
      <c r="C106" s="632">
        <v>67.2</v>
      </c>
      <c r="D106" s="633">
        <v>7.1999945832299996</v>
      </c>
      <c r="E106" s="639">
        <v>1.119999898886</v>
      </c>
      <c r="F106" s="632">
        <v>69.999999999999005</v>
      </c>
      <c r="G106" s="633">
        <v>35</v>
      </c>
      <c r="H106" s="635">
        <v>2.7</v>
      </c>
      <c r="I106" s="632">
        <v>31.5</v>
      </c>
      <c r="J106" s="633">
        <v>-3.4999999999989999</v>
      </c>
      <c r="K106" s="640">
        <v>0.45</v>
      </c>
    </row>
    <row r="107" spans="1:11" ht="14.4" customHeight="1" thickBot="1" x14ac:dyDescent="0.35">
      <c r="A107" s="649" t="s">
        <v>388</v>
      </c>
      <c r="B107" s="627">
        <v>60.000005416769</v>
      </c>
      <c r="C107" s="627">
        <v>67.2</v>
      </c>
      <c r="D107" s="628">
        <v>7.1999945832299996</v>
      </c>
      <c r="E107" s="629">
        <v>1.119999898886</v>
      </c>
      <c r="F107" s="627">
        <v>69.999999999999005</v>
      </c>
      <c r="G107" s="628">
        <v>35</v>
      </c>
      <c r="H107" s="630">
        <v>2.7</v>
      </c>
      <c r="I107" s="627">
        <v>31.5</v>
      </c>
      <c r="J107" s="628">
        <v>-3.4999999999989999</v>
      </c>
      <c r="K107" s="631">
        <v>0.45</v>
      </c>
    </row>
    <row r="108" spans="1:11" ht="14.4" customHeight="1" thickBot="1" x14ac:dyDescent="0.35">
      <c r="A108" s="648" t="s">
        <v>389</v>
      </c>
      <c r="B108" s="632">
        <v>82.181005715430999</v>
      </c>
      <c r="C108" s="632">
        <v>66.771000000000001</v>
      </c>
      <c r="D108" s="633">
        <v>-15.410005715431</v>
      </c>
      <c r="E108" s="639">
        <v>0.81248701471399998</v>
      </c>
      <c r="F108" s="632">
        <v>90</v>
      </c>
      <c r="G108" s="633">
        <v>45</v>
      </c>
      <c r="H108" s="635">
        <v>5.8689999999999998</v>
      </c>
      <c r="I108" s="632">
        <v>29.550999999999998</v>
      </c>
      <c r="J108" s="633">
        <v>-15.449</v>
      </c>
      <c r="K108" s="640">
        <v>0.32834444444400002</v>
      </c>
    </row>
    <row r="109" spans="1:11" ht="14.4" customHeight="1" thickBot="1" x14ac:dyDescent="0.35">
      <c r="A109" s="649" t="s">
        <v>390</v>
      </c>
      <c r="B109" s="627">
        <v>82.181005715430999</v>
      </c>
      <c r="C109" s="627">
        <v>66.771000000000001</v>
      </c>
      <c r="D109" s="628">
        <v>-15.410005715431</v>
      </c>
      <c r="E109" s="629">
        <v>0.81248701471399998</v>
      </c>
      <c r="F109" s="627">
        <v>90</v>
      </c>
      <c r="G109" s="628">
        <v>45</v>
      </c>
      <c r="H109" s="630">
        <v>5.8689999999999998</v>
      </c>
      <c r="I109" s="627">
        <v>29.550999999999998</v>
      </c>
      <c r="J109" s="628">
        <v>-15.449</v>
      </c>
      <c r="K109" s="631">
        <v>0.32834444444400002</v>
      </c>
    </row>
    <row r="110" spans="1:11" ht="14.4" customHeight="1" thickBot="1" x14ac:dyDescent="0.35">
      <c r="A110" s="647" t="s">
        <v>391</v>
      </c>
      <c r="B110" s="627">
        <v>9737.6006917700306</v>
      </c>
      <c r="C110" s="627">
        <v>10634.37478</v>
      </c>
      <c r="D110" s="628">
        <v>896.77408822997302</v>
      </c>
      <c r="E110" s="629">
        <v>1.0920939476380001</v>
      </c>
      <c r="F110" s="627">
        <v>10942</v>
      </c>
      <c r="G110" s="628">
        <v>5470.99999999999</v>
      </c>
      <c r="H110" s="630">
        <v>886.6884</v>
      </c>
      <c r="I110" s="627">
        <v>5518.0877499999997</v>
      </c>
      <c r="J110" s="628">
        <v>47.087750000008</v>
      </c>
      <c r="K110" s="631">
        <v>0.50430339517400002</v>
      </c>
    </row>
    <row r="111" spans="1:11" ht="14.4" customHeight="1" thickBot="1" x14ac:dyDescent="0.35">
      <c r="A111" s="648" t="s">
        <v>392</v>
      </c>
      <c r="B111" s="632">
        <v>2577.6001831966701</v>
      </c>
      <c r="C111" s="632">
        <v>2838.89878</v>
      </c>
      <c r="D111" s="633">
        <v>261.29859680332999</v>
      </c>
      <c r="E111" s="639">
        <v>1.1013728189909999</v>
      </c>
      <c r="F111" s="632">
        <v>2895.99999999999</v>
      </c>
      <c r="G111" s="633">
        <v>1447.99999999999</v>
      </c>
      <c r="H111" s="635">
        <v>234.71115</v>
      </c>
      <c r="I111" s="632">
        <v>1460.6602499999999</v>
      </c>
      <c r="J111" s="633">
        <v>12.660250000006</v>
      </c>
      <c r="K111" s="640">
        <v>0.50437163328699997</v>
      </c>
    </row>
    <row r="112" spans="1:11" ht="14.4" customHeight="1" thickBot="1" x14ac:dyDescent="0.35">
      <c r="A112" s="649" t="s">
        <v>393</v>
      </c>
      <c r="B112" s="627">
        <v>2577.6001831966701</v>
      </c>
      <c r="C112" s="627">
        <v>2838.89878</v>
      </c>
      <c r="D112" s="628">
        <v>261.29859680332999</v>
      </c>
      <c r="E112" s="629">
        <v>1.1013728189909999</v>
      </c>
      <c r="F112" s="627">
        <v>2895.99999999999</v>
      </c>
      <c r="G112" s="628">
        <v>1447.99999999999</v>
      </c>
      <c r="H112" s="630">
        <v>234.71115</v>
      </c>
      <c r="I112" s="627">
        <v>1460.6602499999999</v>
      </c>
      <c r="J112" s="628">
        <v>12.660250000006</v>
      </c>
      <c r="K112" s="631">
        <v>0.50437163328699997</v>
      </c>
    </row>
    <row r="113" spans="1:11" ht="14.4" customHeight="1" thickBot="1" x14ac:dyDescent="0.35">
      <c r="A113" s="648" t="s">
        <v>394</v>
      </c>
      <c r="B113" s="632">
        <v>7160.0005085733601</v>
      </c>
      <c r="C113" s="632">
        <v>7795.4759999999997</v>
      </c>
      <c r="D113" s="633">
        <v>635.475491426644</v>
      </c>
      <c r="E113" s="639">
        <v>1.08875355395</v>
      </c>
      <c r="F113" s="632">
        <v>8046</v>
      </c>
      <c r="G113" s="633">
        <v>4023</v>
      </c>
      <c r="H113" s="635">
        <v>651.97725000000003</v>
      </c>
      <c r="I113" s="632">
        <v>4057.4274999999998</v>
      </c>
      <c r="J113" s="633">
        <v>34.427500000001999</v>
      </c>
      <c r="K113" s="640">
        <v>0.50427883420300001</v>
      </c>
    </row>
    <row r="114" spans="1:11" ht="14.4" customHeight="1" thickBot="1" x14ac:dyDescent="0.35">
      <c r="A114" s="649" t="s">
        <v>395</v>
      </c>
      <c r="B114" s="627">
        <v>7160.0005085733601</v>
      </c>
      <c r="C114" s="627">
        <v>7795.4759999999997</v>
      </c>
      <c r="D114" s="628">
        <v>635.475491426644</v>
      </c>
      <c r="E114" s="629">
        <v>1.08875355395</v>
      </c>
      <c r="F114" s="627">
        <v>8046</v>
      </c>
      <c r="G114" s="628">
        <v>4023</v>
      </c>
      <c r="H114" s="630">
        <v>651.97725000000003</v>
      </c>
      <c r="I114" s="627">
        <v>4057.4274999999998</v>
      </c>
      <c r="J114" s="628">
        <v>34.427500000001999</v>
      </c>
      <c r="K114" s="631">
        <v>0.50427883420300001</v>
      </c>
    </row>
    <row r="115" spans="1:11" ht="14.4" customHeight="1" thickBot="1" x14ac:dyDescent="0.35">
      <c r="A115" s="647" t="s">
        <v>396</v>
      </c>
      <c r="B115" s="627">
        <v>429.60003062466399</v>
      </c>
      <c r="C115" s="627">
        <v>474.15262999999999</v>
      </c>
      <c r="D115" s="628">
        <v>44.552599375336001</v>
      </c>
      <c r="E115" s="629">
        <v>1.1037071606119999</v>
      </c>
      <c r="F115" s="627">
        <v>644.00000000000102</v>
      </c>
      <c r="G115" s="628">
        <v>322</v>
      </c>
      <c r="H115" s="630">
        <v>52.275779999999997</v>
      </c>
      <c r="I115" s="627">
        <v>325.18477000000001</v>
      </c>
      <c r="J115" s="628">
        <v>3.1847699999989998</v>
      </c>
      <c r="K115" s="631">
        <v>0.50494529503100005</v>
      </c>
    </row>
    <row r="116" spans="1:11" ht="14.4" customHeight="1" thickBot="1" x14ac:dyDescent="0.35">
      <c r="A116" s="648" t="s">
        <v>397</v>
      </c>
      <c r="B116" s="632">
        <v>429.60003062466399</v>
      </c>
      <c r="C116" s="632">
        <v>474.15262999999999</v>
      </c>
      <c r="D116" s="633">
        <v>44.552599375336001</v>
      </c>
      <c r="E116" s="639">
        <v>1.1037071606119999</v>
      </c>
      <c r="F116" s="632">
        <v>644.00000000000102</v>
      </c>
      <c r="G116" s="633">
        <v>322</v>
      </c>
      <c r="H116" s="635">
        <v>52.275779999999997</v>
      </c>
      <c r="I116" s="632">
        <v>325.18477000000001</v>
      </c>
      <c r="J116" s="633">
        <v>3.1847699999989998</v>
      </c>
      <c r="K116" s="640">
        <v>0.50494529503100005</v>
      </c>
    </row>
    <row r="117" spans="1:11" ht="14.4" customHeight="1" thickBot="1" x14ac:dyDescent="0.35">
      <c r="A117" s="649" t="s">
        <v>398</v>
      </c>
      <c r="B117" s="627">
        <v>429.60003062466399</v>
      </c>
      <c r="C117" s="627">
        <v>474.15262999999999</v>
      </c>
      <c r="D117" s="628">
        <v>44.552599375336001</v>
      </c>
      <c r="E117" s="629">
        <v>1.1037071606119999</v>
      </c>
      <c r="F117" s="627">
        <v>644.00000000000102</v>
      </c>
      <c r="G117" s="628">
        <v>322</v>
      </c>
      <c r="H117" s="630">
        <v>52.275779999999997</v>
      </c>
      <c r="I117" s="627">
        <v>325.18477000000001</v>
      </c>
      <c r="J117" s="628">
        <v>3.1847699999989998</v>
      </c>
      <c r="K117" s="631">
        <v>0.50494529503100005</v>
      </c>
    </row>
    <row r="118" spans="1:11" ht="14.4" customHeight="1" thickBot="1" x14ac:dyDescent="0.35">
      <c r="A118" s="646" t="s">
        <v>399</v>
      </c>
      <c r="B118" s="627">
        <v>0</v>
      </c>
      <c r="C118" s="627">
        <v>327.65883000000002</v>
      </c>
      <c r="D118" s="628">
        <v>327.65883000000002</v>
      </c>
      <c r="E118" s="637" t="s">
        <v>289</v>
      </c>
      <c r="F118" s="627">
        <v>0</v>
      </c>
      <c r="G118" s="628">
        <v>0</v>
      </c>
      <c r="H118" s="630">
        <v>7.4320000000000004</v>
      </c>
      <c r="I118" s="627">
        <v>55.127049999999997</v>
      </c>
      <c r="J118" s="628">
        <v>55.127049999999997</v>
      </c>
      <c r="K118" s="638" t="s">
        <v>289</v>
      </c>
    </row>
    <row r="119" spans="1:11" ht="14.4" customHeight="1" thickBot="1" x14ac:dyDescent="0.35">
      <c r="A119" s="647" t="s">
        <v>400</v>
      </c>
      <c r="B119" s="627">
        <v>0</v>
      </c>
      <c r="C119" s="627">
        <v>327.65883000000002</v>
      </c>
      <c r="D119" s="628">
        <v>327.65883000000002</v>
      </c>
      <c r="E119" s="637" t="s">
        <v>289</v>
      </c>
      <c r="F119" s="627">
        <v>0</v>
      </c>
      <c r="G119" s="628">
        <v>0</v>
      </c>
      <c r="H119" s="630">
        <v>7.4320000000000004</v>
      </c>
      <c r="I119" s="627">
        <v>55.127049999999997</v>
      </c>
      <c r="J119" s="628">
        <v>55.127049999999997</v>
      </c>
      <c r="K119" s="638" t="s">
        <v>289</v>
      </c>
    </row>
    <row r="120" spans="1:11" ht="14.4" customHeight="1" thickBot="1" x14ac:dyDescent="0.35">
      <c r="A120" s="648" t="s">
        <v>401</v>
      </c>
      <c r="B120" s="632">
        <v>0</v>
      </c>
      <c r="C120" s="632">
        <v>298.55883</v>
      </c>
      <c r="D120" s="633">
        <v>298.55883</v>
      </c>
      <c r="E120" s="634" t="s">
        <v>289</v>
      </c>
      <c r="F120" s="632">
        <v>0</v>
      </c>
      <c r="G120" s="633">
        <v>0</v>
      </c>
      <c r="H120" s="635">
        <v>7.4320000000000004</v>
      </c>
      <c r="I120" s="632">
        <v>47.727049999999998</v>
      </c>
      <c r="J120" s="633">
        <v>47.727049999999998</v>
      </c>
      <c r="K120" s="636" t="s">
        <v>289</v>
      </c>
    </row>
    <row r="121" spans="1:11" ht="14.4" customHeight="1" thickBot="1" x14ac:dyDescent="0.35">
      <c r="A121" s="649" t="s">
        <v>402</v>
      </c>
      <c r="B121" s="627">
        <v>0</v>
      </c>
      <c r="C121" s="627">
        <v>1.88083</v>
      </c>
      <c r="D121" s="628">
        <v>1.88083</v>
      </c>
      <c r="E121" s="637" t="s">
        <v>289</v>
      </c>
      <c r="F121" s="627">
        <v>0</v>
      </c>
      <c r="G121" s="628">
        <v>0</v>
      </c>
      <c r="H121" s="630">
        <v>0</v>
      </c>
      <c r="I121" s="627">
        <v>0.85304999999999997</v>
      </c>
      <c r="J121" s="628">
        <v>0.85304999999999997</v>
      </c>
      <c r="K121" s="638" t="s">
        <v>289</v>
      </c>
    </row>
    <row r="122" spans="1:11" ht="14.4" customHeight="1" thickBot="1" x14ac:dyDescent="0.35">
      <c r="A122" s="649" t="s">
        <v>403</v>
      </c>
      <c r="B122" s="627">
        <v>0</v>
      </c>
      <c r="C122" s="627">
        <v>5</v>
      </c>
      <c r="D122" s="628">
        <v>5</v>
      </c>
      <c r="E122" s="637" t="s">
        <v>289</v>
      </c>
      <c r="F122" s="627">
        <v>0</v>
      </c>
      <c r="G122" s="628">
        <v>0</v>
      </c>
      <c r="H122" s="630">
        <v>0</v>
      </c>
      <c r="I122" s="627">
        <v>0</v>
      </c>
      <c r="J122" s="628">
        <v>0</v>
      </c>
      <c r="K122" s="638" t="s">
        <v>289</v>
      </c>
    </row>
    <row r="123" spans="1:11" ht="14.4" customHeight="1" thickBot="1" x14ac:dyDescent="0.35">
      <c r="A123" s="649" t="s">
        <v>404</v>
      </c>
      <c r="B123" s="627">
        <v>0</v>
      </c>
      <c r="C123" s="627">
        <v>194.39699999999999</v>
      </c>
      <c r="D123" s="628">
        <v>194.39699999999999</v>
      </c>
      <c r="E123" s="637" t="s">
        <v>289</v>
      </c>
      <c r="F123" s="627">
        <v>0</v>
      </c>
      <c r="G123" s="628">
        <v>0</v>
      </c>
      <c r="H123" s="630">
        <v>7.4320000000000004</v>
      </c>
      <c r="I123" s="627">
        <v>46.874000000000002</v>
      </c>
      <c r="J123" s="628">
        <v>46.874000000000002</v>
      </c>
      <c r="K123" s="638" t="s">
        <v>289</v>
      </c>
    </row>
    <row r="124" spans="1:11" ht="14.4" customHeight="1" thickBot="1" x14ac:dyDescent="0.35">
      <c r="A124" s="649" t="s">
        <v>405</v>
      </c>
      <c r="B124" s="627">
        <v>0</v>
      </c>
      <c r="C124" s="627">
        <v>97.281000000000006</v>
      </c>
      <c r="D124" s="628">
        <v>97.281000000000006</v>
      </c>
      <c r="E124" s="637" t="s">
        <v>289</v>
      </c>
      <c r="F124" s="627">
        <v>0</v>
      </c>
      <c r="G124" s="628">
        <v>0</v>
      </c>
      <c r="H124" s="630">
        <v>0</v>
      </c>
      <c r="I124" s="627">
        <v>0</v>
      </c>
      <c r="J124" s="628">
        <v>0</v>
      </c>
      <c r="K124" s="638" t="s">
        <v>289</v>
      </c>
    </row>
    <row r="125" spans="1:11" ht="14.4" customHeight="1" thickBot="1" x14ac:dyDescent="0.35">
      <c r="A125" s="651" t="s">
        <v>406</v>
      </c>
      <c r="B125" s="627">
        <v>0</v>
      </c>
      <c r="C125" s="627">
        <v>27.6</v>
      </c>
      <c r="D125" s="628">
        <v>27.6</v>
      </c>
      <c r="E125" s="637" t="s">
        <v>289</v>
      </c>
      <c r="F125" s="627">
        <v>0</v>
      </c>
      <c r="G125" s="628">
        <v>0</v>
      </c>
      <c r="H125" s="630">
        <v>0</v>
      </c>
      <c r="I125" s="627">
        <v>7.4</v>
      </c>
      <c r="J125" s="628">
        <v>7.4</v>
      </c>
      <c r="K125" s="638" t="s">
        <v>289</v>
      </c>
    </row>
    <row r="126" spans="1:11" ht="14.4" customHeight="1" thickBot="1" x14ac:dyDescent="0.35">
      <c r="A126" s="649" t="s">
        <v>407</v>
      </c>
      <c r="B126" s="627">
        <v>0</v>
      </c>
      <c r="C126" s="627">
        <v>27.6</v>
      </c>
      <c r="D126" s="628">
        <v>27.6</v>
      </c>
      <c r="E126" s="637" t="s">
        <v>289</v>
      </c>
      <c r="F126" s="627">
        <v>0</v>
      </c>
      <c r="G126" s="628">
        <v>0</v>
      </c>
      <c r="H126" s="630">
        <v>0</v>
      </c>
      <c r="I126" s="627">
        <v>7.4</v>
      </c>
      <c r="J126" s="628">
        <v>7.4</v>
      </c>
      <c r="K126" s="638" t="s">
        <v>289</v>
      </c>
    </row>
    <row r="127" spans="1:11" ht="14.4" customHeight="1" thickBot="1" x14ac:dyDescent="0.35">
      <c r="A127" s="651" t="s">
        <v>408</v>
      </c>
      <c r="B127" s="627">
        <v>0</v>
      </c>
      <c r="C127" s="627">
        <v>1.5</v>
      </c>
      <c r="D127" s="628">
        <v>1.5</v>
      </c>
      <c r="E127" s="637" t="s">
        <v>301</v>
      </c>
      <c r="F127" s="627">
        <v>0</v>
      </c>
      <c r="G127" s="628">
        <v>0</v>
      </c>
      <c r="H127" s="630">
        <v>0</v>
      </c>
      <c r="I127" s="627">
        <v>0</v>
      </c>
      <c r="J127" s="628">
        <v>0</v>
      </c>
      <c r="K127" s="638" t="s">
        <v>289</v>
      </c>
    </row>
    <row r="128" spans="1:11" ht="14.4" customHeight="1" thickBot="1" x14ac:dyDescent="0.35">
      <c r="A128" s="649" t="s">
        <v>409</v>
      </c>
      <c r="B128" s="627">
        <v>0</v>
      </c>
      <c r="C128" s="627">
        <v>1.5</v>
      </c>
      <c r="D128" s="628">
        <v>1.5</v>
      </c>
      <c r="E128" s="637" t="s">
        <v>301</v>
      </c>
      <c r="F128" s="627">
        <v>0</v>
      </c>
      <c r="G128" s="628">
        <v>0</v>
      </c>
      <c r="H128" s="630">
        <v>0</v>
      </c>
      <c r="I128" s="627">
        <v>0</v>
      </c>
      <c r="J128" s="628">
        <v>0</v>
      </c>
      <c r="K128" s="638" t="s">
        <v>289</v>
      </c>
    </row>
    <row r="129" spans="1:11" ht="14.4" customHeight="1" thickBot="1" x14ac:dyDescent="0.35">
      <c r="A129" s="646" t="s">
        <v>410</v>
      </c>
      <c r="B129" s="627">
        <v>1830.00422594517</v>
      </c>
      <c r="C129" s="627">
        <v>1932.9524899999999</v>
      </c>
      <c r="D129" s="628">
        <v>102.948264054834</v>
      </c>
      <c r="E129" s="629">
        <v>1.056255752088</v>
      </c>
      <c r="F129" s="627">
        <v>1891</v>
      </c>
      <c r="G129" s="628">
        <v>945.50000000000205</v>
      </c>
      <c r="H129" s="630">
        <v>158.22018</v>
      </c>
      <c r="I129" s="627">
        <v>922.89107000000001</v>
      </c>
      <c r="J129" s="628">
        <v>-22.608930000000999</v>
      </c>
      <c r="K129" s="631">
        <v>0.48804392913799999</v>
      </c>
    </row>
    <row r="130" spans="1:11" ht="14.4" customHeight="1" thickBot="1" x14ac:dyDescent="0.35">
      <c r="A130" s="647" t="s">
        <v>411</v>
      </c>
      <c r="B130" s="627">
        <v>1830.00422594517</v>
      </c>
      <c r="C130" s="627">
        <v>1836.3420000000001</v>
      </c>
      <c r="D130" s="628">
        <v>6.3377740548329999</v>
      </c>
      <c r="E130" s="629">
        <v>1.0034632565129999</v>
      </c>
      <c r="F130" s="627">
        <v>1884</v>
      </c>
      <c r="G130" s="628">
        <v>942.00000000000205</v>
      </c>
      <c r="H130" s="630">
        <v>143.751</v>
      </c>
      <c r="I130" s="627">
        <v>871.02499999999998</v>
      </c>
      <c r="J130" s="628">
        <v>-70.975000000001003</v>
      </c>
      <c r="K130" s="631">
        <v>0.46232749469200002</v>
      </c>
    </row>
    <row r="131" spans="1:11" ht="14.4" customHeight="1" thickBot="1" x14ac:dyDescent="0.35">
      <c r="A131" s="648" t="s">
        <v>412</v>
      </c>
      <c r="B131" s="632">
        <v>1830.00422594517</v>
      </c>
      <c r="C131" s="632">
        <v>1836.3420000000001</v>
      </c>
      <c r="D131" s="633">
        <v>6.3377740548329999</v>
      </c>
      <c r="E131" s="639">
        <v>1.0034632565129999</v>
      </c>
      <c r="F131" s="632">
        <v>1884</v>
      </c>
      <c r="G131" s="633">
        <v>942.00000000000205</v>
      </c>
      <c r="H131" s="635">
        <v>143.751</v>
      </c>
      <c r="I131" s="632">
        <v>871.02499999999998</v>
      </c>
      <c r="J131" s="633">
        <v>-70.975000000001003</v>
      </c>
      <c r="K131" s="640">
        <v>0.46232749469200002</v>
      </c>
    </row>
    <row r="132" spans="1:11" ht="14.4" customHeight="1" thickBot="1" x14ac:dyDescent="0.35">
      <c r="A132" s="649" t="s">
        <v>413</v>
      </c>
      <c r="B132" s="627">
        <v>73.000168575954007</v>
      </c>
      <c r="C132" s="627">
        <v>74.475999999999999</v>
      </c>
      <c r="D132" s="628">
        <v>1.4758314240449999</v>
      </c>
      <c r="E132" s="629">
        <v>1.020216822136</v>
      </c>
      <c r="F132" s="627">
        <v>78</v>
      </c>
      <c r="G132" s="628">
        <v>39</v>
      </c>
      <c r="H132" s="630">
        <v>6.4610000000000003</v>
      </c>
      <c r="I132" s="627">
        <v>38.765999999999998</v>
      </c>
      <c r="J132" s="628">
        <v>-0.23400000000000001</v>
      </c>
      <c r="K132" s="631">
        <v>0.49699999999900002</v>
      </c>
    </row>
    <row r="133" spans="1:11" ht="14.4" customHeight="1" thickBot="1" x14ac:dyDescent="0.35">
      <c r="A133" s="649" t="s">
        <v>414</v>
      </c>
      <c r="B133" s="627">
        <v>1061.00245012449</v>
      </c>
      <c r="C133" s="627">
        <v>1067.693</v>
      </c>
      <c r="D133" s="628">
        <v>6.6905498755070001</v>
      </c>
      <c r="E133" s="629">
        <v>1.006305875989</v>
      </c>
      <c r="F133" s="627">
        <v>1193</v>
      </c>
      <c r="G133" s="628">
        <v>596.50000000000102</v>
      </c>
      <c r="H133" s="630">
        <v>86.944000000000003</v>
      </c>
      <c r="I133" s="627">
        <v>521.673</v>
      </c>
      <c r="J133" s="628">
        <v>-74.826999999999998</v>
      </c>
      <c r="K133" s="631">
        <v>0.43727829002500002</v>
      </c>
    </row>
    <row r="134" spans="1:11" ht="14.4" customHeight="1" thickBot="1" x14ac:dyDescent="0.35">
      <c r="A134" s="649" t="s">
        <v>415</v>
      </c>
      <c r="B134" s="627">
        <v>593.00136939097501</v>
      </c>
      <c r="C134" s="627">
        <v>596.52800000000002</v>
      </c>
      <c r="D134" s="628">
        <v>3.5266306090250001</v>
      </c>
      <c r="E134" s="629">
        <v>1.005947086787</v>
      </c>
      <c r="F134" s="627">
        <v>604.00000000000102</v>
      </c>
      <c r="G134" s="628">
        <v>302.00000000000102</v>
      </c>
      <c r="H134" s="630">
        <v>50.345999999999997</v>
      </c>
      <c r="I134" s="627">
        <v>302.07600000000002</v>
      </c>
      <c r="J134" s="628">
        <v>7.5999999999000006E-2</v>
      </c>
      <c r="K134" s="631">
        <v>0.50012582781399995</v>
      </c>
    </row>
    <row r="135" spans="1:11" ht="14.4" customHeight="1" thickBot="1" x14ac:dyDescent="0.35">
      <c r="A135" s="649" t="s">
        <v>416</v>
      </c>
      <c r="B135" s="627">
        <v>103.000237853744</v>
      </c>
      <c r="C135" s="627">
        <v>97.644999999999996</v>
      </c>
      <c r="D135" s="628">
        <v>-5.3552378537439997</v>
      </c>
      <c r="E135" s="629">
        <v>0.94800751954200002</v>
      </c>
      <c r="F135" s="627">
        <v>9</v>
      </c>
      <c r="G135" s="628">
        <v>4.5</v>
      </c>
      <c r="H135" s="630">
        <v>0</v>
      </c>
      <c r="I135" s="627">
        <v>8.51</v>
      </c>
      <c r="J135" s="628">
        <v>4.0099999999989997</v>
      </c>
      <c r="K135" s="631">
        <v>0.94555555555500004</v>
      </c>
    </row>
    <row r="136" spans="1:11" ht="14.4" customHeight="1" thickBot="1" x14ac:dyDescent="0.35">
      <c r="A136" s="647" t="s">
        <v>417</v>
      </c>
      <c r="B136" s="627">
        <v>0</v>
      </c>
      <c r="C136" s="627">
        <v>96.610489999999999</v>
      </c>
      <c r="D136" s="628">
        <v>96.610489999999999</v>
      </c>
      <c r="E136" s="637" t="s">
        <v>289</v>
      </c>
      <c r="F136" s="627">
        <v>7</v>
      </c>
      <c r="G136" s="628">
        <v>3.5</v>
      </c>
      <c r="H136" s="630">
        <v>14.46918</v>
      </c>
      <c r="I136" s="627">
        <v>51.866070000000001</v>
      </c>
      <c r="J136" s="628">
        <v>48.366070000000001</v>
      </c>
      <c r="K136" s="631">
        <v>7.4094385714279998</v>
      </c>
    </row>
    <row r="137" spans="1:11" ht="14.4" customHeight="1" thickBot="1" x14ac:dyDescent="0.35">
      <c r="A137" s="648" t="s">
        <v>418</v>
      </c>
      <c r="B137" s="632">
        <v>0</v>
      </c>
      <c r="C137" s="632">
        <v>92.042490000000001</v>
      </c>
      <c r="D137" s="633">
        <v>92.042490000000001</v>
      </c>
      <c r="E137" s="634" t="s">
        <v>289</v>
      </c>
      <c r="F137" s="632">
        <v>7</v>
      </c>
      <c r="G137" s="633">
        <v>3.5</v>
      </c>
      <c r="H137" s="635">
        <v>0</v>
      </c>
      <c r="I137" s="632">
        <v>0</v>
      </c>
      <c r="J137" s="633">
        <v>-3.5</v>
      </c>
      <c r="K137" s="640">
        <v>0</v>
      </c>
    </row>
    <row r="138" spans="1:11" ht="14.4" customHeight="1" thickBot="1" x14ac:dyDescent="0.35">
      <c r="A138" s="649" t="s">
        <v>419</v>
      </c>
      <c r="B138" s="627">
        <v>0</v>
      </c>
      <c r="C138" s="627">
        <v>92.042490000000001</v>
      </c>
      <c r="D138" s="628">
        <v>92.042490000000001</v>
      </c>
      <c r="E138" s="637" t="s">
        <v>289</v>
      </c>
      <c r="F138" s="627">
        <v>7</v>
      </c>
      <c r="G138" s="628">
        <v>3.5</v>
      </c>
      <c r="H138" s="630">
        <v>0</v>
      </c>
      <c r="I138" s="627">
        <v>0</v>
      </c>
      <c r="J138" s="628">
        <v>-3.5</v>
      </c>
      <c r="K138" s="631">
        <v>0</v>
      </c>
    </row>
    <row r="139" spans="1:11" ht="14.4" customHeight="1" thickBot="1" x14ac:dyDescent="0.35">
      <c r="A139" s="648" t="s">
        <v>420</v>
      </c>
      <c r="B139" s="632">
        <v>0</v>
      </c>
      <c r="C139" s="632">
        <v>4.5679999999999996</v>
      </c>
      <c r="D139" s="633">
        <v>4.5679999999999996</v>
      </c>
      <c r="E139" s="634" t="s">
        <v>289</v>
      </c>
      <c r="F139" s="632">
        <v>0</v>
      </c>
      <c r="G139" s="633">
        <v>0</v>
      </c>
      <c r="H139" s="635">
        <v>14.46918</v>
      </c>
      <c r="I139" s="632">
        <v>14.46918</v>
      </c>
      <c r="J139" s="633">
        <v>14.46918</v>
      </c>
      <c r="K139" s="636" t="s">
        <v>289</v>
      </c>
    </row>
    <row r="140" spans="1:11" ht="14.4" customHeight="1" thickBot="1" x14ac:dyDescent="0.35">
      <c r="A140" s="649" t="s">
        <v>421</v>
      </c>
      <c r="B140" s="627">
        <v>0</v>
      </c>
      <c r="C140" s="627">
        <v>4.5679999999999996</v>
      </c>
      <c r="D140" s="628">
        <v>4.5679999999999996</v>
      </c>
      <c r="E140" s="637" t="s">
        <v>301</v>
      </c>
      <c r="F140" s="627">
        <v>0</v>
      </c>
      <c r="G140" s="628">
        <v>0</v>
      </c>
      <c r="H140" s="630">
        <v>0</v>
      </c>
      <c r="I140" s="627">
        <v>0</v>
      </c>
      <c r="J140" s="628">
        <v>0</v>
      </c>
      <c r="K140" s="638" t="s">
        <v>289</v>
      </c>
    </row>
    <row r="141" spans="1:11" ht="14.4" customHeight="1" thickBot="1" x14ac:dyDescent="0.35">
      <c r="A141" s="649" t="s">
        <v>422</v>
      </c>
      <c r="B141" s="627">
        <v>0</v>
      </c>
      <c r="C141" s="627">
        <v>0</v>
      </c>
      <c r="D141" s="628">
        <v>0</v>
      </c>
      <c r="E141" s="629">
        <v>1</v>
      </c>
      <c r="F141" s="627">
        <v>0</v>
      </c>
      <c r="G141" s="628">
        <v>0</v>
      </c>
      <c r="H141" s="630">
        <v>14.46918</v>
      </c>
      <c r="I141" s="627">
        <v>14.46918</v>
      </c>
      <c r="J141" s="628">
        <v>14.46918</v>
      </c>
      <c r="K141" s="638" t="s">
        <v>301</v>
      </c>
    </row>
    <row r="142" spans="1:11" ht="14.4" customHeight="1" thickBot="1" x14ac:dyDescent="0.35">
      <c r="A142" s="648" t="s">
        <v>423</v>
      </c>
      <c r="B142" s="632">
        <v>0</v>
      </c>
      <c r="C142" s="632">
        <v>0</v>
      </c>
      <c r="D142" s="633">
        <v>0</v>
      </c>
      <c r="E142" s="634" t="s">
        <v>289</v>
      </c>
      <c r="F142" s="632">
        <v>0</v>
      </c>
      <c r="G142" s="633">
        <v>0</v>
      </c>
      <c r="H142" s="635">
        <v>0</v>
      </c>
      <c r="I142" s="632">
        <v>16.299330000000001</v>
      </c>
      <c r="J142" s="633">
        <v>16.299330000000001</v>
      </c>
      <c r="K142" s="636" t="s">
        <v>301</v>
      </c>
    </row>
    <row r="143" spans="1:11" ht="14.4" customHeight="1" thickBot="1" x14ac:dyDescent="0.35">
      <c r="A143" s="649" t="s">
        <v>424</v>
      </c>
      <c r="B143" s="627">
        <v>0</v>
      </c>
      <c r="C143" s="627">
        <v>0</v>
      </c>
      <c r="D143" s="628">
        <v>0</v>
      </c>
      <c r="E143" s="637" t="s">
        <v>289</v>
      </c>
      <c r="F143" s="627">
        <v>0</v>
      </c>
      <c r="G143" s="628">
        <v>0</v>
      </c>
      <c r="H143" s="630">
        <v>0</v>
      </c>
      <c r="I143" s="627">
        <v>16.299330000000001</v>
      </c>
      <c r="J143" s="628">
        <v>16.299330000000001</v>
      </c>
      <c r="K143" s="638" t="s">
        <v>301</v>
      </c>
    </row>
    <row r="144" spans="1:11" ht="14.4" customHeight="1" thickBot="1" x14ac:dyDescent="0.35">
      <c r="A144" s="648" t="s">
        <v>425</v>
      </c>
      <c r="B144" s="632">
        <v>0</v>
      </c>
      <c r="C144" s="632">
        <v>0</v>
      </c>
      <c r="D144" s="633">
        <v>0</v>
      </c>
      <c r="E144" s="639">
        <v>1</v>
      </c>
      <c r="F144" s="632">
        <v>0</v>
      </c>
      <c r="G144" s="633">
        <v>0</v>
      </c>
      <c r="H144" s="635">
        <v>0</v>
      </c>
      <c r="I144" s="632">
        <v>21.097560000000001</v>
      </c>
      <c r="J144" s="633">
        <v>21.097560000000001</v>
      </c>
      <c r="K144" s="636" t="s">
        <v>301</v>
      </c>
    </row>
    <row r="145" spans="1:11" ht="14.4" customHeight="1" thickBot="1" x14ac:dyDescent="0.35">
      <c r="A145" s="649" t="s">
        <v>426</v>
      </c>
      <c r="B145" s="627">
        <v>0</v>
      </c>
      <c r="C145" s="627">
        <v>0</v>
      </c>
      <c r="D145" s="628">
        <v>0</v>
      </c>
      <c r="E145" s="629">
        <v>1</v>
      </c>
      <c r="F145" s="627">
        <v>0</v>
      </c>
      <c r="G145" s="628">
        <v>0</v>
      </c>
      <c r="H145" s="630">
        <v>0</v>
      </c>
      <c r="I145" s="627">
        <v>21.097560000000001</v>
      </c>
      <c r="J145" s="628">
        <v>21.097560000000001</v>
      </c>
      <c r="K145" s="638" t="s">
        <v>301</v>
      </c>
    </row>
    <row r="146" spans="1:11" ht="14.4" customHeight="1" thickBot="1" x14ac:dyDescent="0.35">
      <c r="A146" s="646" t="s">
        <v>427</v>
      </c>
      <c r="B146" s="627">
        <v>0</v>
      </c>
      <c r="C146" s="627">
        <v>2.84632</v>
      </c>
      <c r="D146" s="628">
        <v>2.84632</v>
      </c>
      <c r="E146" s="637" t="s">
        <v>289</v>
      </c>
      <c r="F146" s="627">
        <v>0</v>
      </c>
      <c r="G146" s="628">
        <v>0</v>
      </c>
      <c r="H146" s="630">
        <v>0</v>
      </c>
      <c r="I146" s="627">
        <v>4.2930000000000003E-2</v>
      </c>
      <c r="J146" s="628">
        <v>4.2930000000000003E-2</v>
      </c>
      <c r="K146" s="638" t="s">
        <v>289</v>
      </c>
    </row>
    <row r="147" spans="1:11" ht="14.4" customHeight="1" thickBot="1" x14ac:dyDescent="0.35">
      <c r="A147" s="647" t="s">
        <v>428</v>
      </c>
      <c r="B147" s="627">
        <v>0</v>
      </c>
      <c r="C147" s="627">
        <v>2.84632</v>
      </c>
      <c r="D147" s="628">
        <v>2.84632</v>
      </c>
      <c r="E147" s="637" t="s">
        <v>289</v>
      </c>
      <c r="F147" s="627">
        <v>0</v>
      </c>
      <c r="G147" s="628">
        <v>0</v>
      </c>
      <c r="H147" s="630">
        <v>0</v>
      </c>
      <c r="I147" s="627">
        <v>4.2930000000000003E-2</v>
      </c>
      <c r="J147" s="628">
        <v>4.2930000000000003E-2</v>
      </c>
      <c r="K147" s="638" t="s">
        <v>289</v>
      </c>
    </row>
    <row r="148" spans="1:11" ht="14.4" customHeight="1" thickBot="1" x14ac:dyDescent="0.35">
      <c r="A148" s="648" t="s">
        <v>429</v>
      </c>
      <c r="B148" s="632">
        <v>0</v>
      </c>
      <c r="C148" s="632">
        <v>2.84632</v>
      </c>
      <c r="D148" s="633">
        <v>2.84632</v>
      </c>
      <c r="E148" s="634" t="s">
        <v>289</v>
      </c>
      <c r="F148" s="632">
        <v>0</v>
      </c>
      <c r="G148" s="633">
        <v>0</v>
      </c>
      <c r="H148" s="635">
        <v>0</v>
      </c>
      <c r="I148" s="632">
        <v>4.2930000000000003E-2</v>
      </c>
      <c r="J148" s="633">
        <v>4.2930000000000003E-2</v>
      </c>
      <c r="K148" s="636" t="s">
        <v>289</v>
      </c>
    </row>
    <row r="149" spans="1:11" ht="14.4" customHeight="1" thickBot="1" x14ac:dyDescent="0.35">
      <c r="A149" s="649" t="s">
        <v>430</v>
      </c>
      <c r="B149" s="627">
        <v>0</v>
      </c>
      <c r="C149" s="627">
        <v>2.84632</v>
      </c>
      <c r="D149" s="628">
        <v>2.84632</v>
      </c>
      <c r="E149" s="637" t="s">
        <v>289</v>
      </c>
      <c r="F149" s="627">
        <v>0</v>
      </c>
      <c r="G149" s="628">
        <v>0</v>
      </c>
      <c r="H149" s="630">
        <v>0</v>
      </c>
      <c r="I149" s="627">
        <v>4.2930000000000003E-2</v>
      </c>
      <c r="J149" s="628">
        <v>4.2930000000000003E-2</v>
      </c>
      <c r="K149" s="638" t="s">
        <v>289</v>
      </c>
    </row>
    <row r="150" spans="1:11" ht="14.4" customHeight="1" thickBot="1" x14ac:dyDescent="0.35">
      <c r="A150" s="645" t="s">
        <v>431</v>
      </c>
      <c r="B150" s="627">
        <v>55975.388680743898</v>
      </c>
      <c r="C150" s="627">
        <v>58577.900070000003</v>
      </c>
      <c r="D150" s="628">
        <v>2602.5113892561099</v>
      </c>
      <c r="E150" s="629">
        <v>1.0464938511470001</v>
      </c>
      <c r="F150" s="627">
        <v>59474.163704009501</v>
      </c>
      <c r="G150" s="628">
        <v>29737.081852004801</v>
      </c>
      <c r="H150" s="630">
        <v>6142.2674100000004</v>
      </c>
      <c r="I150" s="627">
        <v>33194.392090000001</v>
      </c>
      <c r="J150" s="628">
        <v>3457.3102379952302</v>
      </c>
      <c r="K150" s="631">
        <v>0.55813129639199999</v>
      </c>
    </row>
    <row r="151" spans="1:11" ht="14.4" customHeight="1" thickBot="1" x14ac:dyDescent="0.35">
      <c r="A151" s="646" t="s">
        <v>432</v>
      </c>
      <c r="B151" s="627">
        <v>55975.388680743898</v>
      </c>
      <c r="C151" s="627">
        <v>58479.182789999999</v>
      </c>
      <c r="D151" s="628">
        <v>2503.7941092561</v>
      </c>
      <c r="E151" s="629">
        <v>1.044730267502</v>
      </c>
      <c r="F151" s="627">
        <v>59455.4566901855</v>
      </c>
      <c r="G151" s="628">
        <v>29727.728345092699</v>
      </c>
      <c r="H151" s="630">
        <v>6142.2674100000004</v>
      </c>
      <c r="I151" s="627">
        <v>33185.578090000003</v>
      </c>
      <c r="J151" s="628">
        <v>3457.8497449072702</v>
      </c>
      <c r="K151" s="631">
        <v>0.55815866090999999</v>
      </c>
    </row>
    <row r="152" spans="1:11" ht="14.4" customHeight="1" thickBot="1" x14ac:dyDescent="0.35">
      <c r="A152" s="647" t="s">
        <v>433</v>
      </c>
      <c r="B152" s="627">
        <v>55975.388680743898</v>
      </c>
      <c r="C152" s="627">
        <v>58479.182789999999</v>
      </c>
      <c r="D152" s="628">
        <v>2503.7941092561</v>
      </c>
      <c r="E152" s="629">
        <v>1.044730267502</v>
      </c>
      <c r="F152" s="627">
        <v>59455.4566901855</v>
      </c>
      <c r="G152" s="628">
        <v>29727.728345092699</v>
      </c>
      <c r="H152" s="630">
        <v>6142.2674100000004</v>
      </c>
      <c r="I152" s="627">
        <v>33185.578090000003</v>
      </c>
      <c r="J152" s="628">
        <v>3457.8497449072702</v>
      </c>
      <c r="K152" s="631">
        <v>0.55815866090999999</v>
      </c>
    </row>
    <row r="153" spans="1:11" ht="14.4" customHeight="1" thickBot="1" x14ac:dyDescent="0.35">
      <c r="A153" s="648" t="s">
        <v>434</v>
      </c>
      <c r="B153" s="632">
        <v>76.383075826246994</v>
      </c>
      <c r="C153" s="632">
        <v>0.53991</v>
      </c>
      <c r="D153" s="633">
        <v>-75.843165826247002</v>
      </c>
      <c r="E153" s="639">
        <v>7.0684506239999997E-3</v>
      </c>
      <c r="F153" s="632">
        <v>0.45669018547099999</v>
      </c>
      <c r="G153" s="633">
        <v>0.228345092735</v>
      </c>
      <c r="H153" s="635">
        <v>0.17687</v>
      </c>
      <c r="I153" s="632">
        <v>0.57023999999999997</v>
      </c>
      <c r="J153" s="633">
        <v>0.34189490726400001</v>
      </c>
      <c r="K153" s="640">
        <v>0</v>
      </c>
    </row>
    <row r="154" spans="1:11" ht="14.4" customHeight="1" thickBot="1" x14ac:dyDescent="0.35">
      <c r="A154" s="649" t="s">
        <v>435</v>
      </c>
      <c r="B154" s="627">
        <v>0.649188720464</v>
      </c>
      <c r="C154" s="627">
        <v>5.7029999999999997E-2</v>
      </c>
      <c r="D154" s="628">
        <v>-0.59215872046399998</v>
      </c>
      <c r="E154" s="629">
        <v>8.7848106723999994E-2</v>
      </c>
      <c r="F154" s="627">
        <v>5.2582380115000001E-2</v>
      </c>
      <c r="G154" s="628">
        <v>2.6291190057000001E-2</v>
      </c>
      <c r="H154" s="630">
        <v>4.9590000000000002E-2</v>
      </c>
      <c r="I154" s="627">
        <v>0.10331</v>
      </c>
      <c r="J154" s="628">
        <v>7.7018809941999999E-2</v>
      </c>
      <c r="K154" s="631">
        <v>0</v>
      </c>
    </row>
    <row r="155" spans="1:11" ht="14.4" customHeight="1" thickBot="1" x14ac:dyDescent="0.35">
      <c r="A155" s="649" t="s">
        <v>436</v>
      </c>
      <c r="B155" s="627">
        <v>0</v>
      </c>
      <c r="C155" s="627">
        <v>0.41427999999999998</v>
      </c>
      <c r="D155" s="628">
        <v>0.41427999999999998</v>
      </c>
      <c r="E155" s="637" t="s">
        <v>301</v>
      </c>
      <c r="F155" s="627">
        <v>0.34028465039299999</v>
      </c>
      <c r="G155" s="628">
        <v>0.170142325196</v>
      </c>
      <c r="H155" s="630">
        <v>0</v>
      </c>
      <c r="I155" s="627">
        <v>0</v>
      </c>
      <c r="J155" s="628">
        <v>-0.170142325196</v>
      </c>
      <c r="K155" s="631">
        <v>0</v>
      </c>
    </row>
    <row r="156" spans="1:11" ht="14.4" customHeight="1" thickBot="1" x14ac:dyDescent="0.35">
      <c r="A156" s="649" t="s">
        <v>437</v>
      </c>
      <c r="B156" s="627">
        <v>75.516133172428994</v>
      </c>
      <c r="C156" s="627">
        <v>0</v>
      </c>
      <c r="D156" s="628">
        <v>-75.516133172428994</v>
      </c>
      <c r="E156" s="629">
        <v>0</v>
      </c>
      <c r="F156" s="627">
        <v>0</v>
      </c>
      <c r="G156" s="628">
        <v>0</v>
      </c>
      <c r="H156" s="630">
        <v>0</v>
      </c>
      <c r="I156" s="627">
        <v>0</v>
      </c>
      <c r="J156" s="628">
        <v>0</v>
      </c>
      <c r="K156" s="631">
        <v>0</v>
      </c>
    </row>
    <row r="157" spans="1:11" ht="14.4" customHeight="1" thickBot="1" x14ac:dyDescent="0.35">
      <c r="A157" s="649" t="s">
        <v>438</v>
      </c>
      <c r="B157" s="627">
        <v>0.217753933353</v>
      </c>
      <c r="C157" s="627">
        <v>6.8599999999999994E-2</v>
      </c>
      <c r="D157" s="628">
        <v>-0.14915393335300001</v>
      </c>
      <c r="E157" s="629">
        <v>0.31503449303300002</v>
      </c>
      <c r="F157" s="627">
        <v>6.3823154960999995E-2</v>
      </c>
      <c r="G157" s="628">
        <v>3.1911577480000002E-2</v>
      </c>
      <c r="H157" s="630">
        <v>0.12728</v>
      </c>
      <c r="I157" s="627">
        <v>0.46693000000000001</v>
      </c>
      <c r="J157" s="628">
        <v>0.43501842251900003</v>
      </c>
      <c r="K157" s="631">
        <v>0</v>
      </c>
    </row>
    <row r="158" spans="1:11" ht="14.4" customHeight="1" thickBot="1" x14ac:dyDescent="0.35">
      <c r="A158" s="648" t="s">
        <v>439</v>
      </c>
      <c r="B158" s="632">
        <v>100.00001002686599</v>
      </c>
      <c r="C158" s="632">
        <v>121.66717</v>
      </c>
      <c r="D158" s="633">
        <v>21.667159973134002</v>
      </c>
      <c r="E158" s="639">
        <v>1.2166715780049999</v>
      </c>
      <c r="F158" s="632">
        <v>167</v>
      </c>
      <c r="G158" s="633">
        <v>83.5</v>
      </c>
      <c r="H158" s="635">
        <v>0</v>
      </c>
      <c r="I158" s="632">
        <v>0</v>
      </c>
      <c r="J158" s="633">
        <v>-83.5</v>
      </c>
      <c r="K158" s="640">
        <v>0</v>
      </c>
    </row>
    <row r="159" spans="1:11" ht="14.4" customHeight="1" thickBot="1" x14ac:dyDescent="0.35">
      <c r="A159" s="649" t="s">
        <v>440</v>
      </c>
      <c r="B159" s="627">
        <v>100.00001002686599</v>
      </c>
      <c r="C159" s="627">
        <v>121.66717</v>
      </c>
      <c r="D159" s="628">
        <v>21.667159973134002</v>
      </c>
      <c r="E159" s="629">
        <v>1.2166715780049999</v>
      </c>
      <c r="F159" s="627">
        <v>167</v>
      </c>
      <c r="G159" s="628">
        <v>83.5</v>
      </c>
      <c r="H159" s="630">
        <v>0</v>
      </c>
      <c r="I159" s="627">
        <v>0</v>
      </c>
      <c r="J159" s="628">
        <v>-83.5</v>
      </c>
      <c r="K159" s="631">
        <v>0</v>
      </c>
    </row>
    <row r="160" spans="1:11" ht="14.4" customHeight="1" thickBot="1" x14ac:dyDescent="0.35">
      <c r="A160" s="648" t="s">
        <v>441</v>
      </c>
      <c r="B160" s="632">
        <v>0</v>
      </c>
      <c r="C160" s="632">
        <v>45.041820000000001</v>
      </c>
      <c r="D160" s="633">
        <v>45.041820000000001</v>
      </c>
      <c r="E160" s="634" t="s">
        <v>289</v>
      </c>
      <c r="F160" s="632">
        <v>0</v>
      </c>
      <c r="G160" s="633">
        <v>0</v>
      </c>
      <c r="H160" s="635">
        <v>0</v>
      </c>
      <c r="I160" s="632">
        <v>8.3952000000000009</v>
      </c>
      <c r="J160" s="633">
        <v>8.3952000000000009</v>
      </c>
      <c r="K160" s="636" t="s">
        <v>289</v>
      </c>
    </row>
    <row r="161" spans="1:11" ht="14.4" customHeight="1" thickBot="1" x14ac:dyDescent="0.35">
      <c r="A161" s="649" t="s">
        <v>442</v>
      </c>
      <c r="B161" s="627">
        <v>0</v>
      </c>
      <c r="C161" s="627">
        <v>45.041820000000001</v>
      </c>
      <c r="D161" s="628">
        <v>45.041820000000001</v>
      </c>
      <c r="E161" s="637" t="s">
        <v>289</v>
      </c>
      <c r="F161" s="627">
        <v>0</v>
      </c>
      <c r="G161" s="628">
        <v>0</v>
      </c>
      <c r="H161" s="630">
        <v>0</v>
      </c>
      <c r="I161" s="627">
        <v>8.3952000000000009</v>
      </c>
      <c r="J161" s="628">
        <v>8.3952000000000009</v>
      </c>
      <c r="K161" s="638" t="s">
        <v>289</v>
      </c>
    </row>
    <row r="162" spans="1:11" ht="14.4" customHeight="1" thickBot="1" x14ac:dyDescent="0.35">
      <c r="A162" s="648" t="s">
        <v>443</v>
      </c>
      <c r="B162" s="632">
        <v>55799.005594890798</v>
      </c>
      <c r="C162" s="632">
        <v>54864.114220000003</v>
      </c>
      <c r="D162" s="633">
        <v>-934.89137489079405</v>
      </c>
      <c r="E162" s="639">
        <v>0.98324537570199999</v>
      </c>
      <c r="F162" s="632">
        <v>59288</v>
      </c>
      <c r="G162" s="633">
        <v>29644</v>
      </c>
      <c r="H162" s="635">
        <v>5847.7839400000003</v>
      </c>
      <c r="I162" s="632">
        <v>31736.746449999999</v>
      </c>
      <c r="J162" s="633">
        <v>2092.7464500000001</v>
      </c>
      <c r="K162" s="640">
        <v>0.53529797682400004</v>
      </c>
    </row>
    <row r="163" spans="1:11" ht="14.4" customHeight="1" thickBot="1" x14ac:dyDescent="0.35">
      <c r="A163" s="649" t="s">
        <v>444</v>
      </c>
      <c r="B163" s="627">
        <v>26725.002679679899</v>
      </c>
      <c r="C163" s="627">
        <v>26934.4768</v>
      </c>
      <c r="D163" s="628">
        <v>209.474120320141</v>
      </c>
      <c r="E163" s="629">
        <v>1.0078381328079999</v>
      </c>
      <c r="F163" s="627">
        <v>27981</v>
      </c>
      <c r="G163" s="628">
        <v>13990.5</v>
      </c>
      <c r="H163" s="630">
        <v>2812.7371600000001</v>
      </c>
      <c r="I163" s="627">
        <v>15558.356949999999</v>
      </c>
      <c r="J163" s="628">
        <v>1567.8569500000001</v>
      </c>
      <c r="K163" s="631">
        <v>0.55603291340500005</v>
      </c>
    </row>
    <row r="164" spans="1:11" ht="14.4" customHeight="1" thickBot="1" x14ac:dyDescent="0.35">
      <c r="A164" s="649" t="s">
        <v>445</v>
      </c>
      <c r="B164" s="627">
        <v>29074.002915210898</v>
      </c>
      <c r="C164" s="627">
        <v>27929.637419999999</v>
      </c>
      <c r="D164" s="628">
        <v>-1144.36549521093</v>
      </c>
      <c r="E164" s="629">
        <v>0.96063956179099996</v>
      </c>
      <c r="F164" s="627">
        <v>31307</v>
      </c>
      <c r="G164" s="628">
        <v>15653.5</v>
      </c>
      <c r="H164" s="630">
        <v>3035.0467800000001</v>
      </c>
      <c r="I164" s="627">
        <v>16178.389499999999</v>
      </c>
      <c r="J164" s="628">
        <v>524.88950000000295</v>
      </c>
      <c r="K164" s="631">
        <v>0.51676588302899995</v>
      </c>
    </row>
    <row r="165" spans="1:11" ht="14.4" customHeight="1" thickBot="1" x14ac:dyDescent="0.35">
      <c r="A165" s="648" t="s">
        <v>446</v>
      </c>
      <c r="B165" s="632">
        <v>0</v>
      </c>
      <c r="C165" s="632">
        <v>3447.8196699999999</v>
      </c>
      <c r="D165" s="633">
        <v>3447.8196699999999</v>
      </c>
      <c r="E165" s="634" t="s">
        <v>289</v>
      </c>
      <c r="F165" s="632">
        <v>0</v>
      </c>
      <c r="G165" s="633">
        <v>0</v>
      </c>
      <c r="H165" s="635">
        <v>294.3066</v>
      </c>
      <c r="I165" s="632">
        <v>1439.8661999999999</v>
      </c>
      <c r="J165" s="633">
        <v>1439.8661999999999</v>
      </c>
      <c r="K165" s="636" t="s">
        <v>289</v>
      </c>
    </row>
    <row r="166" spans="1:11" ht="14.4" customHeight="1" thickBot="1" x14ac:dyDescent="0.35">
      <c r="A166" s="649" t="s">
        <v>447</v>
      </c>
      <c r="B166" s="627">
        <v>0</v>
      </c>
      <c r="C166" s="627">
        <v>390.40561000000002</v>
      </c>
      <c r="D166" s="628">
        <v>390.40561000000002</v>
      </c>
      <c r="E166" s="637" t="s">
        <v>289</v>
      </c>
      <c r="F166" s="627">
        <v>0</v>
      </c>
      <c r="G166" s="628">
        <v>0</v>
      </c>
      <c r="H166" s="630">
        <v>0</v>
      </c>
      <c r="I166" s="627">
        <v>1145.2336600000001</v>
      </c>
      <c r="J166" s="628">
        <v>1145.2336600000001</v>
      </c>
      <c r="K166" s="638" t="s">
        <v>289</v>
      </c>
    </row>
    <row r="167" spans="1:11" ht="14.4" customHeight="1" thickBot="1" x14ac:dyDescent="0.35">
      <c r="A167" s="649" t="s">
        <v>448</v>
      </c>
      <c r="B167" s="627">
        <v>0</v>
      </c>
      <c r="C167" s="627">
        <v>3057.4140600000001</v>
      </c>
      <c r="D167" s="628">
        <v>3057.4140600000001</v>
      </c>
      <c r="E167" s="637" t="s">
        <v>289</v>
      </c>
      <c r="F167" s="627">
        <v>0</v>
      </c>
      <c r="G167" s="628">
        <v>0</v>
      </c>
      <c r="H167" s="630">
        <v>294.3066</v>
      </c>
      <c r="I167" s="627">
        <v>294.63254000000001</v>
      </c>
      <c r="J167" s="628">
        <v>294.63254000000001</v>
      </c>
      <c r="K167" s="638" t="s">
        <v>289</v>
      </c>
    </row>
    <row r="168" spans="1:11" ht="14.4" customHeight="1" thickBot="1" x14ac:dyDescent="0.35">
      <c r="A168" s="646" t="s">
        <v>449</v>
      </c>
      <c r="B168" s="627">
        <v>0</v>
      </c>
      <c r="C168" s="627">
        <v>4.9172799999999999</v>
      </c>
      <c r="D168" s="628">
        <v>4.9172799999999999</v>
      </c>
      <c r="E168" s="637" t="s">
        <v>289</v>
      </c>
      <c r="F168" s="627">
        <v>4.5342107109069998</v>
      </c>
      <c r="G168" s="628">
        <v>2.2671053554529998</v>
      </c>
      <c r="H168" s="630">
        <v>0</v>
      </c>
      <c r="I168" s="627">
        <v>0</v>
      </c>
      <c r="J168" s="628">
        <v>-2.2671053554529998</v>
      </c>
      <c r="K168" s="631">
        <v>0</v>
      </c>
    </row>
    <row r="169" spans="1:11" ht="14.4" customHeight="1" thickBot="1" x14ac:dyDescent="0.35">
      <c r="A169" s="652" t="s">
        <v>450</v>
      </c>
      <c r="B169" s="632">
        <v>0</v>
      </c>
      <c r="C169" s="632">
        <v>4.9172799999999999</v>
      </c>
      <c r="D169" s="633">
        <v>4.9172799999999999</v>
      </c>
      <c r="E169" s="634" t="s">
        <v>289</v>
      </c>
      <c r="F169" s="632">
        <v>4.5342107109069998</v>
      </c>
      <c r="G169" s="633">
        <v>2.2671053554529998</v>
      </c>
      <c r="H169" s="635">
        <v>0</v>
      </c>
      <c r="I169" s="632">
        <v>0</v>
      </c>
      <c r="J169" s="633">
        <v>-2.2671053554529998</v>
      </c>
      <c r="K169" s="640">
        <v>0</v>
      </c>
    </row>
    <row r="170" spans="1:11" ht="14.4" customHeight="1" thickBot="1" x14ac:dyDescent="0.35">
      <c r="A170" s="648" t="s">
        <v>451</v>
      </c>
      <c r="B170" s="632">
        <v>0</v>
      </c>
      <c r="C170" s="632">
        <v>-1.3999999999999999E-4</v>
      </c>
      <c r="D170" s="633">
        <v>-1.3999999999999999E-4</v>
      </c>
      <c r="E170" s="634" t="s">
        <v>289</v>
      </c>
      <c r="F170" s="632">
        <v>0</v>
      </c>
      <c r="G170" s="633">
        <v>0</v>
      </c>
      <c r="H170" s="635">
        <v>0</v>
      </c>
      <c r="I170" s="632">
        <v>0</v>
      </c>
      <c r="J170" s="633">
        <v>0</v>
      </c>
      <c r="K170" s="636" t="s">
        <v>289</v>
      </c>
    </row>
    <row r="171" spans="1:11" ht="14.4" customHeight="1" thickBot="1" x14ac:dyDescent="0.35">
      <c r="A171" s="649" t="s">
        <v>452</v>
      </c>
      <c r="B171" s="627">
        <v>0</v>
      </c>
      <c r="C171" s="627">
        <v>-1.3999999999999999E-4</v>
      </c>
      <c r="D171" s="628">
        <v>-1.3999999999999999E-4</v>
      </c>
      <c r="E171" s="637" t="s">
        <v>289</v>
      </c>
      <c r="F171" s="627">
        <v>0</v>
      </c>
      <c r="G171" s="628">
        <v>0</v>
      </c>
      <c r="H171" s="630">
        <v>0</v>
      </c>
      <c r="I171" s="627">
        <v>0</v>
      </c>
      <c r="J171" s="628">
        <v>0</v>
      </c>
      <c r="K171" s="638" t="s">
        <v>289</v>
      </c>
    </row>
    <row r="172" spans="1:11" ht="14.4" customHeight="1" thickBot="1" x14ac:dyDescent="0.35">
      <c r="A172" s="648" t="s">
        <v>453</v>
      </c>
      <c r="B172" s="632">
        <v>0</v>
      </c>
      <c r="C172" s="632">
        <v>4.9174199999999999</v>
      </c>
      <c r="D172" s="633">
        <v>4.9174199999999999</v>
      </c>
      <c r="E172" s="634" t="s">
        <v>301</v>
      </c>
      <c r="F172" s="632">
        <v>4.5342107109069998</v>
      </c>
      <c r="G172" s="633">
        <v>2.2671053554529998</v>
      </c>
      <c r="H172" s="635">
        <v>0</v>
      </c>
      <c r="I172" s="632">
        <v>0</v>
      </c>
      <c r="J172" s="633">
        <v>-2.2671053554529998</v>
      </c>
      <c r="K172" s="640">
        <v>0</v>
      </c>
    </row>
    <row r="173" spans="1:11" ht="14.4" customHeight="1" thickBot="1" x14ac:dyDescent="0.35">
      <c r="A173" s="649" t="s">
        <v>454</v>
      </c>
      <c r="B173" s="627">
        <v>0</v>
      </c>
      <c r="C173" s="627">
        <v>4.9174199999999999</v>
      </c>
      <c r="D173" s="628">
        <v>4.9174199999999999</v>
      </c>
      <c r="E173" s="637" t="s">
        <v>301</v>
      </c>
      <c r="F173" s="627">
        <v>4.5342107109069998</v>
      </c>
      <c r="G173" s="628">
        <v>2.2671053554529998</v>
      </c>
      <c r="H173" s="630">
        <v>0</v>
      </c>
      <c r="I173" s="627">
        <v>0</v>
      </c>
      <c r="J173" s="628">
        <v>-2.2671053554529998</v>
      </c>
      <c r="K173" s="631">
        <v>0</v>
      </c>
    </row>
    <row r="174" spans="1:11" ht="14.4" customHeight="1" thickBot="1" x14ac:dyDescent="0.35">
      <c r="A174" s="646" t="s">
        <v>455</v>
      </c>
      <c r="B174" s="627">
        <v>0</v>
      </c>
      <c r="C174" s="627">
        <v>93.8</v>
      </c>
      <c r="D174" s="628">
        <v>93.8</v>
      </c>
      <c r="E174" s="637" t="s">
        <v>301</v>
      </c>
      <c r="F174" s="627">
        <v>14.172803113162001</v>
      </c>
      <c r="G174" s="628">
        <v>7.0864015565810003</v>
      </c>
      <c r="H174" s="630">
        <v>0</v>
      </c>
      <c r="I174" s="627">
        <v>8.8140000000000001</v>
      </c>
      <c r="J174" s="628">
        <v>1.7275984434180001</v>
      </c>
      <c r="K174" s="631">
        <v>0.62189532512500001</v>
      </c>
    </row>
    <row r="175" spans="1:11" ht="14.4" customHeight="1" thickBot="1" x14ac:dyDescent="0.35">
      <c r="A175" s="652" t="s">
        <v>456</v>
      </c>
      <c r="B175" s="632">
        <v>0</v>
      </c>
      <c r="C175" s="632">
        <v>93.8</v>
      </c>
      <c r="D175" s="633">
        <v>93.8</v>
      </c>
      <c r="E175" s="634" t="s">
        <v>301</v>
      </c>
      <c r="F175" s="632">
        <v>14.172803113162001</v>
      </c>
      <c r="G175" s="633">
        <v>7.0864015565810003</v>
      </c>
      <c r="H175" s="635">
        <v>0</v>
      </c>
      <c r="I175" s="632">
        <v>8.8140000000000001</v>
      </c>
      <c r="J175" s="633">
        <v>1.7275984434180001</v>
      </c>
      <c r="K175" s="640">
        <v>0.62189532512500001</v>
      </c>
    </row>
    <row r="176" spans="1:11" ht="14.4" customHeight="1" thickBot="1" x14ac:dyDescent="0.35">
      <c r="A176" s="648" t="s">
        <v>457</v>
      </c>
      <c r="B176" s="632">
        <v>0</v>
      </c>
      <c r="C176" s="632">
        <v>93.8</v>
      </c>
      <c r="D176" s="633">
        <v>93.8</v>
      </c>
      <c r="E176" s="634" t="s">
        <v>301</v>
      </c>
      <c r="F176" s="632">
        <v>14.172803113162001</v>
      </c>
      <c r="G176" s="633">
        <v>7.0864015565810003</v>
      </c>
      <c r="H176" s="635">
        <v>0</v>
      </c>
      <c r="I176" s="632">
        <v>8.8140000000000001</v>
      </c>
      <c r="J176" s="633">
        <v>1.7275984434180001</v>
      </c>
      <c r="K176" s="640">
        <v>0.62189532512500001</v>
      </c>
    </row>
    <row r="177" spans="1:11" ht="14.4" customHeight="1" thickBot="1" x14ac:dyDescent="0.35">
      <c r="A177" s="649" t="s">
        <v>458</v>
      </c>
      <c r="B177" s="627">
        <v>0</v>
      </c>
      <c r="C177" s="627">
        <v>93.8</v>
      </c>
      <c r="D177" s="628">
        <v>93.8</v>
      </c>
      <c r="E177" s="637" t="s">
        <v>301</v>
      </c>
      <c r="F177" s="627">
        <v>14.172803113162001</v>
      </c>
      <c r="G177" s="628">
        <v>7.0864015565810003</v>
      </c>
      <c r="H177" s="630">
        <v>0</v>
      </c>
      <c r="I177" s="627">
        <v>8.8140000000000001</v>
      </c>
      <c r="J177" s="628">
        <v>1.7275984434180001</v>
      </c>
      <c r="K177" s="631">
        <v>0.62189532512500001</v>
      </c>
    </row>
    <row r="178" spans="1:11" ht="14.4" customHeight="1" thickBot="1" x14ac:dyDescent="0.35">
      <c r="A178" s="645" t="s">
        <v>459</v>
      </c>
      <c r="B178" s="627">
        <v>5710.2391833633901</v>
      </c>
      <c r="C178" s="627">
        <v>7253.6823100000001</v>
      </c>
      <c r="D178" s="628">
        <v>1543.44312663661</v>
      </c>
      <c r="E178" s="629">
        <v>1.270293953908</v>
      </c>
      <c r="F178" s="627">
        <v>5764.3193937791402</v>
      </c>
      <c r="G178" s="628">
        <v>2882.1596968895701</v>
      </c>
      <c r="H178" s="630">
        <v>687.53259000000003</v>
      </c>
      <c r="I178" s="627">
        <v>4160.1557000000003</v>
      </c>
      <c r="J178" s="628">
        <v>1277.9960031104299</v>
      </c>
      <c r="K178" s="631">
        <v>0.72170804839299996</v>
      </c>
    </row>
    <row r="179" spans="1:11" ht="14.4" customHeight="1" thickBot="1" x14ac:dyDescent="0.35">
      <c r="A179" s="650" t="s">
        <v>460</v>
      </c>
      <c r="B179" s="632">
        <v>5710.2391833633901</v>
      </c>
      <c r="C179" s="632">
        <v>7253.6823100000001</v>
      </c>
      <c r="D179" s="633">
        <v>1543.44312663661</v>
      </c>
      <c r="E179" s="639">
        <v>1.270293953908</v>
      </c>
      <c r="F179" s="632">
        <v>5764.3193937791402</v>
      </c>
      <c r="G179" s="633">
        <v>2882.1596968895701</v>
      </c>
      <c r="H179" s="635">
        <v>687.53259000000003</v>
      </c>
      <c r="I179" s="632">
        <v>4160.1557000000003</v>
      </c>
      <c r="J179" s="633">
        <v>1277.9960031104299</v>
      </c>
      <c r="K179" s="640">
        <v>0.72170804839299996</v>
      </c>
    </row>
    <row r="180" spans="1:11" ht="14.4" customHeight="1" thickBot="1" x14ac:dyDescent="0.35">
      <c r="A180" s="652" t="s">
        <v>41</v>
      </c>
      <c r="B180" s="632">
        <v>5710.2391833633901</v>
      </c>
      <c r="C180" s="632">
        <v>7253.6823100000001</v>
      </c>
      <c r="D180" s="633">
        <v>1543.44312663661</v>
      </c>
      <c r="E180" s="639">
        <v>1.270293953908</v>
      </c>
      <c r="F180" s="632">
        <v>5764.3193937791402</v>
      </c>
      <c r="G180" s="633">
        <v>2882.1596968895701</v>
      </c>
      <c r="H180" s="635">
        <v>687.53259000000003</v>
      </c>
      <c r="I180" s="632">
        <v>4160.1557000000003</v>
      </c>
      <c r="J180" s="633">
        <v>1277.9960031104299</v>
      </c>
      <c r="K180" s="640">
        <v>0.72170804839299996</v>
      </c>
    </row>
    <row r="181" spans="1:11" ht="14.4" customHeight="1" thickBot="1" x14ac:dyDescent="0.35">
      <c r="A181" s="651" t="s">
        <v>461</v>
      </c>
      <c r="B181" s="627">
        <v>0</v>
      </c>
      <c r="C181" s="627">
        <v>0</v>
      </c>
      <c r="D181" s="628">
        <v>0</v>
      </c>
      <c r="E181" s="629">
        <v>1</v>
      </c>
      <c r="F181" s="627">
        <v>370.14362211741002</v>
      </c>
      <c r="G181" s="628">
        <v>185.07181105870501</v>
      </c>
      <c r="H181" s="630">
        <v>15.992139999999999</v>
      </c>
      <c r="I181" s="627">
        <v>159.70366999999999</v>
      </c>
      <c r="J181" s="628">
        <v>-25.368141058705</v>
      </c>
      <c r="K181" s="631">
        <v>0.43146406004799998</v>
      </c>
    </row>
    <row r="182" spans="1:11" ht="14.4" customHeight="1" thickBot="1" x14ac:dyDescent="0.35">
      <c r="A182" s="649" t="s">
        <v>462</v>
      </c>
      <c r="B182" s="627">
        <v>0</v>
      </c>
      <c r="C182" s="627">
        <v>0</v>
      </c>
      <c r="D182" s="628">
        <v>0</v>
      </c>
      <c r="E182" s="629">
        <v>1</v>
      </c>
      <c r="F182" s="627">
        <v>370.14362211741002</v>
      </c>
      <c r="G182" s="628">
        <v>185.07181105870501</v>
      </c>
      <c r="H182" s="630">
        <v>15.992139999999999</v>
      </c>
      <c r="I182" s="627">
        <v>159.70366999999999</v>
      </c>
      <c r="J182" s="628">
        <v>-25.368141058705</v>
      </c>
      <c r="K182" s="631">
        <v>0.43146406004799998</v>
      </c>
    </row>
    <row r="183" spans="1:11" ht="14.4" customHeight="1" thickBot="1" x14ac:dyDescent="0.35">
      <c r="A183" s="648" t="s">
        <v>463</v>
      </c>
      <c r="B183" s="632">
        <v>65.082376034798003</v>
      </c>
      <c r="C183" s="632">
        <v>59.03</v>
      </c>
      <c r="D183" s="633">
        <v>-6.0523760347979998</v>
      </c>
      <c r="E183" s="639">
        <v>0.90700437808900003</v>
      </c>
      <c r="F183" s="632">
        <v>63.766530743296002</v>
      </c>
      <c r="G183" s="633">
        <v>31.883265371648001</v>
      </c>
      <c r="H183" s="635">
        <v>5.0250000000000004</v>
      </c>
      <c r="I183" s="632">
        <v>29.67</v>
      </c>
      <c r="J183" s="633">
        <v>-2.2132653716480002</v>
      </c>
      <c r="K183" s="640">
        <v>0.46529111203200002</v>
      </c>
    </row>
    <row r="184" spans="1:11" ht="14.4" customHeight="1" thickBot="1" x14ac:dyDescent="0.35">
      <c r="A184" s="649" t="s">
        <v>464</v>
      </c>
      <c r="B184" s="627">
        <v>65.082376034798003</v>
      </c>
      <c r="C184" s="627">
        <v>59.03</v>
      </c>
      <c r="D184" s="628">
        <v>-6.0523760347979998</v>
      </c>
      <c r="E184" s="629">
        <v>0.90700437808900003</v>
      </c>
      <c r="F184" s="627">
        <v>63.766530743296002</v>
      </c>
      <c r="G184" s="628">
        <v>31.883265371648001</v>
      </c>
      <c r="H184" s="630">
        <v>5.0250000000000004</v>
      </c>
      <c r="I184" s="627">
        <v>29.67</v>
      </c>
      <c r="J184" s="628">
        <v>-2.2132653716480002</v>
      </c>
      <c r="K184" s="631">
        <v>0.46529111203200002</v>
      </c>
    </row>
    <row r="185" spans="1:11" ht="14.4" customHeight="1" thickBot="1" x14ac:dyDescent="0.35">
      <c r="A185" s="648" t="s">
        <v>465</v>
      </c>
      <c r="B185" s="632">
        <v>165.015191100767</v>
      </c>
      <c r="C185" s="632">
        <v>129.59556000000001</v>
      </c>
      <c r="D185" s="633">
        <v>-35.419631100765997</v>
      </c>
      <c r="E185" s="639">
        <v>0.78535533083599995</v>
      </c>
      <c r="F185" s="632">
        <v>152.450004518464</v>
      </c>
      <c r="G185" s="633">
        <v>76.225002259231005</v>
      </c>
      <c r="H185" s="635">
        <v>11.94422</v>
      </c>
      <c r="I185" s="632">
        <v>70.620580000000004</v>
      </c>
      <c r="J185" s="633">
        <v>-5.6044222592309998</v>
      </c>
      <c r="K185" s="640">
        <v>0.46323763795900003</v>
      </c>
    </row>
    <row r="186" spans="1:11" ht="14.4" customHeight="1" thickBot="1" x14ac:dyDescent="0.35">
      <c r="A186" s="649" t="s">
        <v>466</v>
      </c>
      <c r="B186" s="627">
        <v>124.677433413537</v>
      </c>
      <c r="C186" s="627">
        <v>105.08</v>
      </c>
      <c r="D186" s="628">
        <v>-19.597433413535999</v>
      </c>
      <c r="E186" s="629">
        <v>0.84281491143200005</v>
      </c>
      <c r="F186" s="627">
        <v>122.72696649975001</v>
      </c>
      <c r="G186" s="628">
        <v>61.363483249874001</v>
      </c>
      <c r="H186" s="630">
        <v>10.73</v>
      </c>
      <c r="I186" s="627">
        <v>60.31</v>
      </c>
      <c r="J186" s="628">
        <v>-1.0534832498740001</v>
      </c>
      <c r="K186" s="631">
        <v>0.49141604098899999</v>
      </c>
    </row>
    <row r="187" spans="1:11" ht="14.4" customHeight="1" thickBot="1" x14ac:dyDescent="0.35">
      <c r="A187" s="649" t="s">
        <v>467</v>
      </c>
      <c r="B187" s="627">
        <v>19.560651888146001</v>
      </c>
      <c r="C187" s="627">
        <v>4.4824000000000002</v>
      </c>
      <c r="D187" s="628">
        <v>-15.078251888145999</v>
      </c>
      <c r="E187" s="629">
        <v>0.229153917038</v>
      </c>
      <c r="F187" s="627">
        <v>8.2749822244410005</v>
      </c>
      <c r="G187" s="628">
        <v>4.1374911122200002</v>
      </c>
      <c r="H187" s="630">
        <v>0</v>
      </c>
      <c r="I187" s="627">
        <v>0</v>
      </c>
      <c r="J187" s="628">
        <v>-4.1374911122200002</v>
      </c>
      <c r="K187" s="631">
        <v>0</v>
      </c>
    </row>
    <row r="188" spans="1:11" ht="14.4" customHeight="1" thickBot="1" x14ac:dyDescent="0.35">
      <c r="A188" s="649" t="s">
        <v>468</v>
      </c>
      <c r="B188" s="627">
        <v>20.777105799084001</v>
      </c>
      <c r="C188" s="627">
        <v>20.033159999999999</v>
      </c>
      <c r="D188" s="628">
        <v>-0.74394579908400005</v>
      </c>
      <c r="E188" s="629">
        <v>0.96419396395800006</v>
      </c>
      <c r="F188" s="627">
        <v>21.448055794272999</v>
      </c>
      <c r="G188" s="628">
        <v>10.724027897136001</v>
      </c>
      <c r="H188" s="630">
        <v>1.2142200000000001</v>
      </c>
      <c r="I188" s="627">
        <v>10.31058</v>
      </c>
      <c r="J188" s="628">
        <v>-0.413447897136</v>
      </c>
      <c r="K188" s="631">
        <v>0.48072329253899998</v>
      </c>
    </row>
    <row r="189" spans="1:11" ht="14.4" customHeight="1" thickBot="1" x14ac:dyDescent="0.35">
      <c r="A189" s="648" t="s">
        <v>469</v>
      </c>
      <c r="B189" s="632">
        <v>745.22421780198897</v>
      </c>
      <c r="C189" s="632">
        <v>770.65670999999998</v>
      </c>
      <c r="D189" s="633">
        <v>25.432492198009999</v>
      </c>
      <c r="E189" s="639">
        <v>1.034127302348</v>
      </c>
      <c r="F189" s="632">
        <v>754.10544010359001</v>
      </c>
      <c r="G189" s="633">
        <v>377.05272005179501</v>
      </c>
      <c r="H189" s="635">
        <v>71.140079999999998</v>
      </c>
      <c r="I189" s="632">
        <v>451.43763000000001</v>
      </c>
      <c r="J189" s="633">
        <v>74.384909948205006</v>
      </c>
      <c r="K189" s="640">
        <v>0.59863993281600003</v>
      </c>
    </row>
    <row r="190" spans="1:11" ht="14.4" customHeight="1" thickBot="1" x14ac:dyDescent="0.35">
      <c r="A190" s="649" t="s">
        <v>470</v>
      </c>
      <c r="B190" s="627">
        <v>745.22421780198897</v>
      </c>
      <c r="C190" s="627">
        <v>770.65670999999998</v>
      </c>
      <c r="D190" s="628">
        <v>25.432492198009999</v>
      </c>
      <c r="E190" s="629">
        <v>1.034127302348</v>
      </c>
      <c r="F190" s="627">
        <v>754.10544010359001</v>
      </c>
      <c r="G190" s="628">
        <v>377.05272005179501</v>
      </c>
      <c r="H190" s="630">
        <v>71.140079999999998</v>
      </c>
      <c r="I190" s="627">
        <v>451.43763000000001</v>
      </c>
      <c r="J190" s="628">
        <v>74.384909948205006</v>
      </c>
      <c r="K190" s="631">
        <v>0.59863993281600003</v>
      </c>
    </row>
    <row r="191" spans="1:11" ht="14.4" customHeight="1" thickBot="1" x14ac:dyDescent="0.35">
      <c r="A191" s="648" t="s">
        <v>471</v>
      </c>
      <c r="B191" s="632">
        <v>0</v>
      </c>
      <c r="C191" s="632">
        <v>1.0069999999999999</v>
      </c>
      <c r="D191" s="633">
        <v>1.0069999999999999</v>
      </c>
      <c r="E191" s="634" t="s">
        <v>301</v>
      </c>
      <c r="F191" s="632">
        <v>0</v>
      </c>
      <c r="G191" s="633">
        <v>0</v>
      </c>
      <c r="H191" s="635">
        <v>5.6000000000000001E-2</v>
      </c>
      <c r="I191" s="632">
        <v>1.0960000000000001</v>
      </c>
      <c r="J191" s="633">
        <v>1.0960000000000001</v>
      </c>
      <c r="K191" s="636" t="s">
        <v>301</v>
      </c>
    </row>
    <row r="192" spans="1:11" ht="14.4" customHeight="1" thickBot="1" x14ac:dyDescent="0.35">
      <c r="A192" s="649" t="s">
        <v>472</v>
      </c>
      <c r="B192" s="627">
        <v>0</v>
      </c>
      <c r="C192" s="627">
        <v>1.0069999999999999</v>
      </c>
      <c r="D192" s="628">
        <v>1.0069999999999999</v>
      </c>
      <c r="E192" s="637" t="s">
        <v>301</v>
      </c>
      <c r="F192" s="627">
        <v>0</v>
      </c>
      <c r="G192" s="628">
        <v>0</v>
      </c>
      <c r="H192" s="630">
        <v>5.6000000000000001E-2</v>
      </c>
      <c r="I192" s="627">
        <v>1.0960000000000001</v>
      </c>
      <c r="J192" s="628">
        <v>1.0960000000000001</v>
      </c>
      <c r="K192" s="638" t="s">
        <v>301</v>
      </c>
    </row>
    <row r="193" spans="1:11" ht="14.4" customHeight="1" thickBot="1" x14ac:dyDescent="0.35">
      <c r="A193" s="648" t="s">
        <v>473</v>
      </c>
      <c r="B193" s="632">
        <v>318.44877067894498</v>
      </c>
      <c r="C193" s="632">
        <v>304.68792999999999</v>
      </c>
      <c r="D193" s="633">
        <v>-13.760840678944</v>
      </c>
      <c r="E193" s="639">
        <v>0.95678789825499999</v>
      </c>
      <c r="F193" s="632">
        <v>365.37283679751999</v>
      </c>
      <c r="G193" s="633">
        <v>182.68641839876</v>
      </c>
      <c r="H193" s="635">
        <v>30.20654</v>
      </c>
      <c r="I193" s="632">
        <v>147.17033000000001</v>
      </c>
      <c r="J193" s="633">
        <v>-35.516088398759003</v>
      </c>
      <c r="K193" s="640">
        <v>0.40279494034000002</v>
      </c>
    </row>
    <row r="194" spans="1:11" ht="14.4" customHeight="1" thickBot="1" x14ac:dyDescent="0.35">
      <c r="A194" s="649" t="s">
        <v>474</v>
      </c>
      <c r="B194" s="627">
        <v>318.44877067894498</v>
      </c>
      <c r="C194" s="627">
        <v>304.68792999999999</v>
      </c>
      <c r="D194" s="628">
        <v>-13.760840678944</v>
      </c>
      <c r="E194" s="629">
        <v>0.95678789825499999</v>
      </c>
      <c r="F194" s="627">
        <v>365.37283679751999</v>
      </c>
      <c r="G194" s="628">
        <v>182.68641839876</v>
      </c>
      <c r="H194" s="630">
        <v>30.20654</v>
      </c>
      <c r="I194" s="627">
        <v>147.17033000000001</v>
      </c>
      <c r="J194" s="628">
        <v>-35.516088398759003</v>
      </c>
      <c r="K194" s="631">
        <v>0.40279494034000002</v>
      </c>
    </row>
    <row r="195" spans="1:11" ht="14.4" customHeight="1" thickBot="1" x14ac:dyDescent="0.35">
      <c r="A195" s="648" t="s">
        <v>475</v>
      </c>
      <c r="B195" s="632">
        <v>0</v>
      </c>
      <c r="C195" s="632">
        <v>1662.9827</v>
      </c>
      <c r="D195" s="633">
        <v>1662.9827</v>
      </c>
      <c r="E195" s="634" t="s">
        <v>301</v>
      </c>
      <c r="F195" s="632">
        <v>0</v>
      </c>
      <c r="G195" s="633">
        <v>0</v>
      </c>
      <c r="H195" s="635">
        <v>157.6045</v>
      </c>
      <c r="I195" s="632">
        <v>1081.5487000000001</v>
      </c>
      <c r="J195" s="633">
        <v>1081.5487000000001</v>
      </c>
      <c r="K195" s="636" t="s">
        <v>301</v>
      </c>
    </row>
    <row r="196" spans="1:11" ht="14.4" customHeight="1" thickBot="1" x14ac:dyDescent="0.35">
      <c r="A196" s="649" t="s">
        <v>476</v>
      </c>
      <c r="B196" s="627">
        <v>0</v>
      </c>
      <c r="C196" s="627">
        <v>1662.9827</v>
      </c>
      <c r="D196" s="628">
        <v>1662.9827</v>
      </c>
      <c r="E196" s="637" t="s">
        <v>301</v>
      </c>
      <c r="F196" s="627">
        <v>0</v>
      </c>
      <c r="G196" s="628">
        <v>0</v>
      </c>
      <c r="H196" s="630">
        <v>157.6045</v>
      </c>
      <c r="I196" s="627">
        <v>1081.5487000000001</v>
      </c>
      <c r="J196" s="628">
        <v>1081.5487000000001</v>
      </c>
      <c r="K196" s="638" t="s">
        <v>301</v>
      </c>
    </row>
    <row r="197" spans="1:11" ht="14.4" customHeight="1" thickBot="1" x14ac:dyDescent="0.35">
      <c r="A197" s="648" t="s">
        <v>477</v>
      </c>
      <c r="B197" s="632">
        <v>4416.4686277469</v>
      </c>
      <c r="C197" s="632">
        <v>4325.7224100000003</v>
      </c>
      <c r="D197" s="633">
        <v>-90.746217746894999</v>
      </c>
      <c r="E197" s="639">
        <v>0.97945276523000002</v>
      </c>
      <c r="F197" s="632">
        <v>4058.4809594988601</v>
      </c>
      <c r="G197" s="633">
        <v>2029.2404797494301</v>
      </c>
      <c r="H197" s="635">
        <v>395.56411000000003</v>
      </c>
      <c r="I197" s="632">
        <v>2218.90879</v>
      </c>
      <c r="J197" s="633">
        <v>189.66831025057201</v>
      </c>
      <c r="K197" s="640">
        <v>0.546733817934</v>
      </c>
    </row>
    <row r="198" spans="1:11" ht="14.4" customHeight="1" thickBot="1" x14ac:dyDescent="0.35">
      <c r="A198" s="649" t="s">
        <v>478</v>
      </c>
      <c r="B198" s="627">
        <v>4416.4686277469</v>
      </c>
      <c r="C198" s="627">
        <v>4325.7224100000003</v>
      </c>
      <c r="D198" s="628">
        <v>-90.746217746894999</v>
      </c>
      <c r="E198" s="629">
        <v>0.97945276523000002</v>
      </c>
      <c r="F198" s="627">
        <v>4058.4809594988601</v>
      </c>
      <c r="G198" s="628">
        <v>2029.2404797494301</v>
      </c>
      <c r="H198" s="630">
        <v>395.56411000000003</v>
      </c>
      <c r="I198" s="627">
        <v>2218.90879</v>
      </c>
      <c r="J198" s="628">
        <v>189.66831025057201</v>
      </c>
      <c r="K198" s="631">
        <v>0.546733817934</v>
      </c>
    </row>
    <row r="199" spans="1:11" ht="14.4" customHeight="1" thickBot="1" x14ac:dyDescent="0.35">
      <c r="A199" s="645" t="s">
        <v>479</v>
      </c>
      <c r="B199" s="627">
        <v>0</v>
      </c>
      <c r="C199" s="627">
        <v>3.3210000000000003E-2</v>
      </c>
      <c r="D199" s="628">
        <v>3.3210000000000003E-2</v>
      </c>
      <c r="E199" s="637" t="s">
        <v>301</v>
      </c>
      <c r="F199" s="627">
        <v>0</v>
      </c>
      <c r="G199" s="628">
        <v>0</v>
      </c>
      <c r="H199" s="630">
        <v>0</v>
      </c>
      <c r="I199" s="627">
        <v>0</v>
      </c>
      <c r="J199" s="628">
        <v>0</v>
      </c>
      <c r="K199" s="631">
        <v>0</v>
      </c>
    </row>
    <row r="200" spans="1:11" ht="14.4" customHeight="1" thickBot="1" x14ac:dyDescent="0.35">
      <c r="A200" s="650" t="s">
        <v>480</v>
      </c>
      <c r="B200" s="632">
        <v>0</v>
      </c>
      <c r="C200" s="632">
        <v>3.3210000000000003E-2</v>
      </c>
      <c r="D200" s="633">
        <v>3.3210000000000003E-2</v>
      </c>
      <c r="E200" s="634" t="s">
        <v>301</v>
      </c>
      <c r="F200" s="632">
        <v>0</v>
      </c>
      <c r="G200" s="633">
        <v>0</v>
      </c>
      <c r="H200" s="635">
        <v>0</v>
      </c>
      <c r="I200" s="632">
        <v>0</v>
      </c>
      <c r="J200" s="633">
        <v>0</v>
      </c>
      <c r="K200" s="640">
        <v>0</v>
      </c>
    </row>
    <row r="201" spans="1:11" ht="14.4" customHeight="1" thickBot="1" x14ac:dyDescent="0.35">
      <c r="A201" s="652" t="s">
        <v>481</v>
      </c>
      <c r="B201" s="632">
        <v>0</v>
      </c>
      <c r="C201" s="632">
        <v>3.3210000000000003E-2</v>
      </c>
      <c r="D201" s="633">
        <v>3.3210000000000003E-2</v>
      </c>
      <c r="E201" s="634" t="s">
        <v>301</v>
      </c>
      <c r="F201" s="632">
        <v>0</v>
      </c>
      <c r="G201" s="633">
        <v>0</v>
      </c>
      <c r="H201" s="635">
        <v>0</v>
      </c>
      <c r="I201" s="632">
        <v>0</v>
      </c>
      <c r="J201" s="633">
        <v>0</v>
      </c>
      <c r="K201" s="640">
        <v>0</v>
      </c>
    </row>
    <row r="202" spans="1:11" ht="14.4" customHeight="1" thickBot="1" x14ac:dyDescent="0.35">
      <c r="A202" s="648" t="s">
        <v>482</v>
      </c>
      <c r="B202" s="632">
        <v>0</v>
      </c>
      <c r="C202" s="632">
        <v>3.3210000000000003E-2</v>
      </c>
      <c r="D202" s="633">
        <v>3.3210000000000003E-2</v>
      </c>
      <c r="E202" s="634" t="s">
        <v>301</v>
      </c>
      <c r="F202" s="632">
        <v>0</v>
      </c>
      <c r="G202" s="633">
        <v>0</v>
      </c>
      <c r="H202" s="635">
        <v>0</v>
      </c>
      <c r="I202" s="632">
        <v>0</v>
      </c>
      <c r="J202" s="633">
        <v>0</v>
      </c>
      <c r="K202" s="640">
        <v>0</v>
      </c>
    </row>
    <row r="203" spans="1:11" ht="14.4" customHeight="1" thickBot="1" x14ac:dyDescent="0.35">
      <c r="A203" s="649" t="s">
        <v>483</v>
      </c>
      <c r="B203" s="627">
        <v>0</v>
      </c>
      <c r="C203" s="627">
        <v>3.3210000000000003E-2</v>
      </c>
      <c r="D203" s="628">
        <v>3.3210000000000003E-2</v>
      </c>
      <c r="E203" s="637" t="s">
        <v>301</v>
      </c>
      <c r="F203" s="627">
        <v>0</v>
      </c>
      <c r="G203" s="628">
        <v>0</v>
      </c>
      <c r="H203" s="630">
        <v>0</v>
      </c>
      <c r="I203" s="627">
        <v>0</v>
      </c>
      <c r="J203" s="628">
        <v>0</v>
      </c>
      <c r="K203" s="631">
        <v>0</v>
      </c>
    </row>
    <row r="204" spans="1:11" ht="14.4" customHeight="1" thickBot="1" x14ac:dyDescent="0.35">
      <c r="A204" s="653"/>
      <c r="B204" s="627">
        <v>-11035.9556798782</v>
      </c>
      <c r="C204" s="627">
        <v>-16354.16488</v>
      </c>
      <c r="D204" s="628">
        <v>-5318.2092001218298</v>
      </c>
      <c r="E204" s="629">
        <v>1.4818983832829999</v>
      </c>
      <c r="F204" s="627">
        <v>-17821.768997850999</v>
      </c>
      <c r="G204" s="628">
        <v>-8910.8844989254794</v>
      </c>
      <c r="H204" s="630">
        <v>3.7269099999990001</v>
      </c>
      <c r="I204" s="627">
        <v>-6417.4792600000101</v>
      </c>
      <c r="J204" s="628">
        <v>2493.4052389254698</v>
      </c>
      <c r="K204" s="631">
        <v>0.36009215812200002</v>
      </c>
    </row>
    <row r="205" spans="1:11" ht="14.4" customHeight="1" thickBot="1" x14ac:dyDescent="0.35">
      <c r="A205" s="654" t="s">
        <v>53</v>
      </c>
      <c r="B205" s="641">
        <v>-11035.9556798782</v>
      </c>
      <c r="C205" s="641">
        <v>-16354.16488</v>
      </c>
      <c r="D205" s="642">
        <v>-5318.2092001218198</v>
      </c>
      <c r="E205" s="643" t="s">
        <v>301</v>
      </c>
      <c r="F205" s="641">
        <v>-17821.768997850999</v>
      </c>
      <c r="G205" s="642">
        <v>-8910.8844989254903</v>
      </c>
      <c r="H205" s="641">
        <v>3.7269099999990001</v>
      </c>
      <c r="I205" s="641">
        <v>-6417.4792600000101</v>
      </c>
      <c r="J205" s="642">
        <v>2493.4052389254798</v>
      </c>
      <c r="K205" s="644">
        <v>0.36009215812200002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26" t="s">
        <v>158</v>
      </c>
      <c r="B1" s="527"/>
      <c r="C1" s="527"/>
      <c r="D1" s="527"/>
      <c r="E1" s="527"/>
      <c r="F1" s="527"/>
      <c r="G1" s="497"/>
      <c r="H1" s="528"/>
      <c r="I1" s="528"/>
    </row>
    <row r="2" spans="1:10" ht="14.4" customHeight="1" thickBot="1" x14ac:dyDescent="0.35">
      <c r="A2" s="351" t="s">
        <v>288</v>
      </c>
      <c r="B2" s="309"/>
      <c r="C2" s="309"/>
      <c r="D2" s="309"/>
      <c r="E2" s="309"/>
      <c r="F2" s="309"/>
    </row>
    <row r="3" spans="1:10" ht="14.4" customHeight="1" thickBot="1" x14ac:dyDescent="0.35">
      <c r="A3" s="351"/>
      <c r="B3" s="452"/>
      <c r="C3" s="451">
        <v>2015</v>
      </c>
      <c r="D3" s="396">
        <v>2016</v>
      </c>
      <c r="E3" s="11"/>
      <c r="F3" s="505">
        <v>2017</v>
      </c>
      <c r="G3" s="523"/>
      <c r="H3" s="523"/>
      <c r="I3" s="506"/>
    </row>
    <row r="4" spans="1:10" ht="14.4" customHeight="1" thickBot="1" x14ac:dyDescent="0.35">
      <c r="A4" s="400" t="s">
        <v>0</v>
      </c>
      <c r="B4" s="401" t="s">
        <v>224</v>
      </c>
      <c r="C4" s="524" t="s">
        <v>81</v>
      </c>
      <c r="D4" s="525"/>
      <c r="E4" s="402"/>
      <c r="F4" s="397" t="s">
        <v>81</v>
      </c>
      <c r="G4" s="398" t="s">
        <v>82</v>
      </c>
      <c r="H4" s="398" t="s">
        <v>56</v>
      </c>
      <c r="I4" s="399" t="s">
        <v>83</v>
      </c>
    </row>
    <row r="5" spans="1:10" ht="14.4" customHeight="1" x14ac:dyDescent="0.3">
      <c r="A5" s="655" t="s">
        <v>484</v>
      </c>
      <c r="B5" s="656" t="s">
        <v>485</v>
      </c>
      <c r="C5" s="657" t="s">
        <v>486</v>
      </c>
      <c r="D5" s="657" t="s">
        <v>486</v>
      </c>
      <c r="E5" s="657"/>
      <c r="F5" s="657" t="s">
        <v>486</v>
      </c>
      <c r="G5" s="657" t="s">
        <v>486</v>
      </c>
      <c r="H5" s="657" t="s">
        <v>486</v>
      </c>
      <c r="I5" s="658" t="s">
        <v>486</v>
      </c>
      <c r="J5" s="659" t="s">
        <v>61</v>
      </c>
    </row>
    <row r="6" spans="1:10" ht="14.4" customHeight="1" x14ac:dyDescent="0.3">
      <c r="A6" s="655" t="s">
        <v>484</v>
      </c>
      <c r="B6" s="656" t="s">
        <v>487</v>
      </c>
      <c r="C6" s="657">
        <v>1697.0239999999997</v>
      </c>
      <c r="D6" s="657">
        <v>1926.3191900000002</v>
      </c>
      <c r="E6" s="657"/>
      <c r="F6" s="657">
        <v>2479.6024800000005</v>
      </c>
      <c r="G6" s="657">
        <v>2365.9947499999998</v>
      </c>
      <c r="H6" s="657">
        <v>113.60773000000063</v>
      </c>
      <c r="I6" s="658">
        <v>1.0480168986004728</v>
      </c>
      <c r="J6" s="659" t="s">
        <v>1</v>
      </c>
    </row>
    <row r="7" spans="1:10" ht="14.4" customHeight="1" x14ac:dyDescent="0.3">
      <c r="A7" s="655" t="s">
        <v>484</v>
      </c>
      <c r="B7" s="656" t="s">
        <v>488</v>
      </c>
      <c r="C7" s="657">
        <v>0</v>
      </c>
      <c r="D7" s="657">
        <v>766.59348000000011</v>
      </c>
      <c r="E7" s="657"/>
      <c r="F7" s="657">
        <v>1022.3053899999998</v>
      </c>
      <c r="G7" s="657">
        <v>874.84762499999999</v>
      </c>
      <c r="H7" s="657">
        <v>147.45776499999977</v>
      </c>
      <c r="I7" s="658">
        <v>1.1685525122160556</v>
      </c>
      <c r="J7" s="659" t="s">
        <v>1</v>
      </c>
    </row>
    <row r="8" spans="1:10" ht="14.4" customHeight="1" x14ac:dyDescent="0.3">
      <c r="A8" s="655" t="s">
        <v>484</v>
      </c>
      <c r="B8" s="656" t="s">
        <v>489</v>
      </c>
      <c r="C8" s="657">
        <v>983.3077999999997</v>
      </c>
      <c r="D8" s="657">
        <v>108.07876000000005</v>
      </c>
      <c r="E8" s="657"/>
      <c r="F8" s="657">
        <v>148.57782999999995</v>
      </c>
      <c r="G8" s="657">
        <v>130.01103125</v>
      </c>
      <c r="H8" s="657">
        <v>18.566798749999947</v>
      </c>
      <c r="I8" s="658">
        <v>1.1428094106437598</v>
      </c>
      <c r="J8" s="659" t="s">
        <v>1</v>
      </c>
    </row>
    <row r="9" spans="1:10" ht="14.4" customHeight="1" x14ac:dyDescent="0.3">
      <c r="A9" s="655" t="s">
        <v>484</v>
      </c>
      <c r="B9" s="656" t="s">
        <v>490</v>
      </c>
      <c r="C9" s="657">
        <v>421.99250000000006</v>
      </c>
      <c r="D9" s="657">
        <v>539.04079000000002</v>
      </c>
      <c r="E9" s="657"/>
      <c r="F9" s="657">
        <v>817.35423000000071</v>
      </c>
      <c r="G9" s="657">
        <v>1000</v>
      </c>
      <c r="H9" s="657">
        <v>-182.64576999999929</v>
      </c>
      <c r="I9" s="658">
        <v>0.81735423000000074</v>
      </c>
      <c r="J9" s="659" t="s">
        <v>1</v>
      </c>
    </row>
    <row r="10" spans="1:10" ht="14.4" customHeight="1" x14ac:dyDescent="0.3">
      <c r="A10" s="655" t="s">
        <v>484</v>
      </c>
      <c r="B10" s="656" t="s">
        <v>491</v>
      </c>
      <c r="C10" s="657">
        <v>383.87332000000004</v>
      </c>
      <c r="D10" s="657">
        <v>21.263469999999998</v>
      </c>
      <c r="E10" s="657"/>
      <c r="F10" s="657">
        <v>386.9865999999999</v>
      </c>
      <c r="G10" s="657">
        <v>220</v>
      </c>
      <c r="H10" s="657">
        <v>166.9865999999999</v>
      </c>
      <c r="I10" s="658">
        <v>1.7590299999999994</v>
      </c>
      <c r="J10" s="659" t="s">
        <v>1</v>
      </c>
    </row>
    <row r="11" spans="1:10" ht="14.4" customHeight="1" x14ac:dyDescent="0.3">
      <c r="A11" s="655" t="s">
        <v>484</v>
      </c>
      <c r="B11" s="656" t="s">
        <v>492</v>
      </c>
      <c r="C11" s="657">
        <v>695.09373000000005</v>
      </c>
      <c r="D11" s="657">
        <v>586.48882999999989</v>
      </c>
      <c r="E11" s="657"/>
      <c r="F11" s="657">
        <v>1176.3283099999999</v>
      </c>
      <c r="G11" s="657">
        <v>730.40781249999998</v>
      </c>
      <c r="H11" s="657">
        <v>445.9204974999999</v>
      </c>
      <c r="I11" s="658">
        <v>1.6105089374300743</v>
      </c>
      <c r="J11" s="659" t="s">
        <v>1</v>
      </c>
    </row>
    <row r="12" spans="1:10" ht="14.4" customHeight="1" x14ac:dyDescent="0.3">
      <c r="A12" s="655" t="s">
        <v>484</v>
      </c>
      <c r="B12" s="656" t="s">
        <v>493</v>
      </c>
      <c r="C12" s="657">
        <v>434.75311000000011</v>
      </c>
      <c r="D12" s="657">
        <v>637.56940999999995</v>
      </c>
      <c r="E12" s="657"/>
      <c r="F12" s="657">
        <v>486.37770999999998</v>
      </c>
      <c r="G12" s="657">
        <v>534.77493749999996</v>
      </c>
      <c r="H12" s="657">
        <v>-48.397227499999985</v>
      </c>
      <c r="I12" s="658">
        <v>0.90949982112802363</v>
      </c>
      <c r="J12" s="659" t="s">
        <v>1</v>
      </c>
    </row>
    <row r="13" spans="1:10" ht="14.4" customHeight="1" x14ac:dyDescent="0.3">
      <c r="A13" s="655" t="s">
        <v>484</v>
      </c>
      <c r="B13" s="656" t="s">
        <v>494</v>
      </c>
      <c r="C13" s="657">
        <v>80.770189999999999</v>
      </c>
      <c r="D13" s="657">
        <v>70.672269999999997</v>
      </c>
      <c r="E13" s="657"/>
      <c r="F13" s="657">
        <v>70.372199999999992</v>
      </c>
      <c r="G13" s="657">
        <v>65</v>
      </c>
      <c r="H13" s="657">
        <v>5.3721999999999923</v>
      </c>
      <c r="I13" s="658">
        <v>1.0826492307692306</v>
      </c>
      <c r="J13" s="659" t="s">
        <v>1</v>
      </c>
    </row>
    <row r="14" spans="1:10" ht="14.4" customHeight="1" x14ac:dyDescent="0.3">
      <c r="A14" s="655" t="s">
        <v>484</v>
      </c>
      <c r="B14" s="656" t="s">
        <v>495</v>
      </c>
      <c r="C14" s="657">
        <v>4696.8146499999993</v>
      </c>
      <c r="D14" s="657">
        <v>4656.0261999999993</v>
      </c>
      <c r="E14" s="657"/>
      <c r="F14" s="657">
        <v>6587.9047500000006</v>
      </c>
      <c r="G14" s="657">
        <v>5921.0361562500002</v>
      </c>
      <c r="H14" s="657">
        <v>666.8685937500004</v>
      </c>
      <c r="I14" s="658">
        <v>1.1126270092179866</v>
      </c>
      <c r="J14" s="659" t="s">
        <v>496</v>
      </c>
    </row>
    <row r="16" spans="1:10" ht="14.4" customHeight="1" x14ac:dyDescent="0.3">
      <c r="A16" s="655" t="s">
        <v>484</v>
      </c>
      <c r="B16" s="656" t="s">
        <v>485</v>
      </c>
      <c r="C16" s="657" t="s">
        <v>486</v>
      </c>
      <c r="D16" s="657" t="s">
        <v>486</v>
      </c>
      <c r="E16" s="657"/>
      <c r="F16" s="657" t="s">
        <v>486</v>
      </c>
      <c r="G16" s="657" t="s">
        <v>486</v>
      </c>
      <c r="H16" s="657" t="s">
        <v>486</v>
      </c>
      <c r="I16" s="658" t="s">
        <v>486</v>
      </c>
      <c r="J16" s="659" t="s">
        <v>61</v>
      </c>
    </row>
    <row r="17" spans="1:10" ht="14.4" customHeight="1" x14ac:dyDescent="0.3">
      <c r="A17" s="655" t="s">
        <v>497</v>
      </c>
      <c r="B17" s="656" t="s">
        <v>498</v>
      </c>
      <c r="C17" s="657" t="s">
        <v>486</v>
      </c>
      <c r="D17" s="657" t="s">
        <v>486</v>
      </c>
      <c r="E17" s="657"/>
      <c r="F17" s="657" t="s">
        <v>486</v>
      </c>
      <c r="G17" s="657" t="s">
        <v>486</v>
      </c>
      <c r="H17" s="657" t="s">
        <v>486</v>
      </c>
      <c r="I17" s="658" t="s">
        <v>486</v>
      </c>
      <c r="J17" s="659" t="s">
        <v>0</v>
      </c>
    </row>
    <row r="18" spans="1:10" ht="14.4" customHeight="1" x14ac:dyDescent="0.3">
      <c r="A18" s="655" t="s">
        <v>497</v>
      </c>
      <c r="B18" s="656" t="s">
        <v>487</v>
      </c>
      <c r="C18" s="657">
        <v>1697.0239999999997</v>
      </c>
      <c r="D18" s="657">
        <v>1926.3191900000002</v>
      </c>
      <c r="E18" s="657"/>
      <c r="F18" s="657">
        <v>2479.6024800000005</v>
      </c>
      <c r="G18" s="657">
        <v>2366</v>
      </c>
      <c r="H18" s="657">
        <v>113.60248000000047</v>
      </c>
      <c r="I18" s="658">
        <v>1.0480145731191888</v>
      </c>
      <c r="J18" s="659" t="s">
        <v>1</v>
      </c>
    </row>
    <row r="19" spans="1:10" ht="14.4" customHeight="1" x14ac:dyDescent="0.3">
      <c r="A19" s="655" t="s">
        <v>497</v>
      </c>
      <c r="B19" s="656" t="s">
        <v>488</v>
      </c>
      <c r="C19" s="657">
        <v>0</v>
      </c>
      <c r="D19" s="657">
        <v>766.59348000000011</v>
      </c>
      <c r="E19" s="657"/>
      <c r="F19" s="657">
        <v>1022.3053899999998</v>
      </c>
      <c r="G19" s="657">
        <v>875</v>
      </c>
      <c r="H19" s="657">
        <v>147.30538999999976</v>
      </c>
      <c r="I19" s="658">
        <v>1.1683490171428568</v>
      </c>
      <c r="J19" s="659" t="s">
        <v>1</v>
      </c>
    </row>
    <row r="20" spans="1:10" ht="14.4" customHeight="1" x14ac:dyDescent="0.3">
      <c r="A20" s="655" t="s">
        <v>497</v>
      </c>
      <c r="B20" s="656" t="s">
        <v>489</v>
      </c>
      <c r="C20" s="657">
        <v>983.3077999999997</v>
      </c>
      <c r="D20" s="657">
        <v>108.07876000000005</v>
      </c>
      <c r="E20" s="657"/>
      <c r="F20" s="657">
        <v>148.57782999999995</v>
      </c>
      <c r="G20" s="657">
        <v>130</v>
      </c>
      <c r="H20" s="657">
        <v>18.577829999999949</v>
      </c>
      <c r="I20" s="658">
        <v>1.1429063846153842</v>
      </c>
      <c r="J20" s="659" t="s">
        <v>1</v>
      </c>
    </row>
    <row r="21" spans="1:10" ht="14.4" customHeight="1" x14ac:dyDescent="0.3">
      <c r="A21" s="655" t="s">
        <v>497</v>
      </c>
      <c r="B21" s="656" t="s">
        <v>490</v>
      </c>
      <c r="C21" s="657">
        <v>421.99250000000006</v>
      </c>
      <c r="D21" s="657">
        <v>539.04079000000002</v>
      </c>
      <c r="E21" s="657"/>
      <c r="F21" s="657">
        <v>817.35423000000071</v>
      </c>
      <c r="G21" s="657">
        <v>1000</v>
      </c>
      <c r="H21" s="657">
        <v>-182.64576999999929</v>
      </c>
      <c r="I21" s="658">
        <v>0.81735423000000074</v>
      </c>
      <c r="J21" s="659" t="s">
        <v>1</v>
      </c>
    </row>
    <row r="22" spans="1:10" ht="14.4" customHeight="1" x14ac:dyDescent="0.3">
      <c r="A22" s="655" t="s">
        <v>497</v>
      </c>
      <c r="B22" s="656" t="s">
        <v>491</v>
      </c>
      <c r="C22" s="657">
        <v>383.87332000000004</v>
      </c>
      <c r="D22" s="657">
        <v>21.263469999999998</v>
      </c>
      <c r="E22" s="657"/>
      <c r="F22" s="657">
        <v>386.9865999999999</v>
      </c>
      <c r="G22" s="657">
        <v>220</v>
      </c>
      <c r="H22" s="657">
        <v>166.9865999999999</v>
      </c>
      <c r="I22" s="658">
        <v>1.7590299999999994</v>
      </c>
      <c r="J22" s="659" t="s">
        <v>1</v>
      </c>
    </row>
    <row r="23" spans="1:10" ht="14.4" customHeight="1" x14ac:dyDescent="0.3">
      <c r="A23" s="655" t="s">
        <v>497</v>
      </c>
      <c r="B23" s="656" t="s">
        <v>492</v>
      </c>
      <c r="C23" s="657">
        <v>695.09373000000005</v>
      </c>
      <c r="D23" s="657">
        <v>586.48882999999989</v>
      </c>
      <c r="E23" s="657"/>
      <c r="F23" s="657">
        <v>1176.3283099999999</v>
      </c>
      <c r="G23" s="657">
        <v>730</v>
      </c>
      <c r="H23" s="657">
        <v>446.32830999999987</v>
      </c>
      <c r="I23" s="658">
        <v>1.6114086438356163</v>
      </c>
      <c r="J23" s="659" t="s">
        <v>1</v>
      </c>
    </row>
    <row r="24" spans="1:10" ht="14.4" customHeight="1" x14ac:dyDescent="0.3">
      <c r="A24" s="655" t="s">
        <v>497</v>
      </c>
      <c r="B24" s="656" t="s">
        <v>493</v>
      </c>
      <c r="C24" s="657">
        <v>434.75311000000011</v>
      </c>
      <c r="D24" s="657">
        <v>637.56940999999995</v>
      </c>
      <c r="E24" s="657"/>
      <c r="F24" s="657">
        <v>486.37770999999998</v>
      </c>
      <c r="G24" s="657">
        <v>535</v>
      </c>
      <c r="H24" s="657">
        <v>-48.622290000000021</v>
      </c>
      <c r="I24" s="658">
        <v>0.90911721495327102</v>
      </c>
      <c r="J24" s="659" t="s">
        <v>1</v>
      </c>
    </row>
    <row r="25" spans="1:10" ht="14.4" customHeight="1" x14ac:dyDescent="0.3">
      <c r="A25" s="655" t="s">
        <v>497</v>
      </c>
      <c r="B25" s="656" t="s">
        <v>494</v>
      </c>
      <c r="C25" s="657">
        <v>80.770189999999999</v>
      </c>
      <c r="D25" s="657">
        <v>70.672269999999997</v>
      </c>
      <c r="E25" s="657"/>
      <c r="F25" s="657">
        <v>70.372199999999992</v>
      </c>
      <c r="G25" s="657">
        <v>65</v>
      </c>
      <c r="H25" s="657">
        <v>5.3721999999999923</v>
      </c>
      <c r="I25" s="658">
        <v>1.0826492307692306</v>
      </c>
      <c r="J25" s="659" t="s">
        <v>1</v>
      </c>
    </row>
    <row r="26" spans="1:10" ht="14.4" customHeight="1" x14ac:dyDescent="0.3">
      <c r="A26" s="655" t="s">
        <v>497</v>
      </c>
      <c r="B26" s="656" t="s">
        <v>499</v>
      </c>
      <c r="C26" s="657">
        <v>4696.8146499999993</v>
      </c>
      <c r="D26" s="657">
        <v>4656.0261999999993</v>
      </c>
      <c r="E26" s="657"/>
      <c r="F26" s="657">
        <v>6587.9047500000006</v>
      </c>
      <c r="G26" s="657">
        <v>5921</v>
      </c>
      <c r="H26" s="657">
        <v>666.9047500000006</v>
      </c>
      <c r="I26" s="658">
        <v>1.1126338034115859</v>
      </c>
      <c r="J26" s="659" t="s">
        <v>500</v>
      </c>
    </row>
    <row r="27" spans="1:10" ht="14.4" customHeight="1" x14ac:dyDescent="0.3">
      <c r="A27" s="655" t="s">
        <v>486</v>
      </c>
      <c r="B27" s="656" t="s">
        <v>486</v>
      </c>
      <c r="C27" s="657" t="s">
        <v>486</v>
      </c>
      <c r="D27" s="657" t="s">
        <v>486</v>
      </c>
      <c r="E27" s="657"/>
      <c r="F27" s="657" t="s">
        <v>486</v>
      </c>
      <c r="G27" s="657" t="s">
        <v>486</v>
      </c>
      <c r="H27" s="657" t="s">
        <v>486</v>
      </c>
      <c r="I27" s="658" t="s">
        <v>486</v>
      </c>
      <c r="J27" s="659" t="s">
        <v>501</v>
      </c>
    </row>
    <row r="28" spans="1:10" ht="14.4" customHeight="1" x14ac:dyDescent="0.3">
      <c r="A28" s="655" t="s">
        <v>484</v>
      </c>
      <c r="B28" s="656" t="s">
        <v>495</v>
      </c>
      <c r="C28" s="657">
        <v>4696.8146499999993</v>
      </c>
      <c r="D28" s="657">
        <v>4656.0261999999993</v>
      </c>
      <c r="E28" s="657"/>
      <c r="F28" s="657">
        <v>6587.9047500000006</v>
      </c>
      <c r="G28" s="657">
        <v>5921</v>
      </c>
      <c r="H28" s="657">
        <v>666.9047500000006</v>
      </c>
      <c r="I28" s="658">
        <v>1.1126338034115859</v>
      </c>
      <c r="J28" s="659" t="s">
        <v>496</v>
      </c>
    </row>
  </sheetData>
  <mergeCells count="3">
    <mergeCell ref="F3:I3"/>
    <mergeCell ref="C4:D4"/>
    <mergeCell ref="A1:I1"/>
  </mergeCells>
  <conditionalFormatting sqref="F15 F29:F65537">
    <cfRule type="cellIs" dxfId="64" priority="18" stopIfTrue="1" operator="greaterThan">
      <formula>1</formula>
    </cfRule>
  </conditionalFormatting>
  <conditionalFormatting sqref="H5:H14">
    <cfRule type="expression" dxfId="63" priority="14">
      <formula>$H5&gt;0</formula>
    </cfRule>
  </conditionalFormatting>
  <conditionalFormatting sqref="I5:I14">
    <cfRule type="expression" dxfId="62" priority="15">
      <formula>$I5&gt;1</formula>
    </cfRule>
  </conditionalFormatting>
  <conditionalFormatting sqref="B5:B14">
    <cfRule type="expression" dxfId="61" priority="11">
      <formula>OR($J5="NS",$J5="SumaNS",$J5="Účet")</formula>
    </cfRule>
  </conditionalFormatting>
  <conditionalFormatting sqref="B5:D14 F5:I14">
    <cfRule type="expression" dxfId="60" priority="17">
      <formula>AND($J5&lt;&gt;"",$J5&lt;&gt;"mezeraKL")</formula>
    </cfRule>
  </conditionalFormatting>
  <conditionalFormatting sqref="B5:D14 F5:I14">
    <cfRule type="expression" dxfId="5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58" priority="13">
      <formula>OR($J5="SumaNS",$J5="NS")</formula>
    </cfRule>
  </conditionalFormatting>
  <conditionalFormatting sqref="A5:A14">
    <cfRule type="expression" dxfId="57" priority="9">
      <formula>AND($J5&lt;&gt;"mezeraKL",$J5&lt;&gt;"")</formula>
    </cfRule>
  </conditionalFormatting>
  <conditionalFormatting sqref="A5:A14">
    <cfRule type="expression" dxfId="56" priority="10">
      <formula>AND($J5&lt;&gt;"",$J5&lt;&gt;"mezeraKL")</formula>
    </cfRule>
  </conditionalFormatting>
  <conditionalFormatting sqref="H16:H28">
    <cfRule type="expression" dxfId="55" priority="5">
      <formula>$H16&gt;0</formula>
    </cfRule>
  </conditionalFormatting>
  <conditionalFormatting sqref="A16:A28">
    <cfRule type="expression" dxfId="54" priority="2">
      <formula>AND($J16&lt;&gt;"mezeraKL",$J16&lt;&gt;"")</formula>
    </cfRule>
  </conditionalFormatting>
  <conditionalFormatting sqref="I16:I28">
    <cfRule type="expression" dxfId="53" priority="6">
      <formula>$I16&gt;1</formula>
    </cfRule>
  </conditionalFormatting>
  <conditionalFormatting sqref="B16:B28">
    <cfRule type="expression" dxfId="52" priority="1">
      <formula>OR($J16="NS",$J16="SumaNS",$J16="Účet")</formula>
    </cfRule>
  </conditionalFormatting>
  <conditionalFormatting sqref="A16:D28 F16:I28">
    <cfRule type="expression" dxfId="51" priority="8">
      <formula>AND($J16&lt;&gt;"",$J16&lt;&gt;"mezeraKL")</formula>
    </cfRule>
  </conditionalFormatting>
  <conditionalFormatting sqref="B16:D28 F16:I28">
    <cfRule type="expression" dxfId="50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28 F16:I28">
    <cfRule type="expression" dxfId="49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3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489" bestFit="1" customWidth="1"/>
    <col min="6" max="6" width="18.77734375" style="316" customWidth="1"/>
    <col min="7" max="7" width="5" style="312" customWidth="1"/>
    <col min="8" max="8" width="12.44140625" style="312" hidden="1" customWidth="1" outlineLevel="1"/>
    <col min="9" max="9" width="8.5546875" style="312" hidden="1" customWidth="1" outlineLevel="1"/>
    <col min="10" max="10" width="25.77734375" style="312" customWidth="1" collapsed="1"/>
    <col min="11" max="11" width="8.77734375" style="312" customWidth="1"/>
    <col min="12" max="13" width="7.77734375" style="310" customWidth="1"/>
    <col min="14" max="14" width="12.6640625" style="310" customWidth="1"/>
    <col min="15" max="16384" width="8.88671875" style="231"/>
  </cols>
  <sheetData>
    <row r="1" spans="1:14" ht="18.600000000000001" customHeight="1" thickBot="1" x14ac:dyDescent="0.4">
      <c r="A1" s="533" t="s">
        <v>180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</row>
    <row r="2" spans="1:14" ht="14.4" customHeight="1" thickBot="1" x14ac:dyDescent="0.35">
      <c r="A2" s="351" t="s">
        <v>288</v>
      </c>
      <c r="B2" s="66"/>
      <c r="C2" s="314"/>
      <c r="D2" s="314"/>
      <c r="E2" s="488"/>
      <c r="F2" s="314"/>
      <c r="G2" s="314"/>
      <c r="H2" s="314"/>
      <c r="I2" s="314"/>
      <c r="J2" s="314"/>
      <c r="K2" s="314"/>
      <c r="L2" s="315"/>
      <c r="M2" s="315"/>
      <c r="N2" s="315"/>
    </row>
    <row r="3" spans="1:14" ht="14.4" customHeight="1" thickBot="1" x14ac:dyDescent="0.35">
      <c r="A3" s="66"/>
      <c r="B3" s="66"/>
      <c r="C3" s="529"/>
      <c r="D3" s="530"/>
      <c r="E3" s="530"/>
      <c r="F3" s="530"/>
      <c r="G3" s="530"/>
      <c r="H3" s="530"/>
      <c r="I3" s="530"/>
      <c r="J3" s="531" t="s">
        <v>142</v>
      </c>
      <c r="K3" s="532"/>
      <c r="L3" s="188">
        <f>IF(M3&lt;&gt;0,N3/M3,0)</f>
        <v>444.27747996022191</v>
      </c>
      <c r="M3" s="188">
        <f>SUBTOTAL(9,M5:M1048576)</f>
        <v>14669.900000000003</v>
      </c>
      <c r="N3" s="189">
        <f>SUBTOTAL(9,N5:N1048576)</f>
        <v>6517506.2032684609</v>
      </c>
    </row>
    <row r="4" spans="1:14" s="311" customFormat="1" ht="14.4" customHeight="1" thickBot="1" x14ac:dyDescent="0.35">
      <c r="A4" s="660" t="s">
        <v>4</v>
      </c>
      <c r="B4" s="661" t="s">
        <v>5</v>
      </c>
      <c r="C4" s="661" t="s">
        <v>0</v>
      </c>
      <c r="D4" s="661" t="s">
        <v>6</v>
      </c>
      <c r="E4" s="662" t="s">
        <v>7</v>
      </c>
      <c r="F4" s="661" t="s">
        <v>1</v>
      </c>
      <c r="G4" s="661" t="s">
        <v>8</v>
      </c>
      <c r="H4" s="661" t="s">
        <v>9</v>
      </c>
      <c r="I4" s="661" t="s">
        <v>10</v>
      </c>
      <c r="J4" s="663" t="s">
        <v>11</v>
      </c>
      <c r="K4" s="663" t="s">
        <v>12</v>
      </c>
      <c r="L4" s="664" t="s">
        <v>165</v>
      </c>
      <c r="M4" s="664" t="s">
        <v>13</v>
      </c>
      <c r="N4" s="665" t="s">
        <v>176</v>
      </c>
    </row>
    <row r="5" spans="1:14" ht="14.4" customHeight="1" x14ac:dyDescent="0.3">
      <c r="A5" s="668" t="s">
        <v>484</v>
      </c>
      <c r="B5" s="669" t="s">
        <v>485</v>
      </c>
      <c r="C5" s="670" t="s">
        <v>497</v>
      </c>
      <c r="D5" s="671" t="s">
        <v>498</v>
      </c>
      <c r="E5" s="672">
        <v>50113001</v>
      </c>
      <c r="F5" s="671" t="s">
        <v>502</v>
      </c>
      <c r="G5" s="670" t="s">
        <v>503</v>
      </c>
      <c r="H5" s="670">
        <v>147251</v>
      </c>
      <c r="I5" s="670">
        <v>147251</v>
      </c>
      <c r="J5" s="670" t="s">
        <v>504</v>
      </c>
      <c r="K5" s="670" t="s">
        <v>505</v>
      </c>
      <c r="L5" s="673">
        <v>19.25</v>
      </c>
      <c r="M5" s="673">
        <v>30</v>
      </c>
      <c r="N5" s="674">
        <v>577.5</v>
      </c>
    </row>
    <row r="6" spans="1:14" ht="14.4" customHeight="1" x14ac:dyDescent="0.3">
      <c r="A6" s="675" t="s">
        <v>484</v>
      </c>
      <c r="B6" s="676" t="s">
        <v>485</v>
      </c>
      <c r="C6" s="677" t="s">
        <v>497</v>
      </c>
      <c r="D6" s="678" t="s">
        <v>498</v>
      </c>
      <c r="E6" s="679">
        <v>50113001</v>
      </c>
      <c r="F6" s="678" t="s">
        <v>502</v>
      </c>
      <c r="G6" s="677" t="s">
        <v>503</v>
      </c>
      <c r="H6" s="677">
        <v>846758</v>
      </c>
      <c r="I6" s="677">
        <v>103387</v>
      </c>
      <c r="J6" s="677" t="s">
        <v>506</v>
      </c>
      <c r="K6" s="677" t="s">
        <v>507</v>
      </c>
      <c r="L6" s="680">
        <v>73.255831543226705</v>
      </c>
      <c r="M6" s="680">
        <v>351</v>
      </c>
      <c r="N6" s="681">
        <v>25712.796871672574</v>
      </c>
    </row>
    <row r="7" spans="1:14" ht="14.4" customHeight="1" x14ac:dyDescent="0.3">
      <c r="A7" s="675" t="s">
        <v>484</v>
      </c>
      <c r="B7" s="676" t="s">
        <v>485</v>
      </c>
      <c r="C7" s="677" t="s">
        <v>497</v>
      </c>
      <c r="D7" s="678" t="s">
        <v>498</v>
      </c>
      <c r="E7" s="679">
        <v>50113001</v>
      </c>
      <c r="F7" s="678" t="s">
        <v>502</v>
      </c>
      <c r="G7" s="677" t="s">
        <v>503</v>
      </c>
      <c r="H7" s="677">
        <v>192729</v>
      </c>
      <c r="I7" s="677">
        <v>92729</v>
      </c>
      <c r="J7" s="677" t="s">
        <v>508</v>
      </c>
      <c r="K7" s="677" t="s">
        <v>509</v>
      </c>
      <c r="L7" s="680">
        <v>48.661999999999999</v>
      </c>
      <c r="M7" s="680">
        <v>40</v>
      </c>
      <c r="N7" s="681">
        <v>1946.48</v>
      </c>
    </row>
    <row r="8" spans="1:14" ht="14.4" customHeight="1" x14ac:dyDescent="0.3">
      <c r="A8" s="675" t="s">
        <v>484</v>
      </c>
      <c r="B8" s="676" t="s">
        <v>485</v>
      </c>
      <c r="C8" s="677" t="s">
        <v>497</v>
      </c>
      <c r="D8" s="678" t="s">
        <v>498</v>
      </c>
      <c r="E8" s="679">
        <v>50113001</v>
      </c>
      <c r="F8" s="678" t="s">
        <v>502</v>
      </c>
      <c r="G8" s="677" t="s">
        <v>503</v>
      </c>
      <c r="H8" s="677">
        <v>197323</v>
      </c>
      <c r="I8" s="677">
        <v>197323</v>
      </c>
      <c r="J8" s="677" t="s">
        <v>510</v>
      </c>
      <c r="K8" s="677" t="s">
        <v>511</v>
      </c>
      <c r="L8" s="680">
        <v>1355.16</v>
      </c>
      <c r="M8" s="680">
        <v>42</v>
      </c>
      <c r="N8" s="681">
        <v>56916.72</v>
      </c>
    </row>
    <row r="9" spans="1:14" ht="14.4" customHeight="1" x14ac:dyDescent="0.3">
      <c r="A9" s="675" t="s">
        <v>484</v>
      </c>
      <c r="B9" s="676" t="s">
        <v>485</v>
      </c>
      <c r="C9" s="677" t="s">
        <v>497</v>
      </c>
      <c r="D9" s="678" t="s">
        <v>498</v>
      </c>
      <c r="E9" s="679">
        <v>50113001</v>
      </c>
      <c r="F9" s="678" t="s">
        <v>502</v>
      </c>
      <c r="G9" s="677" t="s">
        <v>503</v>
      </c>
      <c r="H9" s="677">
        <v>100362</v>
      </c>
      <c r="I9" s="677">
        <v>362</v>
      </c>
      <c r="J9" s="677" t="s">
        <v>512</v>
      </c>
      <c r="K9" s="677" t="s">
        <v>513</v>
      </c>
      <c r="L9" s="680">
        <v>87.02995922998916</v>
      </c>
      <c r="M9" s="680">
        <v>14</v>
      </c>
      <c r="N9" s="681">
        <v>1218.4194292198483</v>
      </c>
    </row>
    <row r="10" spans="1:14" ht="14.4" customHeight="1" x14ac:dyDescent="0.3">
      <c r="A10" s="675" t="s">
        <v>484</v>
      </c>
      <c r="B10" s="676" t="s">
        <v>485</v>
      </c>
      <c r="C10" s="677" t="s">
        <v>497</v>
      </c>
      <c r="D10" s="678" t="s">
        <v>498</v>
      </c>
      <c r="E10" s="679">
        <v>50113001</v>
      </c>
      <c r="F10" s="678" t="s">
        <v>502</v>
      </c>
      <c r="G10" s="677" t="s">
        <v>503</v>
      </c>
      <c r="H10" s="677">
        <v>847962</v>
      </c>
      <c r="I10" s="677">
        <v>0</v>
      </c>
      <c r="J10" s="677" t="s">
        <v>514</v>
      </c>
      <c r="K10" s="677" t="s">
        <v>486</v>
      </c>
      <c r="L10" s="680">
        <v>128</v>
      </c>
      <c r="M10" s="680">
        <v>2</v>
      </c>
      <c r="N10" s="681">
        <v>256</v>
      </c>
    </row>
    <row r="11" spans="1:14" ht="14.4" customHeight="1" x14ac:dyDescent="0.3">
      <c r="A11" s="675" t="s">
        <v>484</v>
      </c>
      <c r="B11" s="676" t="s">
        <v>485</v>
      </c>
      <c r="C11" s="677" t="s">
        <v>497</v>
      </c>
      <c r="D11" s="678" t="s">
        <v>498</v>
      </c>
      <c r="E11" s="679">
        <v>50113001</v>
      </c>
      <c r="F11" s="678" t="s">
        <v>502</v>
      </c>
      <c r="G11" s="677" t="s">
        <v>503</v>
      </c>
      <c r="H11" s="677">
        <v>845008</v>
      </c>
      <c r="I11" s="677">
        <v>107806</v>
      </c>
      <c r="J11" s="677" t="s">
        <v>515</v>
      </c>
      <c r="K11" s="677" t="s">
        <v>516</v>
      </c>
      <c r="L11" s="680">
        <v>62.456666666666671</v>
      </c>
      <c r="M11" s="680">
        <v>9</v>
      </c>
      <c r="N11" s="681">
        <v>562.11</v>
      </c>
    </row>
    <row r="12" spans="1:14" ht="14.4" customHeight="1" x14ac:dyDescent="0.3">
      <c r="A12" s="675" t="s">
        <v>484</v>
      </c>
      <c r="B12" s="676" t="s">
        <v>485</v>
      </c>
      <c r="C12" s="677" t="s">
        <v>497</v>
      </c>
      <c r="D12" s="678" t="s">
        <v>498</v>
      </c>
      <c r="E12" s="679">
        <v>50113001</v>
      </c>
      <c r="F12" s="678" t="s">
        <v>502</v>
      </c>
      <c r="G12" s="677" t="s">
        <v>503</v>
      </c>
      <c r="H12" s="677">
        <v>176954</v>
      </c>
      <c r="I12" s="677">
        <v>176954</v>
      </c>
      <c r="J12" s="677" t="s">
        <v>517</v>
      </c>
      <c r="K12" s="677" t="s">
        <v>518</v>
      </c>
      <c r="L12" s="680">
        <v>95.517166666666654</v>
      </c>
      <c r="M12" s="680">
        <v>6</v>
      </c>
      <c r="N12" s="681">
        <v>573.10299999999995</v>
      </c>
    </row>
    <row r="13" spans="1:14" ht="14.4" customHeight="1" x14ac:dyDescent="0.3">
      <c r="A13" s="675" t="s">
        <v>484</v>
      </c>
      <c r="B13" s="676" t="s">
        <v>485</v>
      </c>
      <c r="C13" s="677" t="s">
        <v>497</v>
      </c>
      <c r="D13" s="678" t="s">
        <v>498</v>
      </c>
      <c r="E13" s="679">
        <v>50113001</v>
      </c>
      <c r="F13" s="678" t="s">
        <v>502</v>
      </c>
      <c r="G13" s="677" t="s">
        <v>503</v>
      </c>
      <c r="H13" s="677">
        <v>167547</v>
      </c>
      <c r="I13" s="677">
        <v>67547</v>
      </c>
      <c r="J13" s="677" t="s">
        <v>519</v>
      </c>
      <c r="K13" s="677" t="s">
        <v>520</v>
      </c>
      <c r="L13" s="680">
        <v>46.947368421052637</v>
      </c>
      <c r="M13" s="680">
        <v>19</v>
      </c>
      <c r="N13" s="681">
        <v>892.00000000000011</v>
      </c>
    </row>
    <row r="14" spans="1:14" ht="14.4" customHeight="1" x14ac:dyDescent="0.3">
      <c r="A14" s="675" t="s">
        <v>484</v>
      </c>
      <c r="B14" s="676" t="s">
        <v>485</v>
      </c>
      <c r="C14" s="677" t="s">
        <v>497</v>
      </c>
      <c r="D14" s="678" t="s">
        <v>498</v>
      </c>
      <c r="E14" s="679">
        <v>50113001</v>
      </c>
      <c r="F14" s="678" t="s">
        <v>502</v>
      </c>
      <c r="G14" s="677" t="s">
        <v>503</v>
      </c>
      <c r="H14" s="677">
        <v>194919</v>
      </c>
      <c r="I14" s="677">
        <v>94919</v>
      </c>
      <c r="J14" s="677" t="s">
        <v>521</v>
      </c>
      <c r="K14" s="677" t="s">
        <v>522</v>
      </c>
      <c r="L14" s="680">
        <v>52.089999999999996</v>
      </c>
      <c r="M14" s="680">
        <v>3</v>
      </c>
      <c r="N14" s="681">
        <v>156.26999999999998</v>
      </c>
    </row>
    <row r="15" spans="1:14" ht="14.4" customHeight="1" x14ac:dyDescent="0.3">
      <c r="A15" s="675" t="s">
        <v>484</v>
      </c>
      <c r="B15" s="676" t="s">
        <v>485</v>
      </c>
      <c r="C15" s="677" t="s">
        <v>497</v>
      </c>
      <c r="D15" s="678" t="s">
        <v>498</v>
      </c>
      <c r="E15" s="679">
        <v>50113001</v>
      </c>
      <c r="F15" s="678" t="s">
        <v>502</v>
      </c>
      <c r="G15" s="677" t="s">
        <v>503</v>
      </c>
      <c r="H15" s="677">
        <v>145310</v>
      </c>
      <c r="I15" s="677">
        <v>45310</v>
      </c>
      <c r="J15" s="677" t="s">
        <v>523</v>
      </c>
      <c r="K15" s="677" t="s">
        <v>524</v>
      </c>
      <c r="L15" s="680">
        <v>44.899999999999991</v>
      </c>
      <c r="M15" s="680">
        <v>1</v>
      </c>
      <c r="N15" s="681">
        <v>44.899999999999991</v>
      </c>
    </row>
    <row r="16" spans="1:14" ht="14.4" customHeight="1" x14ac:dyDescent="0.3">
      <c r="A16" s="675" t="s">
        <v>484</v>
      </c>
      <c r="B16" s="676" t="s">
        <v>485</v>
      </c>
      <c r="C16" s="677" t="s">
        <v>497</v>
      </c>
      <c r="D16" s="678" t="s">
        <v>498</v>
      </c>
      <c r="E16" s="679">
        <v>50113001</v>
      </c>
      <c r="F16" s="678" t="s">
        <v>502</v>
      </c>
      <c r="G16" s="677" t="s">
        <v>503</v>
      </c>
      <c r="H16" s="677">
        <v>845369</v>
      </c>
      <c r="I16" s="677">
        <v>107987</v>
      </c>
      <c r="J16" s="677" t="s">
        <v>525</v>
      </c>
      <c r="K16" s="677" t="s">
        <v>526</v>
      </c>
      <c r="L16" s="680">
        <v>112.73666666666666</v>
      </c>
      <c r="M16" s="680">
        <v>6</v>
      </c>
      <c r="N16" s="681">
        <v>676.42</v>
      </c>
    </row>
    <row r="17" spans="1:14" ht="14.4" customHeight="1" x14ac:dyDescent="0.3">
      <c r="A17" s="675" t="s">
        <v>484</v>
      </c>
      <c r="B17" s="676" t="s">
        <v>485</v>
      </c>
      <c r="C17" s="677" t="s">
        <v>497</v>
      </c>
      <c r="D17" s="678" t="s">
        <v>498</v>
      </c>
      <c r="E17" s="679">
        <v>50113001</v>
      </c>
      <c r="F17" s="678" t="s">
        <v>502</v>
      </c>
      <c r="G17" s="677" t="s">
        <v>527</v>
      </c>
      <c r="H17" s="677">
        <v>187158</v>
      </c>
      <c r="I17" s="677">
        <v>187158</v>
      </c>
      <c r="J17" s="677" t="s">
        <v>528</v>
      </c>
      <c r="K17" s="677" t="s">
        <v>529</v>
      </c>
      <c r="L17" s="680">
        <v>110</v>
      </c>
      <c r="M17" s="680">
        <v>3</v>
      </c>
      <c r="N17" s="681">
        <v>330</v>
      </c>
    </row>
    <row r="18" spans="1:14" ht="14.4" customHeight="1" x14ac:dyDescent="0.3">
      <c r="A18" s="675" t="s">
        <v>484</v>
      </c>
      <c r="B18" s="676" t="s">
        <v>485</v>
      </c>
      <c r="C18" s="677" t="s">
        <v>497</v>
      </c>
      <c r="D18" s="678" t="s">
        <v>498</v>
      </c>
      <c r="E18" s="679">
        <v>50113001</v>
      </c>
      <c r="F18" s="678" t="s">
        <v>502</v>
      </c>
      <c r="G18" s="677" t="s">
        <v>527</v>
      </c>
      <c r="H18" s="677">
        <v>187156</v>
      </c>
      <c r="I18" s="677">
        <v>187156</v>
      </c>
      <c r="J18" s="677" t="s">
        <v>530</v>
      </c>
      <c r="K18" s="677" t="s">
        <v>531</v>
      </c>
      <c r="L18" s="680">
        <v>540.72937782700762</v>
      </c>
      <c r="M18" s="680">
        <v>51.2</v>
      </c>
      <c r="N18" s="681">
        <v>27685.344144742794</v>
      </c>
    </row>
    <row r="19" spans="1:14" ht="14.4" customHeight="1" x14ac:dyDescent="0.3">
      <c r="A19" s="675" t="s">
        <v>484</v>
      </c>
      <c r="B19" s="676" t="s">
        <v>485</v>
      </c>
      <c r="C19" s="677" t="s">
        <v>497</v>
      </c>
      <c r="D19" s="678" t="s">
        <v>498</v>
      </c>
      <c r="E19" s="679">
        <v>50113001</v>
      </c>
      <c r="F19" s="678" t="s">
        <v>502</v>
      </c>
      <c r="G19" s="677" t="s">
        <v>527</v>
      </c>
      <c r="H19" s="677">
        <v>187159</v>
      </c>
      <c r="I19" s="677">
        <v>187159</v>
      </c>
      <c r="J19" s="677" t="s">
        <v>532</v>
      </c>
      <c r="K19" s="677" t="s">
        <v>533</v>
      </c>
      <c r="L19" s="680">
        <v>763.43263157894728</v>
      </c>
      <c r="M19" s="680">
        <v>57</v>
      </c>
      <c r="N19" s="681">
        <v>43515.659999999996</v>
      </c>
    </row>
    <row r="20" spans="1:14" ht="14.4" customHeight="1" x14ac:dyDescent="0.3">
      <c r="A20" s="675" t="s">
        <v>484</v>
      </c>
      <c r="B20" s="676" t="s">
        <v>485</v>
      </c>
      <c r="C20" s="677" t="s">
        <v>497</v>
      </c>
      <c r="D20" s="678" t="s">
        <v>498</v>
      </c>
      <c r="E20" s="679">
        <v>50113001</v>
      </c>
      <c r="F20" s="678" t="s">
        <v>502</v>
      </c>
      <c r="G20" s="677" t="s">
        <v>503</v>
      </c>
      <c r="H20" s="677">
        <v>199295</v>
      </c>
      <c r="I20" s="677">
        <v>99295</v>
      </c>
      <c r="J20" s="677" t="s">
        <v>534</v>
      </c>
      <c r="K20" s="677" t="s">
        <v>535</v>
      </c>
      <c r="L20" s="680">
        <v>26.28</v>
      </c>
      <c r="M20" s="680">
        <v>1</v>
      </c>
      <c r="N20" s="681">
        <v>26.28</v>
      </c>
    </row>
    <row r="21" spans="1:14" ht="14.4" customHeight="1" x14ac:dyDescent="0.3">
      <c r="A21" s="675" t="s">
        <v>484</v>
      </c>
      <c r="B21" s="676" t="s">
        <v>485</v>
      </c>
      <c r="C21" s="677" t="s">
        <v>497</v>
      </c>
      <c r="D21" s="678" t="s">
        <v>498</v>
      </c>
      <c r="E21" s="679">
        <v>50113001</v>
      </c>
      <c r="F21" s="678" t="s">
        <v>502</v>
      </c>
      <c r="G21" s="677" t="s">
        <v>503</v>
      </c>
      <c r="H21" s="677">
        <v>196610</v>
      </c>
      <c r="I21" s="677">
        <v>96610</v>
      </c>
      <c r="J21" s="677" t="s">
        <v>536</v>
      </c>
      <c r="K21" s="677" t="s">
        <v>537</v>
      </c>
      <c r="L21" s="680">
        <v>46.560476190476209</v>
      </c>
      <c r="M21" s="680">
        <v>42</v>
      </c>
      <c r="N21" s="681">
        <v>1955.5400000000006</v>
      </c>
    </row>
    <row r="22" spans="1:14" ht="14.4" customHeight="1" x14ac:dyDescent="0.3">
      <c r="A22" s="675" t="s">
        <v>484</v>
      </c>
      <c r="B22" s="676" t="s">
        <v>485</v>
      </c>
      <c r="C22" s="677" t="s">
        <v>497</v>
      </c>
      <c r="D22" s="678" t="s">
        <v>498</v>
      </c>
      <c r="E22" s="679">
        <v>50113001</v>
      </c>
      <c r="F22" s="678" t="s">
        <v>502</v>
      </c>
      <c r="G22" s="677" t="s">
        <v>486</v>
      </c>
      <c r="H22" s="677">
        <v>849713</v>
      </c>
      <c r="I22" s="677">
        <v>125046</v>
      </c>
      <c r="J22" s="677" t="s">
        <v>538</v>
      </c>
      <c r="K22" s="677" t="s">
        <v>539</v>
      </c>
      <c r="L22" s="680">
        <v>61.72989878703104</v>
      </c>
      <c r="M22" s="680">
        <v>1</v>
      </c>
      <c r="N22" s="681">
        <v>61.72989878703104</v>
      </c>
    </row>
    <row r="23" spans="1:14" ht="14.4" customHeight="1" x14ac:dyDescent="0.3">
      <c r="A23" s="675" t="s">
        <v>484</v>
      </c>
      <c r="B23" s="676" t="s">
        <v>485</v>
      </c>
      <c r="C23" s="677" t="s">
        <v>497</v>
      </c>
      <c r="D23" s="678" t="s">
        <v>498</v>
      </c>
      <c r="E23" s="679">
        <v>50113001</v>
      </c>
      <c r="F23" s="678" t="s">
        <v>502</v>
      </c>
      <c r="G23" s="677" t="s">
        <v>486</v>
      </c>
      <c r="H23" s="677">
        <v>849561</v>
      </c>
      <c r="I23" s="677">
        <v>125060</v>
      </c>
      <c r="J23" s="677" t="s">
        <v>540</v>
      </c>
      <c r="K23" s="677" t="s">
        <v>541</v>
      </c>
      <c r="L23" s="680">
        <v>34.670000000000009</v>
      </c>
      <c r="M23" s="680">
        <v>3</v>
      </c>
      <c r="N23" s="681">
        <v>104.01000000000002</v>
      </c>
    </row>
    <row r="24" spans="1:14" ht="14.4" customHeight="1" x14ac:dyDescent="0.3">
      <c r="A24" s="675" t="s">
        <v>484</v>
      </c>
      <c r="B24" s="676" t="s">
        <v>485</v>
      </c>
      <c r="C24" s="677" t="s">
        <v>497</v>
      </c>
      <c r="D24" s="678" t="s">
        <v>498</v>
      </c>
      <c r="E24" s="679">
        <v>50113001</v>
      </c>
      <c r="F24" s="678" t="s">
        <v>502</v>
      </c>
      <c r="G24" s="677" t="s">
        <v>503</v>
      </c>
      <c r="H24" s="677">
        <v>847713</v>
      </c>
      <c r="I24" s="677">
        <v>125526</v>
      </c>
      <c r="J24" s="677" t="s">
        <v>542</v>
      </c>
      <c r="K24" s="677" t="s">
        <v>543</v>
      </c>
      <c r="L24" s="680">
        <v>87.570000000000007</v>
      </c>
      <c r="M24" s="680">
        <v>1</v>
      </c>
      <c r="N24" s="681">
        <v>87.570000000000007</v>
      </c>
    </row>
    <row r="25" spans="1:14" ht="14.4" customHeight="1" x14ac:dyDescent="0.3">
      <c r="A25" s="675" t="s">
        <v>484</v>
      </c>
      <c r="B25" s="676" t="s">
        <v>485</v>
      </c>
      <c r="C25" s="677" t="s">
        <v>497</v>
      </c>
      <c r="D25" s="678" t="s">
        <v>498</v>
      </c>
      <c r="E25" s="679">
        <v>50113001</v>
      </c>
      <c r="F25" s="678" t="s">
        <v>502</v>
      </c>
      <c r="G25" s="677" t="s">
        <v>503</v>
      </c>
      <c r="H25" s="677">
        <v>847974</v>
      </c>
      <c r="I25" s="677">
        <v>125525</v>
      </c>
      <c r="J25" s="677" t="s">
        <v>542</v>
      </c>
      <c r="K25" s="677" t="s">
        <v>544</v>
      </c>
      <c r="L25" s="680">
        <v>44.92</v>
      </c>
      <c r="M25" s="680">
        <v>2</v>
      </c>
      <c r="N25" s="681">
        <v>89.84</v>
      </c>
    </row>
    <row r="26" spans="1:14" ht="14.4" customHeight="1" x14ac:dyDescent="0.3">
      <c r="A26" s="675" t="s">
        <v>484</v>
      </c>
      <c r="B26" s="676" t="s">
        <v>485</v>
      </c>
      <c r="C26" s="677" t="s">
        <v>497</v>
      </c>
      <c r="D26" s="678" t="s">
        <v>498</v>
      </c>
      <c r="E26" s="679">
        <v>50113001</v>
      </c>
      <c r="F26" s="678" t="s">
        <v>502</v>
      </c>
      <c r="G26" s="677" t="s">
        <v>503</v>
      </c>
      <c r="H26" s="677">
        <v>843323</v>
      </c>
      <c r="I26" s="677">
        <v>0</v>
      </c>
      <c r="J26" s="677" t="s">
        <v>545</v>
      </c>
      <c r="K26" s="677" t="s">
        <v>486</v>
      </c>
      <c r="L26" s="680">
        <v>26.209999999999997</v>
      </c>
      <c r="M26" s="680">
        <v>3</v>
      </c>
      <c r="N26" s="681">
        <v>78.63</v>
      </c>
    </row>
    <row r="27" spans="1:14" ht="14.4" customHeight="1" x14ac:dyDescent="0.3">
      <c r="A27" s="675" t="s">
        <v>484</v>
      </c>
      <c r="B27" s="676" t="s">
        <v>485</v>
      </c>
      <c r="C27" s="677" t="s">
        <v>497</v>
      </c>
      <c r="D27" s="678" t="s">
        <v>498</v>
      </c>
      <c r="E27" s="679">
        <v>50113001</v>
      </c>
      <c r="F27" s="678" t="s">
        <v>502</v>
      </c>
      <c r="G27" s="677" t="s">
        <v>503</v>
      </c>
      <c r="H27" s="677">
        <v>189244</v>
      </c>
      <c r="I27" s="677">
        <v>89244</v>
      </c>
      <c r="J27" s="677" t="s">
        <v>546</v>
      </c>
      <c r="K27" s="677" t="s">
        <v>547</v>
      </c>
      <c r="L27" s="680">
        <v>20.759193750000001</v>
      </c>
      <c r="M27" s="680">
        <v>160</v>
      </c>
      <c r="N27" s="681">
        <v>3321.4710000000005</v>
      </c>
    </row>
    <row r="28" spans="1:14" ht="14.4" customHeight="1" x14ac:dyDescent="0.3">
      <c r="A28" s="675" t="s">
        <v>484</v>
      </c>
      <c r="B28" s="676" t="s">
        <v>485</v>
      </c>
      <c r="C28" s="677" t="s">
        <v>497</v>
      </c>
      <c r="D28" s="678" t="s">
        <v>498</v>
      </c>
      <c r="E28" s="679">
        <v>50113001</v>
      </c>
      <c r="F28" s="678" t="s">
        <v>502</v>
      </c>
      <c r="G28" s="677" t="s">
        <v>503</v>
      </c>
      <c r="H28" s="677">
        <v>187764</v>
      </c>
      <c r="I28" s="677">
        <v>87764</v>
      </c>
      <c r="J28" s="677" t="s">
        <v>548</v>
      </c>
      <c r="K28" s="677" t="s">
        <v>549</v>
      </c>
      <c r="L28" s="680">
        <v>52.46</v>
      </c>
      <c r="M28" s="680">
        <v>25</v>
      </c>
      <c r="N28" s="681">
        <v>1311.5</v>
      </c>
    </row>
    <row r="29" spans="1:14" ht="14.4" customHeight="1" x14ac:dyDescent="0.3">
      <c r="A29" s="675" t="s">
        <v>484</v>
      </c>
      <c r="B29" s="676" t="s">
        <v>485</v>
      </c>
      <c r="C29" s="677" t="s">
        <v>497</v>
      </c>
      <c r="D29" s="678" t="s">
        <v>498</v>
      </c>
      <c r="E29" s="679">
        <v>50113001</v>
      </c>
      <c r="F29" s="678" t="s">
        <v>502</v>
      </c>
      <c r="G29" s="677" t="s">
        <v>503</v>
      </c>
      <c r="H29" s="677">
        <v>187825</v>
      </c>
      <c r="I29" s="677">
        <v>87825</v>
      </c>
      <c r="J29" s="677" t="s">
        <v>550</v>
      </c>
      <c r="K29" s="677" t="s">
        <v>549</v>
      </c>
      <c r="L29" s="680">
        <v>80.37</v>
      </c>
      <c r="M29" s="680">
        <v>64</v>
      </c>
      <c r="N29" s="681">
        <v>5143.68</v>
      </c>
    </row>
    <row r="30" spans="1:14" ht="14.4" customHeight="1" x14ac:dyDescent="0.3">
      <c r="A30" s="675" t="s">
        <v>484</v>
      </c>
      <c r="B30" s="676" t="s">
        <v>485</v>
      </c>
      <c r="C30" s="677" t="s">
        <v>497</v>
      </c>
      <c r="D30" s="678" t="s">
        <v>498</v>
      </c>
      <c r="E30" s="679">
        <v>50113001</v>
      </c>
      <c r="F30" s="678" t="s">
        <v>502</v>
      </c>
      <c r="G30" s="677" t="s">
        <v>503</v>
      </c>
      <c r="H30" s="677">
        <v>173367</v>
      </c>
      <c r="I30" s="677">
        <v>173367</v>
      </c>
      <c r="J30" s="677" t="s">
        <v>551</v>
      </c>
      <c r="K30" s="677" t="s">
        <v>552</v>
      </c>
      <c r="L30" s="680">
        <v>1035.6500000000001</v>
      </c>
      <c r="M30" s="680">
        <v>2</v>
      </c>
      <c r="N30" s="681">
        <v>2071.3000000000002</v>
      </c>
    </row>
    <row r="31" spans="1:14" ht="14.4" customHeight="1" x14ac:dyDescent="0.3">
      <c r="A31" s="675" t="s">
        <v>484</v>
      </c>
      <c r="B31" s="676" t="s">
        <v>485</v>
      </c>
      <c r="C31" s="677" t="s">
        <v>497</v>
      </c>
      <c r="D31" s="678" t="s">
        <v>498</v>
      </c>
      <c r="E31" s="679">
        <v>50113001</v>
      </c>
      <c r="F31" s="678" t="s">
        <v>502</v>
      </c>
      <c r="G31" s="677" t="s">
        <v>503</v>
      </c>
      <c r="H31" s="677">
        <v>169667</v>
      </c>
      <c r="I31" s="677">
        <v>69667</v>
      </c>
      <c r="J31" s="677" t="s">
        <v>553</v>
      </c>
      <c r="K31" s="677" t="s">
        <v>549</v>
      </c>
      <c r="L31" s="680">
        <v>103.57</v>
      </c>
      <c r="M31" s="680">
        <v>248</v>
      </c>
      <c r="N31" s="681">
        <v>25685.359999999997</v>
      </c>
    </row>
    <row r="32" spans="1:14" ht="14.4" customHeight="1" x14ac:dyDescent="0.3">
      <c r="A32" s="675" t="s">
        <v>484</v>
      </c>
      <c r="B32" s="676" t="s">
        <v>485</v>
      </c>
      <c r="C32" s="677" t="s">
        <v>497</v>
      </c>
      <c r="D32" s="678" t="s">
        <v>498</v>
      </c>
      <c r="E32" s="679">
        <v>50113001</v>
      </c>
      <c r="F32" s="678" t="s">
        <v>502</v>
      </c>
      <c r="G32" s="677" t="s">
        <v>503</v>
      </c>
      <c r="H32" s="677">
        <v>187822</v>
      </c>
      <c r="I32" s="677">
        <v>87822</v>
      </c>
      <c r="J32" s="677" t="s">
        <v>554</v>
      </c>
      <c r="K32" s="677" t="s">
        <v>555</v>
      </c>
      <c r="L32" s="680">
        <v>1333.09</v>
      </c>
      <c r="M32" s="680">
        <v>2</v>
      </c>
      <c r="N32" s="681">
        <v>2666.18</v>
      </c>
    </row>
    <row r="33" spans="1:14" ht="14.4" customHeight="1" x14ac:dyDescent="0.3">
      <c r="A33" s="675" t="s">
        <v>484</v>
      </c>
      <c r="B33" s="676" t="s">
        <v>485</v>
      </c>
      <c r="C33" s="677" t="s">
        <v>497</v>
      </c>
      <c r="D33" s="678" t="s">
        <v>498</v>
      </c>
      <c r="E33" s="679">
        <v>50113001</v>
      </c>
      <c r="F33" s="678" t="s">
        <v>502</v>
      </c>
      <c r="G33" s="677" t="s">
        <v>503</v>
      </c>
      <c r="H33" s="677">
        <v>843072</v>
      </c>
      <c r="I33" s="677">
        <v>0</v>
      </c>
      <c r="J33" s="677" t="s">
        <v>556</v>
      </c>
      <c r="K33" s="677" t="s">
        <v>486</v>
      </c>
      <c r="L33" s="680">
        <v>56.91</v>
      </c>
      <c r="M33" s="680">
        <v>6</v>
      </c>
      <c r="N33" s="681">
        <v>341.46</v>
      </c>
    </row>
    <row r="34" spans="1:14" ht="14.4" customHeight="1" x14ac:dyDescent="0.3">
      <c r="A34" s="675" t="s">
        <v>484</v>
      </c>
      <c r="B34" s="676" t="s">
        <v>485</v>
      </c>
      <c r="C34" s="677" t="s">
        <v>497</v>
      </c>
      <c r="D34" s="678" t="s">
        <v>498</v>
      </c>
      <c r="E34" s="679">
        <v>50113001</v>
      </c>
      <c r="F34" s="678" t="s">
        <v>502</v>
      </c>
      <c r="G34" s="677" t="s">
        <v>503</v>
      </c>
      <c r="H34" s="677">
        <v>850608</v>
      </c>
      <c r="I34" s="677">
        <v>169303</v>
      </c>
      <c r="J34" s="677" t="s">
        <v>557</v>
      </c>
      <c r="K34" s="677" t="s">
        <v>558</v>
      </c>
      <c r="L34" s="680">
        <v>224.81000000000023</v>
      </c>
      <c r="M34" s="680">
        <v>1</v>
      </c>
      <c r="N34" s="681">
        <v>224.81000000000023</v>
      </c>
    </row>
    <row r="35" spans="1:14" ht="14.4" customHeight="1" x14ac:dyDescent="0.3">
      <c r="A35" s="675" t="s">
        <v>484</v>
      </c>
      <c r="B35" s="676" t="s">
        <v>485</v>
      </c>
      <c r="C35" s="677" t="s">
        <v>497</v>
      </c>
      <c r="D35" s="678" t="s">
        <v>498</v>
      </c>
      <c r="E35" s="679">
        <v>50113001</v>
      </c>
      <c r="F35" s="678" t="s">
        <v>502</v>
      </c>
      <c r="G35" s="677" t="s">
        <v>503</v>
      </c>
      <c r="H35" s="677">
        <v>100392</v>
      </c>
      <c r="I35" s="677">
        <v>392</v>
      </c>
      <c r="J35" s="677" t="s">
        <v>559</v>
      </c>
      <c r="K35" s="677" t="s">
        <v>560</v>
      </c>
      <c r="L35" s="680">
        <v>57.93832161913663</v>
      </c>
      <c r="M35" s="680">
        <v>4</v>
      </c>
      <c r="N35" s="681">
        <v>231.75328647654652</v>
      </c>
    </row>
    <row r="36" spans="1:14" ht="14.4" customHeight="1" x14ac:dyDescent="0.3">
      <c r="A36" s="675" t="s">
        <v>484</v>
      </c>
      <c r="B36" s="676" t="s">
        <v>485</v>
      </c>
      <c r="C36" s="677" t="s">
        <v>497</v>
      </c>
      <c r="D36" s="678" t="s">
        <v>498</v>
      </c>
      <c r="E36" s="679">
        <v>50113001</v>
      </c>
      <c r="F36" s="678" t="s">
        <v>502</v>
      </c>
      <c r="G36" s="677" t="s">
        <v>503</v>
      </c>
      <c r="H36" s="677">
        <v>192351</v>
      </c>
      <c r="I36" s="677">
        <v>92351</v>
      </c>
      <c r="J36" s="677" t="s">
        <v>561</v>
      </c>
      <c r="K36" s="677" t="s">
        <v>562</v>
      </c>
      <c r="L36" s="680">
        <v>86.219884057971015</v>
      </c>
      <c r="M36" s="680">
        <v>69</v>
      </c>
      <c r="N36" s="681">
        <v>5949.1719999999996</v>
      </c>
    </row>
    <row r="37" spans="1:14" ht="14.4" customHeight="1" x14ac:dyDescent="0.3">
      <c r="A37" s="675" t="s">
        <v>484</v>
      </c>
      <c r="B37" s="676" t="s">
        <v>485</v>
      </c>
      <c r="C37" s="677" t="s">
        <v>497</v>
      </c>
      <c r="D37" s="678" t="s">
        <v>498</v>
      </c>
      <c r="E37" s="679">
        <v>50113001</v>
      </c>
      <c r="F37" s="678" t="s">
        <v>502</v>
      </c>
      <c r="G37" s="677" t="s">
        <v>486</v>
      </c>
      <c r="H37" s="677">
        <v>132853</v>
      </c>
      <c r="I37" s="677">
        <v>132853</v>
      </c>
      <c r="J37" s="677" t="s">
        <v>563</v>
      </c>
      <c r="K37" s="677" t="s">
        <v>564</v>
      </c>
      <c r="L37" s="680">
        <v>103.31999999999998</v>
      </c>
      <c r="M37" s="680">
        <v>1</v>
      </c>
      <c r="N37" s="681">
        <v>103.31999999999998</v>
      </c>
    </row>
    <row r="38" spans="1:14" ht="14.4" customHeight="1" x14ac:dyDescent="0.3">
      <c r="A38" s="675" t="s">
        <v>484</v>
      </c>
      <c r="B38" s="676" t="s">
        <v>485</v>
      </c>
      <c r="C38" s="677" t="s">
        <v>497</v>
      </c>
      <c r="D38" s="678" t="s">
        <v>498</v>
      </c>
      <c r="E38" s="679">
        <v>50113001</v>
      </c>
      <c r="F38" s="678" t="s">
        <v>502</v>
      </c>
      <c r="G38" s="677" t="s">
        <v>527</v>
      </c>
      <c r="H38" s="677">
        <v>112892</v>
      </c>
      <c r="I38" s="677">
        <v>12892</v>
      </c>
      <c r="J38" s="677" t="s">
        <v>563</v>
      </c>
      <c r="K38" s="677" t="s">
        <v>564</v>
      </c>
      <c r="L38" s="680">
        <v>104.34999999999998</v>
      </c>
      <c r="M38" s="680">
        <v>1</v>
      </c>
      <c r="N38" s="681">
        <v>104.34999999999998</v>
      </c>
    </row>
    <row r="39" spans="1:14" ht="14.4" customHeight="1" x14ac:dyDescent="0.3">
      <c r="A39" s="675" t="s">
        <v>484</v>
      </c>
      <c r="B39" s="676" t="s">
        <v>485</v>
      </c>
      <c r="C39" s="677" t="s">
        <v>497</v>
      </c>
      <c r="D39" s="678" t="s">
        <v>498</v>
      </c>
      <c r="E39" s="679">
        <v>50113001</v>
      </c>
      <c r="F39" s="678" t="s">
        <v>502</v>
      </c>
      <c r="G39" s="677" t="s">
        <v>503</v>
      </c>
      <c r="H39" s="677">
        <v>988158</v>
      </c>
      <c r="I39" s="677">
        <v>500933</v>
      </c>
      <c r="J39" s="677" t="s">
        <v>565</v>
      </c>
      <c r="K39" s="677" t="s">
        <v>566</v>
      </c>
      <c r="L39" s="680">
        <v>336.65999999999997</v>
      </c>
      <c r="M39" s="680">
        <v>2</v>
      </c>
      <c r="N39" s="681">
        <v>673.31999999999994</v>
      </c>
    </row>
    <row r="40" spans="1:14" ht="14.4" customHeight="1" x14ac:dyDescent="0.3">
      <c r="A40" s="675" t="s">
        <v>484</v>
      </c>
      <c r="B40" s="676" t="s">
        <v>485</v>
      </c>
      <c r="C40" s="677" t="s">
        <v>497</v>
      </c>
      <c r="D40" s="678" t="s">
        <v>498</v>
      </c>
      <c r="E40" s="679">
        <v>50113001</v>
      </c>
      <c r="F40" s="678" t="s">
        <v>502</v>
      </c>
      <c r="G40" s="677" t="s">
        <v>503</v>
      </c>
      <c r="H40" s="677">
        <v>119759</v>
      </c>
      <c r="I40" s="677">
        <v>19759</v>
      </c>
      <c r="J40" s="677" t="s">
        <v>567</v>
      </c>
      <c r="K40" s="677" t="s">
        <v>568</v>
      </c>
      <c r="L40" s="680">
        <v>72.300000000000011</v>
      </c>
      <c r="M40" s="680">
        <v>3</v>
      </c>
      <c r="N40" s="681">
        <v>216.90000000000003</v>
      </c>
    </row>
    <row r="41" spans="1:14" ht="14.4" customHeight="1" x14ac:dyDescent="0.3">
      <c r="A41" s="675" t="s">
        <v>484</v>
      </c>
      <c r="B41" s="676" t="s">
        <v>485</v>
      </c>
      <c r="C41" s="677" t="s">
        <v>497</v>
      </c>
      <c r="D41" s="678" t="s">
        <v>498</v>
      </c>
      <c r="E41" s="679">
        <v>50113001</v>
      </c>
      <c r="F41" s="678" t="s">
        <v>502</v>
      </c>
      <c r="G41" s="677" t="s">
        <v>503</v>
      </c>
      <c r="H41" s="677">
        <v>176496</v>
      </c>
      <c r="I41" s="677">
        <v>76496</v>
      </c>
      <c r="J41" s="677" t="s">
        <v>569</v>
      </c>
      <c r="K41" s="677" t="s">
        <v>570</v>
      </c>
      <c r="L41" s="680">
        <v>125.43000000000002</v>
      </c>
      <c r="M41" s="680">
        <v>31</v>
      </c>
      <c r="N41" s="681">
        <v>3888.3300000000008</v>
      </c>
    </row>
    <row r="42" spans="1:14" ht="14.4" customHeight="1" x14ac:dyDescent="0.3">
      <c r="A42" s="675" t="s">
        <v>484</v>
      </c>
      <c r="B42" s="676" t="s">
        <v>485</v>
      </c>
      <c r="C42" s="677" t="s">
        <v>497</v>
      </c>
      <c r="D42" s="678" t="s">
        <v>498</v>
      </c>
      <c r="E42" s="679">
        <v>50113001</v>
      </c>
      <c r="F42" s="678" t="s">
        <v>502</v>
      </c>
      <c r="G42" s="677" t="s">
        <v>503</v>
      </c>
      <c r="H42" s="677">
        <v>162317</v>
      </c>
      <c r="I42" s="677">
        <v>62317</v>
      </c>
      <c r="J42" s="677" t="s">
        <v>571</v>
      </c>
      <c r="K42" s="677" t="s">
        <v>572</v>
      </c>
      <c r="L42" s="680">
        <v>321.93</v>
      </c>
      <c r="M42" s="680">
        <v>8</v>
      </c>
      <c r="N42" s="681">
        <v>2575.44</v>
      </c>
    </row>
    <row r="43" spans="1:14" ht="14.4" customHeight="1" x14ac:dyDescent="0.3">
      <c r="A43" s="675" t="s">
        <v>484</v>
      </c>
      <c r="B43" s="676" t="s">
        <v>485</v>
      </c>
      <c r="C43" s="677" t="s">
        <v>497</v>
      </c>
      <c r="D43" s="678" t="s">
        <v>498</v>
      </c>
      <c r="E43" s="679">
        <v>50113001</v>
      </c>
      <c r="F43" s="678" t="s">
        <v>502</v>
      </c>
      <c r="G43" s="677" t="s">
        <v>527</v>
      </c>
      <c r="H43" s="677">
        <v>183974</v>
      </c>
      <c r="I43" s="677">
        <v>83974</v>
      </c>
      <c r="J43" s="677" t="s">
        <v>573</v>
      </c>
      <c r="K43" s="677" t="s">
        <v>574</v>
      </c>
      <c r="L43" s="680">
        <v>94.669999999999987</v>
      </c>
      <c r="M43" s="680">
        <v>27</v>
      </c>
      <c r="N43" s="681">
        <v>2556.0899999999997</v>
      </c>
    </row>
    <row r="44" spans="1:14" ht="14.4" customHeight="1" x14ac:dyDescent="0.3">
      <c r="A44" s="675" t="s">
        <v>484</v>
      </c>
      <c r="B44" s="676" t="s">
        <v>485</v>
      </c>
      <c r="C44" s="677" t="s">
        <v>497</v>
      </c>
      <c r="D44" s="678" t="s">
        <v>498</v>
      </c>
      <c r="E44" s="679">
        <v>50113001</v>
      </c>
      <c r="F44" s="678" t="s">
        <v>502</v>
      </c>
      <c r="G44" s="677" t="s">
        <v>527</v>
      </c>
      <c r="H44" s="677">
        <v>146981</v>
      </c>
      <c r="I44" s="677">
        <v>46981</v>
      </c>
      <c r="J44" s="677" t="s">
        <v>575</v>
      </c>
      <c r="K44" s="677" t="s">
        <v>576</v>
      </c>
      <c r="L44" s="680">
        <v>99.46</v>
      </c>
      <c r="M44" s="680">
        <v>1</v>
      </c>
      <c r="N44" s="681">
        <v>99.46</v>
      </c>
    </row>
    <row r="45" spans="1:14" ht="14.4" customHeight="1" x14ac:dyDescent="0.3">
      <c r="A45" s="675" t="s">
        <v>484</v>
      </c>
      <c r="B45" s="676" t="s">
        <v>485</v>
      </c>
      <c r="C45" s="677" t="s">
        <v>497</v>
      </c>
      <c r="D45" s="678" t="s">
        <v>498</v>
      </c>
      <c r="E45" s="679">
        <v>50113001</v>
      </c>
      <c r="F45" s="678" t="s">
        <v>502</v>
      </c>
      <c r="G45" s="677" t="s">
        <v>527</v>
      </c>
      <c r="H45" s="677">
        <v>49941</v>
      </c>
      <c r="I45" s="677">
        <v>49941</v>
      </c>
      <c r="J45" s="677" t="s">
        <v>577</v>
      </c>
      <c r="K45" s="677" t="s">
        <v>578</v>
      </c>
      <c r="L45" s="680">
        <v>296.54000000000008</v>
      </c>
      <c r="M45" s="680">
        <v>2</v>
      </c>
      <c r="N45" s="681">
        <v>593.08000000000015</v>
      </c>
    </row>
    <row r="46" spans="1:14" ht="14.4" customHeight="1" x14ac:dyDescent="0.3">
      <c r="A46" s="675" t="s">
        <v>484</v>
      </c>
      <c r="B46" s="676" t="s">
        <v>485</v>
      </c>
      <c r="C46" s="677" t="s">
        <v>497</v>
      </c>
      <c r="D46" s="678" t="s">
        <v>498</v>
      </c>
      <c r="E46" s="679">
        <v>50113001</v>
      </c>
      <c r="F46" s="678" t="s">
        <v>502</v>
      </c>
      <c r="G46" s="677" t="s">
        <v>527</v>
      </c>
      <c r="H46" s="677">
        <v>132225</v>
      </c>
      <c r="I46" s="677">
        <v>32225</v>
      </c>
      <c r="J46" s="677" t="s">
        <v>579</v>
      </c>
      <c r="K46" s="677" t="s">
        <v>580</v>
      </c>
      <c r="L46" s="680">
        <v>73.930000000000007</v>
      </c>
      <c r="M46" s="680">
        <v>1</v>
      </c>
      <c r="N46" s="681">
        <v>73.930000000000007</v>
      </c>
    </row>
    <row r="47" spans="1:14" ht="14.4" customHeight="1" x14ac:dyDescent="0.3">
      <c r="A47" s="675" t="s">
        <v>484</v>
      </c>
      <c r="B47" s="676" t="s">
        <v>485</v>
      </c>
      <c r="C47" s="677" t="s">
        <v>497</v>
      </c>
      <c r="D47" s="678" t="s">
        <v>498</v>
      </c>
      <c r="E47" s="679">
        <v>50113001</v>
      </c>
      <c r="F47" s="678" t="s">
        <v>502</v>
      </c>
      <c r="G47" s="677" t="s">
        <v>503</v>
      </c>
      <c r="H47" s="677">
        <v>850305</v>
      </c>
      <c r="I47" s="677">
        <v>0</v>
      </c>
      <c r="J47" s="677" t="s">
        <v>581</v>
      </c>
      <c r="K47" s="677" t="s">
        <v>486</v>
      </c>
      <c r="L47" s="680">
        <v>339.84000000000003</v>
      </c>
      <c r="M47" s="680">
        <v>1</v>
      </c>
      <c r="N47" s="681">
        <v>339.84000000000003</v>
      </c>
    </row>
    <row r="48" spans="1:14" ht="14.4" customHeight="1" x14ac:dyDescent="0.3">
      <c r="A48" s="675" t="s">
        <v>484</v>
      </c>
      <c r="B48" s="676" t="s">
        <v>485</v>
      </c>
      <c r="C48" s="677" t="s">
        <v>497</v>
      </c>
      <c r="D48" s="678" t="s">
        <v>498</v>
      </c>
      <c r="E48" s="679">
        <v>50113001</v>
      </c>
      <c r="F48" s="678" t="s">
        <v>502</v>
      </c>
      <c r="G48" s="677" t="s">
        <v>503</v>
      </c>
      <c r="H48" s="677">
        <v>845329</v>
      </c>
      <c r="I48" s="677">
        <v>0</v>
      </c>
      <c r="J48" s="677" t="s">
        <v>582</v>
      </c>
      <c r="K48" s="677" t="s">
        <v>486</v>
      </c>
      <c r="L48" s="680">
        <v>169.91999999999996</v>
      </c>
      <c r="M48" s="680">
        <v>2</v>
      </c>
      <c r="N48" s="681">
        <v>339.83999999999992</v>
      </c>
    </row>
    <row r="49" spans="1:14" ht="14.4" customHeight="1" x14ac:dyDescent="0.3">
      <c r="A49" s="675" t="s">
        <v>484</v>
      </c>
      <c r="B49" s="676" t="s">
        <v>485</v>
      </c>
      <c r="C49" s="677" t="s">
        <v>497</v>
      </c>
      <c r="D49" s="678" t="s">
        <v>498</v>
      </c>
      <c r="E49" s="679">
        <v>50113001</v>
      </c>
      <c r="F49" s="678" t="s">
        <v>502</v>
      </c>
      <c r="G49" s="677" t="s">
        <v>503</v>
      </c>
      <c r="H49" s="677">
        <v>203954</v>
      </c>
      <c r="I49" s="677">
        <v>203954</v>
      </c>
      <c r="J49" s="677" t="s">
        <v>583</v>
      </c>
      <c r="K49" s="677" t="s">
        <v>584</v>
      </c>
      <c r="L49" s="680">
        <v>93.039999999999978</v>
      </c>
      <c r="M49" s="680">
        <v>1</v>
      </c>
      <c r="N49" s="681">
        <v>93.039999999999978</v>
      </c>
    </row>
    <row r="50" spans="1:14" ht="14.4" customHeight="1" x14ac:dyDescent="0.3">
      <c r="A50" s="675" t="s">
        <v>484</v>
      </c>
      <c r="B50" s="676" t="s">
        <v>485</v>
      </c>
      <c r="C50" s="677" t="s">
        <v>497</v>
      </c>
      <c r="D50" s="678" t="s">
        <v>498</v>
      </c>
      <c r="E50" s="679">
        <v>50113001</v>
      </c>
      <c r="F50" s="678" t="s">
        <v>502</v>
      </c>
      <c r="G50" s="677" t="s">
        <v>503</v>
      </c>
      <c r="H50" s="677">
        <v>108651</v>
      </c>
      <c r="I50" s="677">
        <v>8651</v>
      </c>
      <c r="J50" s="677" t="s">
        <v>585</v>
      </c>
      <c r="K50" s="677" t="s">
        <v>586</v>
      </c>
      <c r="L50" s="680">
        <v>188.89</v>
      </c>
      <c r="M50" s="680">
        <v>2</v>
      </c>
      <c r="N50" s="681">
        <v>377.78</v>
      </c>
    </row>
    <row r="51" spans="1:14" ht="14.4" customHeight="1" x14ac:dyDescent="0.3">
      <c r="A51" s="675" t="s">
        <v>484</v>
      </c>
      <c r="B51" s="676" t="s">
        <v>485</v>
      </c>
      <c r="C51" s="677" t="s">
        <v>497</v>
      </c>
      <c r="D51" s="678" t="s">
        <v>498</v>
      </c>
      <c r="E51" s="679">
        <v>50113001</v>
      </c>
      <c r="F51" s="678" t="s">
        <v>502</v>
      </c>
      <c r="G51" s="677" t="s">
        <v>503</v>
      </c>
      <c r="H51" s="677">
        <v>185625</v>
      </c>
      <c r="I51" s="677">
        <v>185625</v>
      </c>
      <c r="J51" s="677" t="s">
        <v>587</v>
      </c>
      <c r="K51" s="677" t="s">
        <v>544</v>
      </c>
      <c r="L51" s="680">
        <v>50.11</v>
      </c>
      <c r="M51" s="680">
        <v>5</v>
      </c>
      <c r="N51" s="681">
        <v>250.55</v>
      </c>
    </row>
    <row r="52" spans="1:14" ht="14.4" customHeight="1" x14ac:dyDescent="0.3">
      <c r="A52" s="675" t="s">
        <v>484</v>
      </c>
      <c r="B52" s="676" t="s">
        <v>485</v>
      </c>
      <c r="C52" s="677" t="s">
        <v>497</v>
      </c>
      <c r="D52" s="678" t="s">
        <v>498</v>
      </c>
      <c r="E52" s="679">
        <v>50113001</v>
      </c>
      <c r="F52" s="678" t="s">
        <v>502</v>
      </c>
      <c r="G52" s="677" t="s">
        <v>503</v>
      </c>
      <c r="H52" s="677">
        <v>199466</v>
      </c>
      <c r="I52" s="677">
        <v>199466</v>
      </c>
      <c r="J52" s="677" t="s">
        <v>588</v>
      </c>
      <c r="K52" s="677" t="s">
        <v>589</v>
      </c>
      <c r="L52" s="680">
        <v>91.793333333333337</v>
      </c>
      <c r="M52" s="680">
        <v>3</v>
      </c>
      <c r="N52" s="681">
        <v>275.38</v>
      </c>
    </row>
    <row r="53" spans="1:14" ht="14.4" customHeight="1" x14ac:dyDescent="0.3">
      <c r="A53" s="675" t="s">
        <v>484</v>
      </c>
      <c r="B53" s="676" t="s">
        <v>485</v>
      </c>
      <c r="C53" s="677" t="s">
        <v>497</v>
      </c>
      <c r="D53" s="678" t="s">
        <v>498</v>
      </c>
      <c r="E53" s="679">
        <v>50113001</v>
      </c>
      <c r="F53" s="678" t="s">
        <v>502</v>
      </c>
      <c r="G53" s="677" t="s">
        <v>503</v>
      </c>
      <c r="H53" s="677">
        <v>100407</v>
      </c>
      <c r="I53" s="677">
        <v>407</v>
      </c>
      <c r="J53" s="677" t="s">
        <v>590</v>
      </c>
      <c r="K53" s="677" t="s">
        <v>591</v>
      </c>
      <c r="L53" s="680">
        <v>186.26911764705883</v>
      </c>
      <c r="M53" s="680">
        <v>68</v>
      </c>
      <c r="N53" s="681">
        <v>12666.300000000001</v>
      </c>
    </row>
    <row r="54" spans="1:14" ht="14.4" customHeight="1" x14ac:dyDescent="0.3">
      <c r="A54" s="675" t="s">
        <v>484</v>
      </c>
      <c r="B54" s="676" t="s">
        <v>485</v>
      </c>
      <c r="C54" s="677" t="s">
        <v>497</v>
      </c>
      <c r="D54" s="678" t="s">
        <v>498</v>
      </c>
      <c r="E54" s="679">
        <v>50113001</v>
      </c>
      <c r="F54" s="678" t="s">
        <v>502</v>
      </c>
      <c r="G54" s="677" t="s">
        <v>503</v>
      </c>
      <c r="H54" s="677">
        <v>149317</v>
      </c>
      <c r="I54" s="677">
        <v>49317</v>
      </c>
      <c r="J54" s="677" t="s">
        <v>592</v>
      </c>
      <c r="K54" s="677" t="s">
        <v>593</v>
      </c>
      <c r="L54" s="680">
        <v>299</v>
      </c>
      <c r="M54" s="680">
        <v>5</v>
      </c>
      <c r="N54" s="681">
        <v>1495</v>
      </c>
    </row>
    <row r="55" spans="1:14" ht="14.4" customHeight="1" x14ac:dyDescent="0.3">
      <c r="A55" s="675" t="s">
        <v>484</v>
      </c>
      <c r="B55" s="676" t="s">
        <v>485</v>
      </c>
      <c r="C55" s="677" t="s">
        <v>497</v>
      </c>
      <c r="D55" s="678" t="s">
        <v>498</v>
      </c>
      <c r="E55" s="679">
        <v>50113001</v>
      </c>
      <c r="F55" s="678" t="s">
        <v>502</v>
      </c>
      <c r="G55" s="677" t="s">
        <v>503</v>
      </c>
      <c r="H55" s="677">
        <v>100409</v>
      </c>
      <c r="I55" s="677">
        <v>409</v>
      </c>
      <c r="J55" s="677" t="s">
        <v>594</v>
      </c>
      <c r="K55" s="677" t="s">
        <v>595</v>
      </c>
      <c r="L55" s="680">
        <v>70.852499999999992</v>
      </c>
      <c r="M55" s="680">
        <v>8</v>
      </c>
      <c r="N55" s="681">
        <v>566.81999999999994</v>
      </c>
    </row>
    <row r="56" spans="1:14" ht="14.4" customHeight="1" x14ac:dyDescent="0.3">
      <c r="A56" s="675" t="s">
        <v>484</v>
      </c>
      <c r="B56" s="676" t="s">
        <v>485</v>
      </c>
      <c r="C56" s="677" t="s">
        <v>497</v>
      </c>
      <c r="D56" s="678" t="s">
        <v>498</v>
      </c>
      <c r="E56" s="679">
        <v>50113001</v>
      </c>
      <c r="F56" s="678" t="s">
        <v>502</v>
      </c>
      <c r="G56" s="677" t="s">
        <v>503</v>
      </c>
      <c r="H56" s="677">
        <v>137275</v>
      </c>
      <c r="I56" s="677">
        <v>137275</v>
      </c>
      <c r="J56" s="677" t="s">
        <v>596</v>
      </c>
      <c r="K56" s="677" t="s">
        <v>597</v>
      </c>
      <c r="L56" s="680">
        <v>1063.2400000000002</v>
      </c>
      <c r="M56" s="680">
        <v>3</v>
      </c>
      <c r="N56" s="681">
        <v>3189.7200000000007</v>
      </c>
    </row>
    <row r="57" spans="1:14" ht="14.4" customHeight="1" x14ac:dyDescent="0.3">
      <c r="A57" s="675" t="s">
        <v>484</v>
      </c>
      <c r="B57" s="676" t="s">
        <v>485</v>
      </c>
      <c r="C57" s="677" t="s">
        <v>497</v>
      </c>
      <c r="D57" s="678" t="s">
        <v>498</v>
      </c>
      <c r="E57" s="679">
        <v>50113001</v>
      </c>
      <c r="F57" s="678" t="s">
        <v>502</v>
      </c>
      <c r="G57" s="677" t="s">
        <v>503</v>
      </c>
      <c r="H57" s="677">
        <v>102132</v>
      </c>
      <c r="I57" s="677">
        <v>2132</v>
      </c>
      <c r="J57" s="677" t="s">
        <v>598</v>
      </c>
      <c r="K57" s="677" t="s">
        <v>599</v>
      </c>
      <c r="L57" s="680">
        <v>136.62000000000009</v>
      </c>
      <c r="M57" s="680">
        <v>1</v>
      </c>
      <c r="N57" s="681">
        <v>136.62000000000009</v>
      </c>
    </row>
    <row r="58" spans="1:14" ht="14.4" customHeight="1" x14ac:dyDescent="0.3">
      <c r="A58" s="675" t="s">
        <v>484</v>
      </c>
      <c r="B58" s="676" t="s">
        <v>485</v>
      </c>
      <c r="C58" s="677" t="s">
        <v>497</v>
      </c>
      <c r="D58" s="678" t="s">
        <v>498</v>
      </c>
      <c r="E58" s="679">
        <v>50113001</v>
      </c>
      <c r="F58" s="678" t="s">
        <v>502</v>
      </c>
      <c r="G58" s="677" t="s">
        <v>527</v>
      </c>
      <c r="H58" s="677">
        <v>849990</v>
      </c>
      <c r="I58" s="677">
        <v>102596</v>
      </c>
      <c r="J58" s="677" t="s">
        <v>600</v>
      </c>
      <c r="K58" s="677" t="s">
        <v>601</v>
      </c>
      <c r="L58" s="680">
        <v>24.93000000000001</v>
      </c>
      <c r="M58" s="680">
        <v>1</v>
      </c>
      <c r="N58" s="681">
        <v>24.93000000000001</v>
      </c>
    </row>
    <row r="59" spans="1:14" ht="14.4" customHeight="1" x14ac:dyDescent="0.3">
      <c r="A59" s="675" t="s">
        <v>484</v>
      </c>
      <c r="B59" s="676" t="s">
        <v>485</v>
      </c>
      <c r="C59" s="677" t="s">
        <v>497</v>
      </c>
      <c r="D59" s="678" t="s">
        <v>498</v>
      </c>
      <c r="E59" s="679">
        <v>50113001</v>
      </c>
      <c r="F59" s="678" t="s">
        <v>502</v>
      </c>
      <c r="G59" s="677" t="s">
        <v>503</v>
      </c>
      <c r="H59" s="677">
        <v>990413</v>
      </c>
      <c r="I59" s="677">
        <v>0</v>
      </c>
      <c r="J59" s="677" t="s">
        <v>602</v>
      </c>
      <c r="K59" s="677" t="s">
        <v>486</v>
      </c>
      <c r="L59" s="680">
        <v>349.20800000000003</v>
      </c>
      <c r="M59" s="680">
        <v>7</v>
      </c>
      <c r="N59" s="681">
        <v>2444.4560000000001</v>
      </c>
    </row>
    <row r="60" spans="1:14" ht="14.4" customHeight="1" x14ac:dyDescent="0.3">
      <c r="A60" s="675" t="s">
        <v>484</v>
      </c>
      <c r="B60" s="676" t="s">
        <v>485</v>
      </c>
      <c r="C60" s="677" t="s">
        <v>497</v>
      </c>
      <c r="D60" s="678" t="s">
        <v>498</v>
      </c>
      <c r="E60" s="679">
        <v>50113001</v>
      </c>
      <c r="F60" s="678" t="s">
        <v>502</v>
      </c>
      <c r="G60" s="677" t="s">
        <v>503</v>
      </c>
      <c r="H60" s="677">
        <v>182977</v>
      </c>
      <c r="I60" s="677">
        <v>182977</v>
      </c>
      <c r="J60" s="677" t="s">
        <v>603</v>
      </c>
      <c r="K60" s="677" t="s">
        <v>604</v>
      </c>
      <c r="L60" s="680">
        <v>145.86000000000001</v>
      </c>
      <c r="M60" s="680">
        <v>1</v>
      </c>
      <c r="N60" s="681">
        <v>145.86000000000001</v>
      </c>
    </row>
    <row r="61" spans="1:14" ht="14.4" customHeight="1" x14ac:dyDescent="0.3">
      <c r="A61" s="675" t="s">
        <v>484</v>
      </c>
      <c r="B61" s="676" t="s">
        <v>485</v>
      </c>
      <c r="C61" s="677" t="s">
        <v>497</v>
      </c>
      <c r="D61" s="678" t="s">
        <v>498</v>
      </c>
      <c r="E61" s="679">
        <v>50113001</v>
      </c>
      <c r="F61" s="678" t="s">
        <v>502</v>
      </c>
      <c r="G61" s="677" t="s">
        <v>503</v>
      </c>
      <c r="H61" s="677">
        <v>117293</v>
      </c>
      <c r="I61" s="677">
        <v>17293</v>
      </c>
      <c r="J61" s="677" t="s">
        <v>605</v>
      </c>
      <c r="K61" s="677" t="s">
        <v>606</v>
      </c>
      <c r="L61" s="680">
        <v>86.140000000000015</v>
      </c>
      <c r="M61" s="680">
        <v>2</v>
      </c>
      <c r="N61" s="681">
        <v>172.28000000000003</v>
      </c>
    </row>
    <row r="62" spans="1:14" ht="14.4" customHeight="1" x14ac:dyDescent="0.3">
      <c r="A62" s="675" t="s">
        <v>484</v>
      </c>
      <c r="B62" s="676" t="s">
        <v>485</v>
      </c>
      <c r="C62" s="677" t="s">
        <v>497</v>
      </c>
      <c r="D62" s="678" t="s">
        <v>498</v>
      </c>
      <c r="E62" s="679">
        <v>50113001</v>
      </c>
      <c r="F62" s="678" t="s">
        <v>502</v>
      </c>
      <c r="G62" s="677" t="s">
        <v>503</v>
      </c>
      <c r="H62" s="677">
        <v>117294</v>
      </c>
      <c r="I62" s="677">
        <v>17294</v>
      </c>
      <c r="J62" s="677" t="s">
        <v>605</v>
      </c>
      <c r="K62" s="677" t="s">
        <v>607</v>
      </c>
      <c r="L62" s="680">
        <v>125.41</v>
      </c>
      <c r="M62" s="680">
        <v>2</v>
      </c>
      <c r="N62" s="681">
        <v>250.82</v>
      </c>
    </row>
    <row r="63" spans="1:14" ht="14.4" customHeight="1" x14ac:dyDescent="0.3">
      <c r="A63" s="675" t="s">
        <v>484</v>
      </c>
      <c r="B63" s="676" t="s">
        <v>485</v>
      </c>
      <c r="C63" s="677" t="s">
        <v>497</v>
      </c>
      <c r="D63" s="678" t="s">
        <v>498</v>
      </c>
      <c r="E63" s="679">
        <v>50113001</v>
      </c>
      <c r="F63" s="678" t="s">
        <v>502</v>
      </c>
      <c r="G63" s="677" t="s">
        <v>503</v>
      </c>
      <c r="H63" s="677">
        <v>150660</v>
      </c>
      <c r="I63" s="677">
        <v>150660</v>
      </c>
      <c r="J63" s="677" t="s">
        <v>608</v>
      </c>
      <c r="K63" s="677" t="s">
        <v>609</v>
      </c>
      <c r="L63" s="680">
        <v>793.32000000000028</v>
      </c>
      <c r="M63" s="680">
        <v>12</v>
      </c>
      <c r="N63" s="681">
        <v>9519.8400000000038</v>
      </c>
    </row>
    <row r="64" spans="1:14" ht="14.4" customHeight="1" x14ac:dyDescent="0.3">
      <c r="A64" s="675" t="s">
        <v>484</v>
      </c>
      <c r="B64" s="676" t="s">
        <v>485</v>
      </c>
      <c r="C64" s="677" t="s">
        <v>497</v>
      </c>
      <c r="D64" s="678" t="s">
        <v>498</v>
      </c>
      <c r="E64" s="679">
        <v>50113001</v>
      </c>
      <c r="F64" s="678" t="s">
        <v>502</v>
      </c>
      <c r="G64" s="677" t="s">
        <v>503</v>
      </c>
      <c r="H64" s="677">
        <v>145981</v>
      </c>
      <c r="I64" s="677">
        <v>45981</v>
      </c>
      <c r="J64" s="677" t="s">
        <v>610</v>
      </c>
      <c r="K64" s="677" t="s">
        <v>611</v>
      </c>
      <c r="L64" s="680">
        <v>1704.5600000000004</v>
      </c>
      <c r="M64" s="680">
        <v>22</v>
      </c>
      <c r="N64" s="681">
        <v>37500.320000000007</v>
      </c>
    </row>
    <row r="65" spans="1:14" ht="14.4" customHeight="1" x14ac:dyDescent="0.3">
      <c r="A65" s="675" t="s">
        <v>484</v>
      </c>
      <c r="B65" s="676" t="s">
        <v>485</v>
      </c>
      <c r="C65" s="677" t="s">
        <v>497</v>
      </c>
      <c r="D65" s="678" t="s">
        <v>498</v>
      </c>
      <c r="E65" s="679">
        <v>50113001</v>
      </c>
      <c r="F65" s="678" t="s">
        <v>502</v>
      </c>
      <c r="G65" s="677" t="s">
        <v>527</v>
      </c>
      <c r="H65" s="677">
        <v>117425</v>
      </c>
      <c r="I65" s="677">
        <v>17425</v>
      </c>
      <c r="J65" s="677" t="s">
        <v>612</v>
      </c>
      <c r="K65" s="677" t="s">
        <v>613</v>
      </c>
      <c r="L65" s="680">
        <v>19.973333333333333</v>
      </c>
      <c r="M65" s="680">
        <v>3</v>
      </c>
      <c r="N65" s="681">
        <v>59.92</v>
      </c>
    </row>
    <row r="66" spans="1:14" ht="14.4" customHeight="1" x14ac:dyDescent="0.3">
      <c r="A66" s="675" t="s">
        <v>484</v>
      </c>
      <c r="B66" s="676" t="s">
        <v>485</v>
      </c>
      <c r="C66" s="677" t="s">
        <v>497</v>
      </c>
      <c r="D66" s="678" t="s">
        <v>498</v>
      </c>
      <c r="E66" s="679">
        <v>50113001</v>
      </c>
      <c r="F66" s="678" t="s">
        <v>502</v>
      </c>
      <c r="G66" s="677" t="s">
        <v>527</v>
      </c>
      <c r="H66" s="677">
        <v>117431</v>
      </c>
      <c r="I66" s="677">
        <v>17431</v>
      </c>
      <c r="J66" s="677" t="s">
        <v>614</v>
      </c>
      <c r="K66" s="677" t="s">
        <v>516</v>
      </c>
      <c r="L66" s="680">
        <v>27.36</v>
      </c>
      <c r="M66" s="680">
        <v>4</v>
      </c>
      <c r="N66" s="681">
        <v>109.44</v>
      </c>
    </row>
    <row r="67" spans="1:14" ht="14.4" customHeight="1" x14ac:dyDescent="0.3">
      <c r="A67" s="675" t="s">
        <v>484</v>
      </c>
      <c r="B67" s="676" t="s">
        <v>485</v>
      </c>
      <c r="C67" s="677" t="s">
        <v>497</v>
      </c>
      <c r="D67" s="678" t="s">
        <v>498</v>
      </c>
      <c r="E67" s="679">
        <v>50113001</v>
      </c>
      <c r="F67" s="678" t="s">
        <v>502</v>
      </c>
      <c r="G67" s="677" t="s">
        <v>503</v>
      </c>
      <c r="H67" s="677">
        <v>848783</v>
      </c>
      <c r="I67" s="677">
        <v>115400</v>
      </c>
      <c r="J67" s="677" t="s">
        <v>615</v>
      </c>
      <c r="K67" s="677" t="s">
        <v>616</v>
      </c>
      <c r="L67" s="680">
        <v>309.44026006964924</v>
      </c>
      <c r="M67" s="680">
        <v>1</v>
      </c>
      <c r="N67" s="681">
        <v>309.44026006964924</v>
      </c>
    </row>
    <row r="68" spans="1:14" ht="14.4" customHeight="1" x14ac:dyDescent="0.3">
      <c r="A68" s="675" t="s">
        <v>484</v>
      </c>
      <c r="B68" s="676" t="s">
        <v>485</v>
      </c>
      <c r="C68" s="677" t="s">
        <v>497</v>
      </c>
      <c r="D68" s="678" t="s">
        <v>498</v>
      </c>
      <c r="E68" s="679">
        <v>50113001</v>
      </c>
      <c r="F68" s="678" t="s">
        <v>502</v>
      </c>
      <c r="G68" s="677" t="s">
        <v>503</v>
      </c>
      <c r="H68" s="677">
        <v>850147</v>
      </c>
      <c r="I68" s="677">
        <v>107950</v>
      </c>
      <c r="J68" s="677" t="s">
        <v>617</v>
      </c>
      <c r="K68" s="677" t="s">
        <v>618</v>
      </c>
      <c r="L68" s="680">
        <v>1543.76</v>
      </c>
      <c r="M68" s="680">
        <v>5</v>
      </c>
      <c r="N68" s="681">
        <v>7718.8</v>
      </c>
    </row>
    <row r="69" spans="1:14" ht="14.4" customHeight="1" x14ac:dyDescent="0.3">
      <c r="A69" s="675" t="s">
        <v>484</v>
      </c>
      <c r="B69" s="676" t="s">
        <v>485</v>
      </c>
      <c r="C69" s="677" t="s">
        <v>497</v>
      </c>
      <c r="D69" s="678" t="s">
        <v>498</v>
      </c>
      <c r="E69" s="679">
        <v>50113001</v>
      </c>
      <c r="F69" s="678" t="s">
        <v>502</v>
      </c>
      <c r="G69" s="677" t="s">
        <v>503</v>
      </c>
      <c r="H69" s="677">
        <v>156993</v>
      </c>
      <c r="I69" s="677">
        <v>56993</v>
      </c>
      <c r="J69" s="677" t="s">
        <v>619</v>
      </c>
      <c r="K69" s="677" t="s">
        <v>620</v>
      </c>
      <c r="L69" s="680">
        <v>73.660000000000011</v>
      </c>
      <c r="M69" s="680">
        <v>4</v>
      </c>
      <c r="N69" s="681">
        <v>294.64000000000004</v>
      </c>
    </row>
    <row r="70" spans="1:14" ht="14.4" customHeight="1" x14ac:dyDescent="0.3">
      <c r="A70" s="675" t="s">
        <v>484</v>
      </c>
      <c r="B70" s="676" t="s">
        <v>485</v>
      </c>
      <c r="C70" s="677" t="s">
        <v>497</v>
      </c>
      <c r="D70" s="678" t="s">
        <v>498</v>
      </c>
      <c r="E70" s="679">
        <v>50113001</v>
      </c>
      <c r="F70" s="678" t="s">
        <v>502</v>
      </c>
      <c r="G70" s="677" t="s">
        <v>503</v>
      </c>
      <c r="H70" s="677">
        <v>47710</v>
      </c>
      <c r="I70" s="677">
        <v>47710</v>
      </c>
      <c r="J70" s="677" t="s">
        <v>621</v>
      </c>
      <c r="K70" s="677" t="s">
        <v>622</v>
      </c>
      <c r="L70" s="680">
        <v>68.480000000000018</v>
      </c>
      <c r="M70" s="680">
        <v>1</v>
      </c>
      <c r="N70" s="681">
        <v>68.480000000000018</v>
      </c>
    </row>
    <row r="71" spans="1:14" ht="14.4" customHeight="1" x14ac:dyDescent="0.3">
      <c r="A71" s="675" t="s">
        <v>484</v>
      </c>
      <c r="B71" s="676" t="s">
        <v>485</v>
      </c>
      <c r="C71" s="677" t="s">
        <v>497</v>
      </c>
      <c r="D71" s="678" t="s">
        <v>498</v>
      </c>
      <c r="E71" s="679">
        <v>50113001</v>
      </c>
      <c r="F71" s="678" t="s">
        <v>502</v>
      </c>
      <c r="G71" s="677" t="s">
        <v>503</v>
      </c>
      <c r="H71" s="677">
        <v>144980</v>
      </c>
      <c r="I71" s="677">
        <v>44980</v>
      </c>
      <c r="J71" s="677" t="s">
        <v>623</v>
      </c>
      <c r="K71" s="677" t="s">
        <v>624</v>
      </c>
      <c r="L71" s="680">
        <v>259.82571210053277</v>
      </c>
      <c r="M71" s="680">
        <v>3</v>
      </c>
      <c r="N71" s="681">
        <v>779.47713630159831</v>
      </c>
    </row>
    <row r="72" spans="1:14" ht="14.4" customHeight="1" x14ac:dyDescent="0.3">
      <c r="A72" s="675" t="s">
        <v>484</v>
      </c>
      <c r="B72" s="676" t="s">
        <v>485</v>
      </c>
      <c r="C72" s="677" t="s">
        <v>497</v>
      </c>
      <c r="D72" s="678" t="s">
        <v>498</v>
      </c>
      <c r="E72" s="679">
        <v>50113001</v>
      </c>
      <c r="F72" s="678" t="s">
        <v>502</v>
      </c>
      <c r="G72" s="677" t="s">
        <v>527</v>
      </c>
      <c r="H72" s="677">
        <v>214435</v>
      </c>
      <c r="I72" s="677">
        <v>214435</v>
      </c>
      <c r="J72" s="677" t="s">
        <v>625</v>
      </c>
      <c r="K72" s="677" t="s">
        <v>626</v>
      </c>
      <c r="L72" s="680">
        <v>77.15000000000002</v>
      </c>
      <c r="M72" s="680">
        <v>1</v>
      </c>
      <c r="N72" s="681">
        <v>77.15000000000002</v>
      </c>
    </row>
    <row r="73" spans="1:14" ht="14.4" customHeight="1" x14ac:dyDescent="0.3">
      <c r="A73" s="675" t="s">
        <v>484</v>
      </c>
      <c r="B73" s="676" t="s">
        <v>485</v>
      </c>
      <c r="C73" s="677" t="s">
        <v>497</v>
      </c>
      <c r="D73" s="678" t="s">
        <v>498</v>
      </c>
      <c r="E73" s="679">
        <v>50113001</v>
      </c>
      <c r="F73" s="678" t="s">
        <v>502</v>
      </c>
      <c r="G73" s="677" t="s">
        <v>527</v>
      </c>
      <c r="H73" s="677">
        <v>214427</v>
      </c>
      <c r="I73" s="677">
        <v>214427</v>
      </c>
      <c r="J73" s="677" t="s">
        <v>627</v>
      </c>
      <c r="K73" s="677" t="s">
        <v>628</v>
      </c>
      <c r="L73" s="680">
        <v>67.603413464561569</v>
      </c>
      <c r="M73" s="680">
        <v>1600</v>
      </c>
      <c r="N73" s="681">
        <v>108165.46154329852</v>
      </c>
    </row>
    <row r="74" spans="1:14" ht="14.4" customHeight="1" x14ac:dyDescent="0.3">
      <c r="A74" s="675" t="s">
        <v>484</v>
      </c>
      <c r="B74" s="676" t="s">
        <v>485</v>
      </c>
      <c r="C74" s="677" t="s">
        <v>497</v>
      </c>
      <c r="D74" s="678" t="s">
        <v>498</v>
      </c>
      <c r="E74" s="679">
        <v>50113001</v>
      </c>
      <c r="F74" s="678" t="s">
        <v>502</v>
      </c>
      <c r="G74" s="677" t="s">
        <v>527</v>
      </c>
      <c r="H74" s="677">
        <v>113767</v>
      </c>
      <c r="I74" s="677">
        <v>13767</v>
      </c>
      <c r="J74" s="677" t="s">
        <v>629</v>
      </c>
      <c r="K74" s="677" t="s">
        <v>630</v>
      </c>
      <c r="L74" s="680">
        <v>45.189999999999991</v>
      </c>
      <c r="M74" s="680">
        <v>1</v>
      </c>
      <c r="N74" s="681">
        <v>45.189999999999991</v>
      </c>
    </row>
    <row r="75" spans="1:14" ht="14.4" customHeight="1" x14ac:dyDescent="0.3">
      <c r="A75" s="675" t="s">
        <v>484</v>
      </c>
      <c r="B75" s="676" t="s">
        <v>485</v>
      </c>
      <c r="C75" s="677" t="s">
        <v>497</v>
      </c>
      <c r="D75" s="678" t="s">
        <v>498</v>
      </c>
      <c r="E75" s="679">
        <v>50113001</v>
      </c>
      <c r="F75" s="678" t="s">
        <v>502</v>
      </c>
      <c r="G75" s="677" t="s">
        <v>527</v>
      </c>
      <c r="H75" s="677">
        <v>113768</v>
      </c>
      <c r="I75" s="677">
        <v>13768</v>
      </c>
      <c r="J75" s="677" t="s">
        <v>629</v>
      </c>
      <c r="K75" s="677" t="s">
        <v>631</v>
      </c>
      <c r="L75" s="680">
        <v>89.76</v>
      </c>
      <c r="M75" s="680">
        <v>1</v>
      </c>
      <c r="N75" s="681">
        <v>89.76</v>
      </c>
    </row>
    <row r="76" spans="1:14" ht="14.4" customHeight="1" x14ac:dyDescent="0.3">
      <c r="A76" s="675" t="s">
        <v>484</v>
      </c>
      <c r="B76" s="676" t="s">
        <v>485</v>
      </c>
      <c r="C76" s="677" t="s">
        <v>497</v>
      </c>
      <c r="D76" s="678" t="s">
        <v>498</v>
      </c>
      <c r="E76" s="679">
        <v>50113001</v>
      </c>
      <c r="F76" s="678" t="s">
        <v>502</v>
      </c>
      <c r="G76" s="677" t="s">
        <v>527</v>
      </c>
      <c r="H76" s="677">
        <v>848765</v>
      </c>
      <c r="I76" s="677">
        <v>107938</v>
      </c>
      <c r="J76" s="677" t="s">
        <v>629</v>
      </c>
      <c r="K76" s="677" t="s">
        <v>632</v>
      </c>
      <c r="L76" s="680">
        <v>129.12245283018871</v>
      </c>
      <c r="M76" s="680">
        <v>106</v>
      </c>
      <c r="N76" s="681">
        <v>13686.980000000001</v>
      </c>
    </row>
    <row r="77" spans="1:14" ht="14.4" customHeight="1" x14ac:dyDescent="0.3">
      <c r="A77" s="675" t="s">
        <v>484</v>
      </c>
      <c r="B77" s="676" t="s">
        <v>485</v>
      </c>
      <c r="C77" s="677" t="s">
        <v>497</v>
      </c>
      <c r="D77" s="678" t="s">
        <v>498</v>
      </c>
      <c r="E77" s="679">
        <v>50113001</v>
      </c>
      <c r="F77" s="678" t="s">
        <v>502</v>
      </c>
      <c r="G77" s="677" t="s">
        <v>503</v>
      </c>
      <c r="H77" s="677">
        <v>176155</v>
      </c>
      <c r="I77" s="677">
        <v>76155</v>
      </c>
      <c r="J77" s="677" t="s">
        <v>633</v>
      </c>
      <c r="K77" s="677" t="s">
        <v>634</v>
      </c>
      <c r="L77" s="680">
        <v>61.96</v>
      </c>
      <c r="M77" s="680">
        <v>2</v>
      </c>
      <c r="N77" s="681">
        <v>123.92</v>
      </c>
    </row>
    <row r="78" spans="1:14" ht="14.4" customHeight="1" x14ac:dyDescent="0.3">
      <c r="A78" s="675" t="s">
        <v>484</v>
      </c>
      <c r="B78" s="676" t="s">
        <v>485</v>
      </c>
      <c r="C78" s="677" t="s">
        <v>497</v>
      </c>
      <c r="D78" s="678" t="s">
        <v>498</v>
      </c>
      <c r="E78" s="679">
        <v>50113001</v>
      </c>
      <c r="F78" s="678" t="s">
        <v>502</v>
      </c>
      <c r="G78" s="677" t="s">
        <v>527</v>
      </c>
      <c r="H78" s="677">
        <v>116547</v>
      </c>
      <c r="I78" s="677">
        <v>16547</v>
      </c>
      <c r="J78" s="677" t="s">
        <v>635</v>
      </c>
      <c r="K78" s="677" t="s">
        <v>636</v>
      </c>
      <c r="L78" s="680">
        <v>529.83000000000004</v>
      </c>
      <c r="M78" s="680">
        <v>3</v>
      </c>
      <c r="N78" s="681">
        <v>1589.4900000000002</v>
      </c>
    </row>
    <row r="79" spans="1:14" ht="14.4" customHeight="1" x14ac:dyDescent="0.3">
      <c r="A79" s="675" t="s">
        <v>484</v>
      </c>
      <c r="B79" s="676" t="s">
        <v>485</v>
      </c>
      <c r="C79" s="677" t="s">
        <v>497</v>
      </c>
      <c r="D79" s="678" t="s">
        <v>498</v>
      </c>
      <c r="E79" s="679">
        <v>50113001</v>
      </c>
      <c r="F79" s="678" t="s">
        <v>502</v>
      </c>
      <c r="G79" s="677" t="s">
        <v>503</v>
      </c>
      <c r="H79" s="677">
        <v>845813</v>
      </c>
      <c r="I79" s="677">
        <v>0</v>
      </c>
      <c r="J79" s="677" t="s">
        <v>637</v>
      </c>
      <c r="K79" s="677" t="s">
        <v>486</v>
      </c>
      <c r="L79" s="680">
        <v>538.48</v>
      </c>
      <c r="M79" s="680">
        <v>2</v>
      </c>
      <c r="N79" s="681">
        <v>1076.96</v>
      </c>
    </row>
    <row r="80" spans="1:14" ht="14.4" customHeight="1" x14ac:dyDescent="0.3">
      <c r="A80" s="675" t="s">
        <v>484</v>
      </c>
      <c r="B80" s="676" t="s">
        <v>485</v>
      </c>
      <c r="C80" s="677" t="s">
        <v>497</v>
      </c>
      <c r="D80" s="678" t="s">
        <v>498</v>
      </c>
      <c r="E80" s="679">
        <v>50113001</v>
      </c>
      <c r="F80" s="678" t="s">
        <v>502</v>
      </c>
      <c r="G80" s="677" t="s">
        <v>503</v>
      </c>
      <c r="H80" s="677">
        <v>193105</v>
      </c>
      <c r="I80" s="677">
        <v>93105</v>
      </c>
      <c r="J80" s="677" t="s">
        <v>638</v>
      </c>
      <c r="K80" s="677" t="s">
        <v>639</v>
      </c>
      <c r="L80" s="680">
        <v>209.26301870186626</v>
      </c>
      <c r="M80" s="680">
        <v>102</v>
      </c>
      <c r="N80" s="681">
        <v>21344.827907590359</v>
      </c>
    </row>
    <row r="81" spans="1:14" ht="14.4" customHeight="1" x14ac:dyDescent="0.3">
      <c r="A81" s="675" t="s">
        <v>484</v>
      </c>
      <c r="B81" s="676" t="s">
        <v>485</v>
      </c>
      <c r="C81" s="677" t="s">
        <v>497</v>
      </c>
      <c r="D81" s="678" t="s">
        <v>498</v>
      </c>
      <c r="E81" s="679">
        <v>50113001</v>
      </c>
      <c r="F81" s="678" t="s">
        <v>502</v>
      </c>
      <c r="G81" s="677" t="s">
        <v>527</v>
      </c>
      <c r="H81" s="677">
        <v>847134</v>
      </c>
      <c r="I81" s="677">
        <v>151050</v>
      </c>
      <c r="J81" s="677" t="s">
        <v>640</v>
      </c>
      <c r="K81" s="677" t="s">
        <v>641</v>
      </c>
      <c r="L81" s="680">
        <v>960.25000000000011</v>
      </c>
      <c r="M81" s="680">
        <v>6</v>
      </c>
      <c r="N81" s="681">
        <v>5761.5000000000009</v>
      </c>
    </row>
    <row r="82" spans="1:14" ht="14.4" customHeight="1" x14ac:dyDescent="0.3">
      <c r="A82" s="675" t="s">
        <v>484</v>
      </c>
      <c r="B82" s="676" t="s">
        <v>485</v>
      </c>
      <c r="C82" s="677" t="s">
        <v>497</v>
      </c>
      <c r="D82" s="678" t="s">
        <v>498</v>
      </c>
      <c r="E82" s="679">
        <v>50113001</v>
      </c>
      <c r="F82" s="678" t="s">
        <v>502</v>
      </c>
      <c r="G82" s="677" t="s">
        <v>503</v>
      </c>
      <c r="H82" s="677">
        <v>100843</v>
      </c>
      <c r="I82" s="677">
        <v>843</v>
      </c>
      <c r="J82" s="677" t="s">
        <v>642</v>
      </c>
      <c r="K82" s="677" t="s">
        <v>643</v>
      </c>
      <c r="L82" s="680">
        <v>86.139970971209337</v>
      </c>
      <c r="M82" s="680">
        <v>5</v>
      </c>
      <c r="N82" s="681">
        <v>430.69985485604667</v>
      </c>
    </row>
    <row r="83" spans="1:14" ht="14.4" customHeight="1" x14ac:dyDescent="0.3">
      <c r="A83" s="675" t="s">
        <v>484</v>
      </c>
      <c r="B83" s="676" t="s">
        <v>485</v>
      </c>
      <c r="C83" s="677" t="s">
        <v>497</v>
      </c>
      <c r="D83" s="678" t="s">
        <v>498</v>
      </c>
      <c r="E83" s="679">
        <v>50113001</v>
      </c>
      <c r="F83" s="678" t="s">
        <v>502</v>
      </c>
      <c r="G83" s="677" t="s">
        <v>503</v>
      </c>
      <c r="H83" s="677">
        <v>149950</v>
      </c>
      <c r="I83" s="677">
        <v>49950</v>
      </c>
      <c r="J83" s="677" t="s">
        <v>644</v>
      </c>
      <c r="K83" s="677" t="s">
        <v>645</v>
      </c>
      <c r="L83" s="680">
        <v>59.25</v>
      </c>
      <c r="M83" s="680">
        <v>5</v>
      </c>
      <c r="N83" s="681">
        <v>296.25</v>
      </c>
    </row>
    <row r="84" spans="1:14" ht="14.4" customHeight="1" x14ac:dyDescent="0.3">
      <c r="A84" s="675" t="s">
        <v>484</v>
      </c>
      <c r="B84" s="676" t="s">
        <v>485</v>
      </c>
      <c r="C84" s="677" t="s">
        <v>497</v>
      </c>
      <c r="D84" s="678" t="s">
        <v>498</v>
      </c>
      <c r="E84" s="679">
        <v>50113001</v>
      </c>
      <c r="F84" s="678" t="s">
        <v>502</v>
      </c>
      <c r="G84" s="677" t="s">
        <v>503</v>
      </c>
      <c r="H84" s="677">
        <v>184090</v>
      </c>
      <c r="I84" s="677">
        <v>84090</v>
      </c>
      <c r="J84" s="677" t="s">
        <v>646</v>
      </c>
      <c r="K84" s="677" t="s">
        <v>647</v>
      </c>
      <c r="L84" s="680">
        <v>60.14</v>
      </c>
      <c r="M84" s="680">
        <v>51</v>
      </c>
      <c r="N84" s="681">
        <v>3067.14</v>
      </c>
    </row>
    <row r="85" spans="1:14" ht="14.4" customHeight="1" x14ac:dyDescent="0.3">
      <c r="A85" s="675" t="s">
        <v>484</v>
      </c>
      <c r="B85" s="676" t="s">
        <v>485</v>
      </c>
      <c r="C85" s="677" t="s">
        <v>497</v>
      </c>
      <c r="D85" s="678" t="s">
        <v>498</v>
      </c>
      <c r="E85" s="679">
        <v>50113001</v>
      </c>
      <c r="F85" s="678" t="s">
        <v>502</v>
      </c>
      <c r="G85" s="677" t="s">
        <v>503</v>
      </c>
      <c r="H85" s="677">
        <v>168650</v>
      </c>
      <c r="I85" s="677">
        <v>168650</v>
      </c>
      <c r="J85" s="677" t="s">
        <v>648</v>
      </c>
      <c r="K85" s="677" t="s">
        <v>649</v>
      </c>
      <c r="L85" s="680">
        <v>2687.2599999999998</v>
      </c>
      <c r="M85" s="680">
        <v>4</v>
      </c>
      <c r="N85" s="681">
        <v>10749.039999999999</v>
      </c>
    </row>
    <row r="86" spans="1:14" ht="14.4" customHeight="1" x14ac:dyDescent="0.3">
      <c r="A86" s="675" t="s">
        <v>484</v>
      </c>
      <c r="B86" s="676" t="s">
        <v>485</v>
      </c>
      <c r="C86" s="677" t="s">
        <v>497</v>
      </c>
      <c r="D86" s="678" t="s">
        <v>498</v>
      </c>
      <c r="E86" s="679">
        <v>50113001</v>
      </c>
      <c r="F86" s="678" t="s">
        <v>502</v>
      </c>
      <c r="G86" s="677" t="s">
        <v>503</v>
      </c>
      <c r="H86" s="677">
        <v>102478</v>
      </c>
      <c r="I86" s="677">
        <v>2478</v>
      </c>
      <c r="J86" s="677" t="s">
        <v>650</v>
      </c>
      <c r="K86" s="677" t="s">
        <v>651</v>
      </c>
      <c r="L86" s="680">
        <v>77.426000000000002</v>
      </c>
      <c r="M86" s="680">
        <v>5</v>
      </c>
      <c r="N86" s="681">
        <v>387.13</v>
      </c>
    </row>
    <row r="87" spans="1:14" ht="14.4" customHeight="1" x14ac:dyDescent="0.3">
      <c r="A87" s="675" t="s">
        <v>484</v>
      </c>
      <c r="B87" s="676" t="s">
        <v>485</v>
      </c>
      <c r="C87" s="677" t="s">
        <v>497</v>
      </c>
      <c r="D87" s="678" t="s">
        <v>498</v>
      </c>
      <c r="E87" s="679">
        <v>50113001</v>
      </c>
      <c r="F87" s="678" t="s">
        <v>502</v>
      </c>
      <c r="G87" s="677" t="s">
        <v>503</v>
      </c>
      <c r="H87" s="677">
        <v>846346</v>
      </c>
      <c r="I87" s="677">
        <v>119672</v>
      </c>
      <c r="J87" s="677" t="s">
        <v>652</v>
      </c>
      <c r="K87" s="677" t="s">
        <v>653</v>
      </c>
      <c r="L87" s="680">
        <v>115.57000000000005</v>
      </c>
      <c r="M87" s="680">
        <v>1</v>
      </c>
      <c r="N87" s="681">
        <v>115.57000000000005</v>
      </c>
    </row>
    <row r="88" spans="1:14" ht="14.4" customHeight="1" x14ac:dyDescent="0.3">
      <c r="A88" s="675" t="s">
        <v>484</v>
      </c>
      <c r="B88" s="676" t="s">
        <v>485</v>
      </c>
      <c r="C88" s="677" t="s">
        <v>497</v>
      </c>
      <c r="D88" s="678" t="s">
        <v>498</v>
      </c>
      <c r="E88" s="679">
        <v>50113001</v>
      </c>
      <c r="F88" s="678" t="s">
        <v>502</v>
      </c>
      <c r="G88" s="677" t="s">
        <v>503</v>
      </c>
      <c r="H88" s="677">
        <v>117011</v>
      </c>
      <c r="I88" s="677">
        <v>17011</v>
      </c>
      <c r="J88" s="677" t="s">
        <v>654</v>
      </c>
      <c r="K88" s="677" t="s">
        <v>655</v>
      </c>
      <c r="L88" s="680">
        <v>148.6968066199309</v>
      </c>
      <c r="M88" s="680">
        <v>280</v>
      </c>
      <c r="N88" s="681">
        <v>41635.105853580651</v>
      </c>
    </row>
    <row r="89" spans="1:14" ht="14.4" customHeight="1" x14ac:dyDescent="0.3">
      <c r="A89" s="675" t="s">
        <v>484</v>
      </c>
      <c r="B89" s="676" t="s">
        <v>485</v>
      </c>
      <c r="C89" s="677" t="s">
        <v>497</v>
      </c>
      <c r="D89" s="678" t="s">
        <v>498</v>
      </c>
      <c r="E89" s="679">
        <v>50113001</v>
      </c>
      <c r="F89" s="678" t="s">
        <v>502</v>
      </c>
      <c r="G89" s="677" t="s">
        <v>503</v>
      </c>
      <c r="H89" s="677">
        <v>103542</v>
      </c>
      <c r="I89" s="677">
        <v>3542</v>
      </c>
      <c r="J89" s="677" t="s">
        <v>656</v>
      </c>
      <c r="K89" s="677" t="s">
        <v>657</v>
      </c>
      <c r="L89" s="680">
        <v>35.543333333333329</v>
      </c>
      <c r="M89" s="680">
        <v>18</v>
      </c>
      <c r="N89" s="681">
        <v>639.78</v>
      </c>
    </row>
    <row r="90" spans="1:14" ht="14.4" customHeight="1" x14ac:dyDescent="0.3">
      <c r="A90" s="675" t="s">
        <v>484</v>
      </c>
      <c r="B90" s="676" t="s">
        <v>485</v>
      </c>
      <c r="C90" s="677" t="s">
        <v>497</v>
      </c>
      <c r="D90" s="678" t="s">
        <v>498</v>
      </c>
      <c r="E90" s="679">
        <v>50113001</v>
      </c>
      <c r="F90" s="678" t="s">
        <v>502</v>
      </c>
      <c r="G90" s="677" t="s">
        <v>503</v>
      </c>
      <c r="H90" s="677">
        <v>844831</v>
      </c>
      <c r="I90" s="677">
        <v>0</v>
      </c>
      <c r="J90" s="677" t="s">
        <v>658</v>
      </c>
      <c r="K90" s="677" t="s">
        <v>659</v>
      </c>
      <c r="L90" s="680">
        <v>1377.51</v>
      </c>
      <c r="M90" s="680">
        <v>4</v>
      </c>
      <c r="N90" s="681">
        <v>5510.04</v>
      </c>
    </row>
    <row r="91" spans="1:14" ht="14.4" customHeight="1" x14ac:dyDescent="0.3">
      <c r="A91" s="675" t="s">
        <v>484</v>
      </c>
      <c r="B91" s="676" t="s">
        <v>485</v>
      </c>
      <c r="C91" s="677" t="s">
        <v>497</v>
      </c>
      <c r="D91" s="678" t="s">
        <v>498</v>
      </c>
      <c r="E91" s="679">
        <v>50113001</v>
      </c>
      <c r="F91" s="678" t="s">
        <v>502</v>
      </c>
      <c r="G91" s="677" t="s">
        <v>503</v>
      </c>
      <c r="H91" s="677">
        <v>100113</v>
      </c>
      <c r="I91" s="677">
        <v>113</v>
      </c>
      <c r="J91" s="677" t="s">
        <v>660</v>
      </c>
      <c r="K91" s="677" t="s">
        <v>661</v>
      </c>
      <c r="L91" s="680">
        <v>46.370000000000012</v>
      </c>
      <c r="M91" s="680">
        <v>8</v>
      </c>
      <c r="N91" s="681">
        <v>370.96000000000009</v>
      </c>
    </row>
    <row r="92" spans="1:14" ht="14.4" customHeight="1" x14ac:dyDescent="0.3">
      <c r="A92" s="675" t="s">
        <v>484</v>
      </c>
      <c r="B92" s="676" t="s">
        <v>485</v>
      </c>
      <c r="C92" s="677" t="s">
        <v>497</v>
      </c>
      <c r="D92" s="678" t="s">
        <v>498</v>
      </c>
      <c r="E92" s="679">
        <v>50113001</v>
      </c>
      <c r="F92" s="678" t="s">
        <v>502</v>
      </c>
      <c r="G92" s="677" t="s">
        <v>503</v>
      </c>
      <c r="H92" s="677">
        <v>844591</v>
      </c>
      <c r="I92" s="677">
        <v>107161</v>
      </c>
      <c r="J92" s="677" t="s">
        <v>662</v>
      </c>
      <c r="K92" s="677" t="s">
        <v>663</v>
      </c>
      <c r="L92" s="680">
        <v>935.00000000000011</v>
      </c>
      <c r="M92" s="680">
        <v>15</v>
      </c>
      <c r="N92" s="681">
        <v>14025.000000000002</v>
      </c>
    </row>
    <row r="93" spans="1:14" ht="14.4" customHeight="1" x14ac:dyDescent="0.3">
      <c r="A93" s="675" t="s">
        <v>484</v>
      </c>
      <c r="B93" s="676" t="s">
        <v>485</v>
      </c>
      <c r="C93" s="677" t="s">
        <v>497</v>
      </c>
      <c r="D93" s="678" t="s">
        <v>498</v>
      </c>
      <c r="E93" s="679">
        <v>50113001</v>
      </c>
      <c r="F93" s="678" t="s">
        <v>502</v>
      </c>
      <c r="G93" s="677" t="s">
        <v>503</v>
      </c>
      <c r="H93" s="677">
        <v>108499</v>
      </c>
      <c r="I93" s="677">
        <v>8499</v>
      </c>
      <c r="J93" s="677" t="s">
        <v>664</v>
      </c>
      <c r="K93" s="677" t="s">
        <v>665</v>
      </c>
      <c r="L93" s="680">
        <v>111.57426676303481</v>
      </c>
      <c r="M93" s="680">
        <v>360</v>
      </c>
      <c r="N93" s="681">
        <v>40166.736034692534</v>
      </c>
    </row>
    <row r="94" spans="1:14" ht="14.4" customHeight="1" x14ac:dyDescent="0.3">
      <c r="A94" s="675" t="s">
        <v>484</v>
      </c>
      <c r="B94" s="676" t="s">
        <v>485</v>
      </c>
      <c r="C94" s="677" t="s">
        <v>497</v>
      </c>
      <c r="D94" s="678" t="s">
        <v>498</v>
      </c>
      <c r="E94" s="679">
        <v>50113001</v>
      </c>
      <c r="F94" s="678" t="s">
        <v>502</v>
      </c>
      <c r="G94" s="677" t="s">
        <v>503</v>
      </c>
      <c r="H94" s="677">
        <v>102479</v>
      </c>
      <c r="I94" s="677">
        <v>2479</v>
      </c>
      <c r="J94" s="677" t="s">
        <v>666</v>
      </c>
      <c r="K94" s="677" t="s">
        <v>667</v>
      </c>
      <c r="L94" s="680">
        <v>65.58</v>
      </c>
      <c r="M94" s="680">
        <v>1</v>
      </c>
      <c r="N94" s="681">
        <v>65.58</v>
      </c>
    </row>
    <row r="95" spans="1:14" ht="14.4" customHeight="1" x14ac:dyDescent="0.3">
      <c r="A95" s="675" t="s">
        <v>484</v>
      </c>
      <c r="B95" s="676" t="s">
        <v>485</v>
      </c>
      <c r="C95" s="677" t="s">
        <v>497</v>
      </c>
      <c r="D95" s="678" t="s">
        <v>498</v>
      </c>
      <c r="E95" s="679">
        <v>50113001</v>
      </c>
      <c r="F95" s="678" t="s">
        <v>502</v>
      </c>
      <c r="G95" s="677" t="s">
        <v>503</v>
      </c>
      <c r="H95" s="677">
        <v>104071</v>
      </c>
      <c r="I95" s="677">
        <v>4071</v>
      </c>
      <c r="J95" s="677" t="s">
        <v>666</v>
      </c>
      <c r="K95" s="677" t="s">
        <v>668</v>
      </c>
      <c r="L95" s="680">
        <v>153.79888888888888</v>
      </c>
      <c r="M95" s="680">
        <v>9</v>
      </c>
      <c r="N95" s="681">
        <v>1384.1899999999998</v>
      </c>
    </row>
    <row r="96" spans="1:14" ht="14.4" customHeight="1" x14ac:dyDescent="0.3">
      <c r="A96" s="675" t="s">
        <v>484</v>
      </c>
      <c r="B96" s="676" t="s">
        <v>485</v>
      </c>
      <c r="C96" s="677" t="s">
        <v>497</v>
      </c>
      <c r="D96" s="678" t="s">
        <v>498</v>
      </c>
      <c r="E96" s="679">
        <v>50113001</v>
      </c>
      <c r="F96" s="678" t="s">
        <v>502</v>
      </c>
      <c r="G96" s="677" t="s">
        <v>503</v>
      </c>
      <c r="H96" s="677">
        <v>846599</v>
      </c>
      <c r="I96" s="677">
        <v>107754</v>
      </c>
      <c r="J96" s="677" t="s">
        <v>669</v>
      </c>
      <c r="K96" s="677" t="s">
        <v>486</v>
      </c>
      <c r="L96" s="680">
        <v>132.18</v>
      </c>
      <c r="M96" s="680">
        <v>5</v>
      </c>
      <c r="N96" s="681">
        <v>660.90000000000009</v>
      </c>
    </row>
    <row r="97" spans="1:14" ht="14.4" customHeight="1" x14ac:dyDescent="0.3">
      <c r="A97" s="675" t="s">
        <v>484</v>
      </c>
      <c r="B97" s="676" t="s">
        <v>485</v>
      </c>
      <c r="C97" s="677" t="s">
        <v>497</v>
      </c>
      <c r="D97" s="678" t="s">
        <v>498</v>
      </c>
      <c r="E97" s="679">
        <v>50113001</v>
      </c>
      <c r="F97" s="678" t="s">
        <v>502</v>
      </c>
      <c r="G97" s="677" t="s">
        <v>503</v>
      </c>
      <c r="H97" s="677">
        <v>158425</v>
      </c>
      <c r="I97" s="677">
        <v>58425</v>
      </c>
      <c r="J97" s="677" t="s">
        <v>670</v>
      </c>
      <c r="K97" s="677" t="s">
        <v>671</v>
      </c>
      <c r="L97" s="680">
        <v>82.346000000000004</v>
      </c>
      <c r="M97" s="680">
        <v>5</v>
      </c>
      <c r="N97" s="681">
        <v>411.73</v>
      </c>
    </row>
    <row r="98" spans="1:14" ht="14.4" customHeight="1" x14ac:dyDescent="0.3">
      <c r="A98" s="675" t="s">
        <v>484</v>
      </c>
      <c r="B98" s="676" t="s">
        <v>485</v>
      </c>
      <c r="C98" s="677" t="s">
        <v>497</v>
      </c>
      <c r="D98" s="678" t="s">
        <v>498</v>
      </c>
      <c r="E98" s="679">
        <v>50113001</v>
      </c>
      <c r="F98" s="678" t="s">
        <v>502</v>
      </c>
      <c r="G98" s="677" t="s">
        <v>503</v>
      </c>
      <c r="H98" s="677">
        <v>101328</v>
      </c>
      <c r="I98" s="677">
        <v>1328</v>
      </c>
      <c r="J98" s="677" t="s">
        <v>672</v>
      </c>
      <c r="K98" s="677" t="s">
        <v>673</v>
      </c>
      <c r="L98" s="680">
        <v>127.68000000000008</v>
      </c>
      <c r="M98" s="680">
        <v>1</v>
      </c>
      <c r="N98" s="681">
        <v>127.68000000000008</v>
      </c>
    </row>
    <row r="99" spans="1:14" ht="14.4" customHeight="1" x14ac:dyDescent="0.3">
      <c r="A99" s="675" t="s">
        <v>484</v>
      </c>
      <c r="B99" s="676" t="s">
        <v>485</v>
      </c>
      <c r="C99" s="677" t="s">
        <v>497</v>
      </c>
      <c r="D99" s="678" t="s">
        <v>498</v>
      </c>
      <c r="E99" s="679">
        <v>50113001</v>
      </c>
      <c r="F99" s="678" t="s">
        <v>502</v>
      </c>
      <c r="G99" s="677" t="s">
        <v>527</v>
      </c>
      <c r="H99" s="677">
        <v>215715</v>
      </c>
      <c r="I99" s="677">
        <v>215715</v>
      </c>
      <c r="J99" s="677" t="s">
        <v>674</v>
      </c>
      <c r="K99" s="677" t="s">
        <v>675</v>
      </c>
      <c r="L99" s="680">
        <v>100.01700000000002</v>
      </c>
      <c r="M99" s="680">
        <v>10</v>
      </c>
      <c r="N99" s="681">
        <v>1000.1700000000002</v>
      </c>
    </row>
    <row r="100" spans="1:14" ht="14.4" customHeight="1" x14ac:dyDescent="0.3">
      <c r="A100" s="675" t="s">
        <v>484</v>
      </c>
      <c r="B100" s="676" t="s">
        <v>485</v>
      </c>
      <c r="C100" s="677" t="s">
        <v>497</v>
      </c>
      <c r="D100" s="678" t="s">
        <v>498</v>
      </c>
      <c r="E100" s="679">
        <v>50113001</v>
      </c>
      <c r="F100" s="678" t="s">
        <v>502</v>
      </c>
      <c r="G100" s="677" t="s">
        <v>503</v>
      </c>
      <c r="H100" s="677">
        <v>920235</v>
      </c>
      <c r="I100" s="677">
        <v>15880</v>
      </c>
      <c r="J100" s="677" t="s">
        <v>676</v>
      </c>
      <c r="K100" s="677" t="s">
        <v>486</v>
      </c>
      <c r="L100" s="680">
        <v>163.56998655448757</v>
      </c>
      <c r="M100" s="680">
        <v>5</v>
      </c>
      <c r="N100" s="681">
        <v>817.8499327724378</v>
      </c>
    </row>
    <row r="101" spans="1:14" ht="14.4" customHeight="1" x14ac:dyDescent="0.3">
      <c r="A101" s="675" t="s">
        <v>484</v>
      </c>
      <c r="B101" s="676" t="s">
        <v>485</v>
      </c>
      <c r="C101" s="677" t="s">
        <v>497</v>
      </c>
      <c r="D101" s="678" t="s">
        <v>498</v>
      </c>
      <c r="E101" s="679">
        <v>50113001</v>
      </c>
      <c r="F101" s="678" t="s">
        <v>502</v>
      </c>
      <c r="G101" s="677" t="s">
        <v>503</v>
      </c>
      <c r="H101" s="677">
        <v>23987</v>
      </c>
      <c r="I101" s="677">
        <v>23987</v>
      </c>
      <c r="J101" s="677" t="s">
        <v>677</v>
      </c>
      <c r="K101" s="677" t="s">
        <v>678</v>
      </c>
      <c r="L101" s="680">
        <v>175.03011990731153</v>
      </c>
      <c r="M101" s="680">
        <v>9</v>
      </c>
      <c r="N101" s="681">
        <v>1575.2710791658037</v>
      </c>
    </row>
    <row r="102" spans="1:14" ht="14.4" customHeight="1" x14ac:dyDescent="0.3">
      <c r="A102" s="675" t="s">
        <v>484</v>
      </c>
      <c r="B102" s="676" t="s">
        <v>485</v>
      </c>
      <c r="C102" s="677" t="s">
        <v>497</v>
      </c>
      <c r="D102" s="678" t="s">
        <v>498</v>
      </c>
      <c r="E102" s="679">
        <v>50113001</v>
      </c>
      <c r="F102" s="678" t="s">
        <v>502</v>
      </c>
      <c r="G102" s="677" t="s">
        <v>503</v>
      </c>
      <c r="H102" s="677">
        <v>215473</v>
      </c>
      <c r="I102" s="677">
        <v>215473</v>
      </c>
      <c r="J102" s="677" t="s">
        <v>679</v>
      </c>
      <c r="K102" s="677" t="s">
        <v>680</v>
      </c>
      <c r="L102" s="680">
        <v>228.08282345234707</v>
      </c>
      <c r="M102" s="680">
        <v>35</v>
      </c>
      <c r="N102" s="681">
        <v>7982.898820832148</v>
      </c>
    </row>
    <row r="103" spans="1:14" ht="14.4" customHeight="1" x14ac:dyDescent="0.3">
      <c r="A103" s="675" t="s">
        <v>484</v>
      </c>
      <c r="B103" s="676" t="s">
        <v>485</v>
      </c>
      <c r="C103" s="677" t="s">
        <v>497</v>
      </c>
      <c r="D103" s="678" t="s">
        <v>498</v>
      </c>
      <c r="E103" s="679">
        <v>50113001</v>
      </c>
      <c r="F103" s="678" t="s">
        <v>502</v>
      </c>
      <c r="G103" s="677" t="s">
        <v>503</v>
      </c>
      <c r="H103" s="677">
        <v>215474</v>
      </c>
      <c r="I103" s="677">
        <v>215474</v>
      </c>
      <c r="J103" s="677" t="s">
        <v>681</v>
      </c>
      <c r="K103" s="677" t="s">
        <v>682</v>
      </c>
      <c r="L103" s="680">
        <v>372.80000000000007</v>
      </c>
      <c r="M103" s="680">
        <v>20</v>
      </c>
      <c r="N103" s="681">
        <v>7456.0000000000009</v>
      </c>
    </row>
    <row r="104" spans="1:14" ht="14.4" customHeight="1" x14ac:dyDescent="0.3">
      <c r="A104" s="675" t="s">
        <v>484</v>
      </c>
      <c r="B104" s="676" t="s">
        <v>485</v>
      </c>
      <c r="C104" s="677" t="s">
        <v>497</v>
      </c>
      <c r="D104" s="678" t="s">
        <v>498</v>
      </c>
      <c r="E104" s="679">
        <v>50113001</v>
      </c>
      <c r="F104" s="678" t="s">
        <v>502</v>
      </c>
      <c r="G104" s="677" t="s">
        <v>503</v>
      </c>
      <c r="H104" s="677">
        <v>162597</v>
      </c>
      <c r="I104" s="677">
        <v>62597</v>
      </c>
      <c r="J104" s="677" t="s">
        <v>683</v>
      </c>
      <c r="K104" s="677" t="s">
        <v>684</v>
      </c>
      <c r="L104" s="680">
        <v>78.53</v>
      </c>
      <c r="M104" s="680">
        <v>2</v>
      </c>
      <c r="N104" s="681">
        <v>157.06</v>
      </c>
    </row>
    <row r="105" spans="1:14" ht="14.4" customHeight="1" x14ac:dyDescent="0.3">
      <c r="A105" s="675" t="s">
        <v>484</v>
      </c>
      <c r="B105" s="676" t="s">
        <v>485</v>
      </c>
      <c r="C105" s="677" t="s">
        <v>497</v>
      </c>
      <c r="D105" s="678" t="s">
        <v>498</v>
      </c>
      <c r="E105" s="679">
        <v>50113001</v>
      </c>
      <c r="F105" s="678" t="s">
        <v>502</v>
      </c>
      <c r="G105" s="677" t="s">
        <v>503</v>
      </c>
      <c r="H105" s="677">
        <v>102818</v>
      </c>
      <c r="I105" s="677">
        <v>2818</v>
      </c>
      <c r="J105" s="677" t="s">
        <v>685</v>
      </c>
      <c r="K105" s="677" t="s">
        <v>686</v>
      </c>
      <c r="L105" s="680">
        <v>112.59000000000003</v>
      </c>
      <c r="M105" s="680">
        <v>1</v>
      </c>
      <c r="N105" s="681">
        <v>112.59000000000003</v>
      </c>
    </row>
    <row r="106" spans="1:14" ht="14.4" customHeight="1" x14ac:dyDescent="0.3">
      <c r="A106" s="675" t="s">
        <v>484</v>
      </c>
      <c r="B106" s="676" t="s">
        <v>485</v>
      </c>
      <c r="C106" s="677" t="s">
        <v>497</v>
      </c>
      <c r="D106" s="678" t="s">
        <v>498</v>
      </c>
      <c r="E106" s="679">
        <v>50113001</v>
      </c>
      <c r="F106" s="678" t="s">
        <v>502</v>
      </c>
      <c r="G106" s="677" t="s">
        <v>503</v>
      </c>
      <c r="H106" s="677">
        <v>846113</v>
      </c>
      <c r="I106" s="677">
        <v>107712</v>
      </c>
      <c r="J106" s="677" t="s">
        <v>687</v>
      </c>
      <c r="K106" s="677" t="s">
        <v>688</v>
      </c>
      <c r="L106" s="680">
        <v>241.93999999999994</v>
      </c>
      <c r="M106" s="680">
        <v>6</v>
      </c>
      <c r="N106" s="681">
        <v>1451.6399999999996</v>
      </c>
    </row>
    <row r="107" spans="1:14" ht="14.4" customHeight="1" x14ac:dyDescent="0.3">
      <c r="A107" s="675" t="s">
        <v>484</v>
      </c>
      <c r="B107" s="676" t="s">
        <v>485</v>
      </c>
      <c r="C107" s="677" t="s">
        <v>497</v>
      </c>
      <c r="D107" s="678" t="s">
        <v>498</v>
      </c>
      <c r="E107" s="679">
        <v>50113001</v>
      </c>
      <c r="F107" s="678" t="s">
        <v>502</v>
      </c>
      <c r="G107" s="677" t="s">
        <v>503</v>
      </c>
      <c r="H107" s="677">
        <v>214593</v>
      </c>
      <c r="I107" s="677">
        <v>214593</v>
      </c>
      <c r="J107" s="677" t="s">
        <v>689</v>
      </c>
      <c r="K107" s="677" t="s">
        <v>690</v>
      </c>
      <c r="L107" s="680">
        <v>56.489999999999988</v>
      </c>
      <c r="M107" s="680">
        <v>4</v>
      </c>
      <c r="N107" s="681">
        <v>225.95999999999995</v>
      </c>
    </row>
    <row r="108" spans="1:14" ht="14.4" customHeight="1" x14ac:dyDescent="0.3">
      <c r="A108" s="675" t="s">
        <v>484</v>
      </c>
      <c r="B108" s="676" t="s">
        <v>485</v>
      </c>
      <c r="C108" s="677" t="s">
        <v>497</v>
      </c>
      <c r="D108" s="678" t="s">
        <v>498</v>
      </c>
      <c r="E108" s="679">
        <v>50113001</v>
      </c>
      <c r="F108" s="678" t="s">
        <v>502</v>
      </c>
      <c r="G108" s="677" t="s">
        <v>503</v>
      </c>
      <c r="H108" s="677">
        <v>199680</v>
      </c>
      <c r="I108" s="677">
        <v>199680</v>
      </c>
      <c r="J108" s="677" t="s">
        <v>691</v>
      </c>
      <c r="K108" s="677" t="s">
        <v>692</v>
      </c>
      <c r="L108" s="680">
        <v>365.41000000000008</v>
      </c>
      <c r="M108" s="680">
        <v>1</v>
      </c>
      <c r="N108" s="681">
        <v>365.41000000000008</v>
      </c>
    </row>
    <row r="109" spans="1:14" ht="14.4" customHeight="1" x14ac:dyDescent="0.3">
      <c r="A109" s="675" t="s">
        <v>484</v>
      </c>
      <c r="B109" s="676" t="s">
        <v>485</v>
      </c>
      <c r="C109" s="677" t="s">
        <v>497</v>
      </c>
      <c r="D109" s="678" t="s">
        <v>498</v>
      </c>
      <c r="E109" s="679">
        <v>50113001</v>
      </c>
      <c r="F109" s="678" t="s">
        <v>502</v>
      </c>
      <c r="G109" s="677" t="s">
        <v>503</v>
      </c>
      <c r="H109" s="677">
        <v>192757</v>
      </c>
      <c r="I109" s="677">
        <v>92757</v>
      </c>
      <c r="J109" s="677" t="s">
        <v>693</v>
      </c>
      <c r="K109" s="677" t="s">
        <v>694</v>
      </c>
      <c r="L109" s="680">
        <v>74.859861306302008</v>
      </c>
      <c r="M109" s="680">
        <v>1</v>
      </c>
      <c r="N109" s="681">
        <v>74.859861306302008</v>
      </c>
    </row>
    <row r="110" spans="1:14" ht="14.4" customHeight="1" x14ac:dyDescent="0.3">
      <c r="A110" s="675" t="s">
        <v>484</v>
      </c>
      <c r="B110" s="676" t="s">
        <v>485</v>
      </c>
      <c r="C110" s="677" t="s">
        <v>497</v>
      </c>
      <c r="D110" s="678" t="s">
        <v>498</v>
      </c>
      <c r="E110" s="679">
        <v>50113001</v>
      </c>
      <c r="F110" s="678" t="s">
        <v>502</v>
      </c>
      <c r="G110" s="677" t="s">
        <v>503</v>
      </c>
      <c r="H110" s="677">
        <v>846826</v>
      </c>
      <c r="I110" s="677">
        <v>125002</v>
      </c>
      <c r="J110" s="677" t="s">
        <v>695</v>
      </c>
      <c r="K110" s="677" t="s">
        <v>486</v>
      </c>
      <c r="L110" s="680">
        <v>963.95000000000027</v>
      </c>
      <c r="M110" s="680">
        <v>1</v>
      </c>
      <c r="N110" s="681">
        <v>963.95000000000027</v>
      </c>
    </row>
    <row r="111" spans="1:14" ht="14.4" customHeight="1" x14ac:dyDescent="0.3">
      <c r="A111" s="675" t="s">
        <v>484</v>
      </c>
      <c r="B111" s="676" t="s">
        <v>485</v>
      </c>
      <c r="C111" s="677" t="s">
        <v>497</v>
      </c>
      <c r="D111" s="678" t="s">
        <v>498</v>
      </c>
      <c r="E111" s="679">
        <v>50113001</v>
      </c>
      <c r="F111" s="678" t="s">
        <v>502</v>
      </c>
      <c r="G111" s="677" t="s">
        <v>527</v>
      </c>
      <c r="H111" s="677">
        <v>147466</v>
      </c>
      <c r="I111" s="677">
        <v>147466</v>
      </c>
      <c r="J111" s="677" t="s">
        <v>696</v>
      </c>
      <c r="K111" s="677" t="s">
        <v>697</v>
      </c>
      <c r="L111" s="680">
        <v>128.92000000000002</v>
      </c>
      <c r="M111" s="680">
        <v>1</v>
      </c>
      <c r="N111" s="681">
        <v>128.92000000000002</v>
      </c>
    </row>
    <row r="112" spans="1:14" ht="14.4" customHeight="1" x14ac:dyDescent="0.3">
      <c r="A112" s="675" t="s">
        <v>484</v>
      </c>
      <c r="B112" s="676" t="s">
        <v>485</v>
      </c>
      <c r="C112" s="677" t="s">
        <v>497</v>
      </c>
      <c r="D112" s="678" t="s">
        <v>498</v>
      </c>
      <c r="E112" s="679">
        <v>50113001</v>
      </c>
      <c r="F112" s="678" t="s">
        <v>502</v>
      </c>
      <c r="G112" s="677" t="s">
        <v>503</v>
      </c>
      <c r="H112" s="677">
        <v>149990</v>
      </c>
      <c r="I112" s="677">
        <v>49990</v>
      </c>
      <c r="J112" s="677" t="s">
        <v>698</v>
      </c>
      <c r="K112" s="677" t="s">
        <v>699</v>
      </c>
      <c r="L112" s="680">
        <v>124.39669296282551</v>
      </c>
      <c r="M112" s="680">
        <v>45</v>
      </c>
      <c r="N112" s="681">
        <v>5597.8511833271477</v>
      </c>
    </row>
    <row r="113" spans="1:14" ht="14.4" customHeight="1" x14ac:dyDescent="0.3">
      <c r="A113" s="675" t="s">
        <v>484</v>
      </c>
      <c r="B113" s="676" t="s">
        <v>485</v>
      </c>
      <c r="C113" s="677" t="s">
        <v>497</v>
      </c>
      <c r="D113" s="678" t="s">
        <v>498</v>
      </c>
      <c r="E113" s="679">
        <v>50113001</v>
      </c>
      <c r="F113" s="678" t="s">
        <v>502</v>
      </c>
      <c r="G113" s="677" t="s">
        <v>503</v>
      </c>
      <c r="H113" s="677">
        <v>47995</v>
      </c>
      <c r="I113" s="677">
        <v>47995</v>
      </c>
      <c r="J113" s="677" t="s">
        <v>700</v>
      </c>
      <c r="K113" s="677" t="s">
        <v>701</v>
      </c>
      <c r="L113" s="680">
        <v>847.73500000000001</v>
      </c>
      <c r="M113" s="680">
        <v>1</v>
      </c>
      <c r="N113" s="681">
        <v>847.73500000000001</v>
      </c>
    </row>
    <row r="114" spans="1:14" ht="14.4" customHeight="1" x14ac:dyDescent="0.3">
      <c r="A114" s="675" t="s">
        <v>484</v>
      </c>
      <c r="B114" s="676" t="s">
        <v>485</v>
      </c>
      <c r="C114" s="677" t="s">
        <v>497</v>
      </c>
      <c r="D114" s="678" t="s">
        <v>498</v>
      </c>
      <c r="E114" s="679">
        <v>50113001</v>
      </c>
      <c r="F114" s="678" t="s">
        <v>502</v>
      </c>
      <c r="G114" s="677" t="s">
        <v>503</v>
      </c>
      <c r="H114" s="677">
        <v>147862</v>
      </c>
      <c r="I114" s="677">
        <v>47862</v>
      </c>
      <c r="J114" s="677" t="s">
        <v>702</v>
      </c>
      <c r="K114" s="677" t="s">
        <v>703</v>
      </c>
      <c r="L114" s="680">
        <v>140.55000000000004</v>
      </c>
      <c r="M114" s="680">
        <v>1</v>
      </c>
      <c r="N114" s="681">
        <v>140.55000000000004</v>
      </c>
    </row>
    <row r="115" spans="1:14" ht="14.4" customHeight="1" x14ac:dyDescent="0.3">
      <c r="A115" s="675" t="s">
        <v>484</v>
      </c>
      <c r="B115" s="676" t="s">
        <v>485</v>
      </c>
      <c r="C115" s="677" t="s">
        <v>497</v>
      </c>
      <c r="D115" s="678" t="s">
        <v>498</v>
      </c>
      <c r="E115" s="679">
        <v>50113001</v>
      </c>
      <c r="F115" s="678" t="s">
        <v>502</v>
      </c>
      <c r="G115" s="677" t="s">
        <v>503</v>
      </c>
      <c r="H115" s="677">
        <v>116287</v>
      </c>
      <c r="I115" s="677">
        <v>16287</v>
      </c>
      <c r="J115" s="677" t="s">
        <v>704</v>
      </c>
      <c r="K115" s="677" t="s">
        <v>705</v>
      </c>
      <c r="L115" s="680">
        <v>160.68999999999997</v>
      </c>
      <c r="M115" s="680">
        <v>1</v>
      </c>
      <c r="N115" s="681">
        <v>160.68999999999997</v>
      </c>
    </row>
    <row r="116" spans="1:14" ht="14.4" customHeight="1" x14ac:dyDescent="0.3">
      <c r="A116" s="675" t="s">
        <v>484</v>
      </c>
      <c r="B116" s="676" t="s">
        <v>485</v>
      </c>
      <c r="C116" s="677" t="s">
        <v>497</v>
      </c>
      <c r="D116" s="678" t="s">
        <v>498</v>
      </c>
      <c r="E116" s="679">
        <v>50113001</v>
      </c>
      <c r="F116" s="678" t="s">
        <v>502</v>
      </c>
      <c r="G116" s="677" t="s">
        <v>503</v>
      </c>
      <c r="H116" s="677">
        <v>149503</v>
      </c>
      <c r="I116" s="677">
        <v>49503</v>
      </c>
      <c r="J116" s="677" t="s">
        <v>706</v>
      </c>
      <c r="K116" s="677" t="s">
        <v>707</v>
      </c>
      <c r="L116" s="680">
        <v>109.81999999999998</v>
      </c>
      <c r="M116" s="680">
        <v>2</v>
      </c>
      <c r="N116" s="681">
        <v>219.63999999999996</v>
      </c>
    </row>
    <row r="117" spans="1:14" ht="14.4" customHeight="1" x14ac:dyDescent="0.3">
      <c r="A117" s="675" t="s">
        <v>484</v>
      </c>
      <c r="B117" s="676" t="s">
        <v>485</v>
      </c>
      <c r="C117" s="677" t="s">
        <v>497</v>
      </c>
      <c r="D117" s="678" t="s">
        <v>498</v>
      </c>
      <c r="E117" s="679">
        <v>50113001</v>
      </c>
      <c r="F117" s="678" t="s">
        <v>502</v>
      </c>
      <c r="G117" s="677" t="s">
        <v>503</v>
      </c>
      <c r="H117" s="677">
        <v>214598</v>
      </c>
      <c r="I117" s="677">
        <v>214598</v>
      </c>
      <c r="J117" s="677" t="s">
        <v>708</v>
      </c>
      <c r="K117" s="677" t="s">
        <v>709</v>
      </c>
      <c r="L117" s="680">
        <v>169.45999999999989</v>
      </c>
      <c r="M117" s="680">
        <v>1</v>
      </c>
      <c r="N117" s="681">
        <v>169.45999999999989</v>
      </c>
    </row>
    <row r="118" spans="1:14" ht="14.4" customHeight="1" x14ac:dyDescent="0.3">
      <c r="A118" s="675" t="s">
        <v>484</v>
      </c>
      <c r="B118" s="676" t="s">
        <v>485</v>
      </c>
      <c r="C118" s="677" t="s">
        <v>497</v>
      </c>
      <c r="D118" s="678" t="s">
        <v>498</v>
      </c>
      <c r="E118" s="679">
        <v>50113001</v>
      </c>
      <c r="F118" s="678" t="s">
        <v>502</v>
      </c>
      <c r="G118" s="677" t="s">
        <v>503</v>
      </c>
      <c r="H118" s="677">
        <v>193779</v>
      </c>
      <c r="I118" s="677">
        <v>93779</v>
      </c>
      <c r="J118" s="677" t="s">
        <v>710</v>
      </c>
      <c r="K118" s="677" t="s">
        <v>711</v>
      </c>
      <c r="L118" s="680">
        <v>67.13333333333334</v>
      </c>
      <c r="M118" s="680">
        <v>3</v>
      </c>
      <c r="N118" s="681">
        <v>201.40000000000003</v>
      </c>
    </row>
    <row r="119" spans="1:14" ht="14.4" customHeight="1" x14ac:dyDescent="0.3">
      <c r="A119" s="675" t="s">
        <v>484</v>
      </c>
      <c r="B119" s="676" t="s">
        <v>485</v>
      </c>
      <c r="C119" s="677" t="s">
        <v>497</v>
      </c>
      <c r="D119" s="678" t="s">
        <v>498</v>
      </c>
      <c r="E119" s="679">
        <v>50113001</v>
      </c>
      <c r="F119" s="678" t="s">
        <v>502</v>
      </c>
      <c r="G119" s="677" t="s">
        <v>486</v>
      </c>
      <c r="H119" s="677">
        <v>19117</v>
      </c>
      <c r="I119" s="677">
        <v>19117</v>
      </c>
      <c r="J119" s="677" t="s">
        <v>712</v>
      </c>
      <c r="K119" s="677" t="s">
        <v>713</v>
      </c>
      <c r="L119" s="680">
        <v>58.66999999999998</v>
      </c>
      <c r="M119" s="680">
        <v>1</v>
      </c>
      <c r="N119" s="681">
        <v>58.66999999999998</v>
      </c>
    </row>
    <row r="120" spans="1:14" ht="14.4" customHeight="1" x14ac:dyDescent="0.3">
      <c r="A120" s="675" t="s">
        <v>484</v>
      </c>
      <c r="B120" s="676" t="s">
        <v>485</v>
      </c>
      <c r="C120" s="677" t="s">
        <v>497</v>
      </c>
      <c r="D120" s="678" t="s">
        <v>498</v>
      </c>
      <c r="E120" s="679">
        <v>50113001</v>
      </c>
      <c r="F120" s="678" t="s">
        <v>502</v>
      </c>
      <c r="G120" s="677" t="s">
        <v>527</v>
      </c>
      <c r="H120" s="677">
        <v>213477</v>
      </c>
      <c r="I120" s="677">
        <v>213477</v>
      </c>
      <c r="J120" s="677" t="s">
        <v>714</v>
      </c>
      <c r="K120" s="677" t="s">
        <v>715</v>
      </c>
      <c r="L120" s="680">
        <v>3300</v>
      </c>
      <c r="M120" s="680">
        <v>22</v>
      </c>
      <c r="N120" s="681">
        <v>72600</v>
      </c>
    </row>
    <row r="121" spans="1:14" ht="14.4" customHeight="1" x14ac:dyDescent="0.3">
      <c r="A121" s="675" t="s">
        <v>484</v>
      </c>
      <c r="B121" s="676" t="s">
        <v>485</v>
      </c>
      <c r="C121" s="677" t="s">
        <v>497</v>
      </c>
      <c r="D121" s="678" t="s">
        <v>498</v>
      </c>
      <c r="E121" s="679">
        <v>50113001</v>
      </c>
      <c r="F121" s="678" t="s">
        <v>502</v>
      </c>
      <c r="G121" s="677" t="s">
        <v>527</v>
      </c>
      <c r="H121" s="677">
        <v>213494</v>
      </c>
      <c r="I121" s="677">
        <v>213494</v>
      </c>
      <c r="J121" s="677" t="s">
        <v>716</v>
      </c>
      <c r="K121" s="677" t="s">
        <v>717</v>
      </c>
      <c r="L121" s="680">
        <v>408.95</v>
      </c>
      <c r="M121" s="680">
        <v>2</v>
      </c>
      <c r="N121" s="681">
        <v>817.9</v>
      </c>
    </row>
    <row r="122" spans="1:14" ht="14.4" customHeight="1" x14ac:dyDescent="0.3">
      <c r="A122" s="675" t="s">
        <v>484</v>
      </c>
      <c r="B122" s="676" t="s">
        <v>485</v>
      </c>
      <c r="C122" s="677" t="s">
        <v>497</v>
      </c>
      <c r="D122" s="678" t="s">
        <v>498</v>
      </c>
      <c r="E122" s="679">
        <v>50113001</v>
      </c>
      <c r="F122" s="678" t="s">
        <v>502</v>
      </c>
      <c r="G122" s="677" t="s">
        <v>486</v>
      </c>
      <c r="H122" s="677">
        <v>198219</v>
      </c>
      <c r="I122" s="677">
        <v>98219</v>
      </c>
      <c r="J122" s="677" t="s">
        <v>718</v>
      </c>
      <c r="K122" s="677" t="s">
        <v>719</v>
      </c>
      <c r="L122" s="680">
        <v>60.053846153846159</v>
      </c>
      <c r="M122" s="680">
        <v>13</v>
      </c>
      <c r="N122" s="681">
        <v>780.7</v>
      </c>
    </row>
    <row r="123" spans="1:14" ht="14.4" customHeight="1" x14ac:dyDescent="0.3">
      <c r="A123" s="675" t="s">
        <v>484</v>
      </c>
      <c r="B123" s="676" t="s">
        <v>485</v>
      </c>
      <c r="C123" s="677" t="s">
        <v>497</v>
      </c>
      <c r="D123" s="678" t="s">
        <v>498</v>
      </c>
      <c r="E123" s="679">
        <v>50113001</v>
      </c>
      <c r="F123" s="678" t="s">
        <v>502</v>
      </c>
      <c r="G123" s="677" t="s">
        <v>527</v>
      </c>
      <c r="H123" s="677">
        <v>156805</v>
      </c>
      <c r="I123" s="677">
        <v>56805</v>
      </c>
      <c r="J123" s="677" t="s">
        <v>720</v>
      </c>
      <c r="K123" s="677" t="s">
        <v>721</v>
      </c>
      <c r="L123" s="680">
        <v>59.11</v>
      </c>
      <c r="M123" s="680">
        <v>2</v>
      </c>
      <c r="N123" s="681">
        <v>118.22</v>
      </c>
    </row>
    <row r="124" spans="1:14" ht="14.4" customHeight="1" x14ac:dyDescent="0.3">
      <c r="A124" s="675" t="s">
        <v>484</v>
      </c>
      <c r="B124" s="676" t="s">
        <v>485</v>
      </c>
      <c r="C124" s="677" t="s">
        <v>497</v>
      </c>
      <c r="D124" s="678" t="s">
        <v>498</v>
      </c>
      <c r="E124" s="679">
        <v>50113001</v>
      </c>
      <c r="F124" s="678" t="s">
        <v>502</v>
      </c>
      <c r="G124" s="677" t="s">
        <v>503</v>
      </c>
      <c r="H124" s="677">
        <v>102133</v>
      </c>
      <c r="I124" s="677">
        <v>2133</v>
      </c>
      <c r="J124" s="677" t="s">
        <v>722</v>
      </c>
      <c r="K124" s="677" t="s">
        <v>723</v>
      </c>
      <c r="L124" s="680">
        <v>28.164895570473718</v>
      </c>
      <c r="M124" s="680">
        <v>670</v>
      </c>
      <c r="N124" s="681">
        <v>18870.480032217391</v>
      </c>
    </row>
    <row r="125" spans="1:14" ht="14.4" customHeight="1" x14ac:dyDescent="0.3">
      <c r="A125" s="675" t="s">
        <v>484</v>
      </c>
      <c r="B125" s="676" t="s">
        <v>485</v>
      </c>
      <c r="C125" s="677" t="s">
        <v>497</v>
      </c>
      <c r="D125" s="678" t="s">
        <v>498</v>
      </c>
      <c r="E125" s="679">
        <v>50113001</v>
      </c>
      <c r="F125" s="678" t="s">
        <v>502</v>
      </c>
      <c r="G125" s="677" t="s">
        <v>503</v>
      </c>
      <c r="H125" s="677">
        <v>199333</v>
      </c>
      <c r="I125" s="677">
        <v>99333</v>
      </c>
      <c r="J125" s="677" t="s">
        <v>724</v>
      </c>
      <c r="K125" s="677" t="s">
        <v>725</v>
      </c>
      <c r="L125" s="680">
        <v>219.46798076923079</v>
      </c>
      <c r="M125" s="680">
        <v>104</v>
      </c>
      <c r="N125" s="681">
        <v>22824.670000000002</v>
      </c>
    </row>
    <row r="126" spans="1:14" ht="14.4" customHeight="1" x14ac:dyDescent="0.3">
      <c r="A126" s="675" t="s">
        <v>484</v>
      </c>
      <c r="B126" s="676" t="s">
        <v>485</v>
      </c>
      <c r="C126" s="677" t="s">
        <v>497</v>
      </c>
      <c r="D126" s="678" t="s">
        <v>498</v>
      </c>
      <c r="E126" s="679">
        <v>50113001</v>
      </c>
      <c r="F126" s="678" t="s">
        <v>502</v>
      </c>
      <c r="G126" s="677" t="s">
        <v>486</v>
      </c>
      <c r="H126" s="677">
        <v>102785</v>
      </c>
      <c r="I126" s="677">
        <v>2785</v>
      </c>
      <c r="J126" s="677" t="s">
        <v>726</v>
      </c>
      <c r="K126" s="677" t="s">
        <v>727</v>
      </c>
      <c r="L126" s="680">
        <v>50.25545454545454</v>
      </c>
      <c r="M126" s="680">
        <v>11</v>
      </c>
      <c r="N126" s="681">
        <v>552.80999999999995</v>
      </c>
    </row>
    <row r="127" spans="1:14" ht="14.4" customHeight="1" x14ac:dyDescent="0.3">
      <c r="A127" s="675" t="s">
        <v>484</v>
      </c>
      <c r="B127" s="676" t="s">
        <v>485</v>
      </c>
      <c r="C127" s="677" t="s">
        <v>497</v>
      </c>
      <c r="D127" s="678" t="s">
        <v>498</v>
      </c>
      <c r="E127" s="679">
        <v>50113001</v>
      </c>
      <c r="F127" s="678" t="s">
        <v>502</v>
      </c>
      <c r="G127" s="677" t="s">
        <v>503</v>
      </c>
      <c r="H127" s="677">
        <v>198872</v>
      </c>
      <c r="I127" s="677">
        <v>98872</v>
      </c>
      <c r="J127" s="677" t="s">
        <v>728</v>
      </c>
      <c r="K127" s="677" t="s">
        <v>729</v>
      </c>
      <c r="L127" s="680">
        <v>312.83999999999997</v>
      </c>
      <c r="M127" s="680">
        <v>2</v>
      </c>
      <c r="N127" s="681">
        <v>625.67999999999995</v>
      </c>
    </row>
    <row r="128" spans="1:14" ht="14.4" customHeight="1" x14ac:dyDescent="0.3">
      <c r="A128" s="675" t="s">
        <v>484</v>
      </c>
      <c r="B128" s="676" t="s">
        <v>485</v>
      </c>
      <c r="C128" s="677" t="s">
        <v>497</v>
      </c>
      <c r="D128" s="678" t="s">
        <v>498</v>
      </c>
      <c r="E128" s="679">
        <v>50113001</v>
      </c>
      <c r="F128" s="678" t="s">
        <v>502</v>
      </c>
      <c r="G128" s="677" t="s">
        <v>503</v>
      </c>
      <c r="H128" s="677">
        <v>165633</v>
      </c>
      <c r="I128" s="677">
        <v>165751</v>
      </c>
      <c r="J128" s="677" t="s">
        <v>730</v>
      </c>
      <c r="K128" s="677" t="s">
        <v>731</v>
      </c>
      <c r="L128" s="680">
        <v>2866.38</v>
      </c>
      <c r="M128" s="680">
        <v>20</v>
      </c>
      <c r="N128" s="681">
        <v>57327.6</v>
      </c>
    </row>
    <row r="129" spans="1:14" ht="14.4" customHeight="1" x14ac:dyDescent="0.3">
      <c r="A129" s="675" t="s">
        <v>484</v>
      </c>
      <c r="B129" s="676" t="s">
        <v>485</v>
      </c>
      <c r="C129" s="677" t="s">
        <v>497</v>
      </c>
      <c r="D129" s="678" t="s">
        <v>498</v>
      </c>
      <c r="E129" s="679">
        <v>50113001</v>
      </c>
      <c r="F129" s="678" t="s">
        <v>502</v>
      </c>
      <c r="G129" s="677" t="s">
        <v>503</v>
      </c>
      <c r="H129" s="677">
        <v>111337</v>
      </c>
      <c r="I129" s="677">
        <v>52421</v>
      </c>
      <c r="J129" s="677" t="s">
        <v>732</v>
      </c>
      <c r="K129" s="677" t="s">
        <v>733</v>
      </c>
      <c r="L129" s="680">
        <v>74.845050505050509</v>
      </c>
      <c r="M129" s="680">
        <v>99</v>
      </c>
      <c r="N129" s="681">
        <v>7409.66</v>
      </c>
    </row>
    <row r="130" spans="1:14" ht="14.4" customHeight="1" x14ac:dyDescent="0.3">
      <c r="A130" s="675" t="s">
        <v>484</v>
      </c>
      <c r="B130" s="676" t="s">
        <v>485</v>
      </c>
      <c r="C130" s="677" t="s">
        <v>497</v>
      </c>
      <c r="D130" s="678" t="s">
        <v>498</v>
      </c>
      <c r="E130" s="679">
        <v>50113001</v>
      </c>
      <c r="F130" s="678" t="s">
        <v>502</v>
      </c>
      <c r="G130" s="677" t="s">
        <v>503</v>
      </c>
      <c r="H130" s="677">
        <v>31915</v>
      </c>
      <c r="I130" s="677">
        <v>31915</v>
      </c>
      <c r="J130" s="677" t="s">
        <v>734</v>
      </c>
      <c r="K130" s="677" t="s">
        <v>735</v>
      </c>
      <c r="L130" s="680">
        <v>173.68999995447965</v>
      </c>
      <c r="M130" s="680">
        <v>121</v>
      </c>
      <c r="N130" s="681">
        <v>21016.489994492036</v>
      </c>
    </row>
    <row r="131" spans="1:14" ht="14.4" customHeight="1" x14ac:dyDescent="0.3">
      <c r="A131" s="675" t="s">
        <v>484</v>
      </c>
      <c r="B131" s="676" t="s">
        <v>485</v>
      </c>
      <c r="C131" s="677" t="s">
        <v>497</v>
      </c>
      <c r="D131" s="678" t="s">
        <v>498</v>
      </c>
      <c r="E131" s="679">
        <v>50113001</v>
      </c>
      <c r="F131" s="678" t="s">
        <v>502</v>
      </c>
      <c r="G131" s="677" t="s">
        <v>503</v>
      </c>
      <c r="H131" s="677">
        <v>47706</v>
      </c>
      <c r="I131" s="677">
        <v>47706</v>
      </c>
      <c r="J131" s="677" t="s">
        <v>736</v>
      </c>
      <c r="K131" s="677" t="s">
        <v>735</v>
      </c>
      <c r="L131" s="680">
        <v>288.52999643141601</v>
      </c>
      <c r="M131" s="680">
        <v>9</v>
      </c>
      <c r="N131" s="681">
        <v>2596.7699678827439</v>
      </c>
    </row>
    <row r="132" spans="1:14" ht="14.4" customHeight="1" x14ac:dyDescent="0.3">
      <c r="A132" s="675" t="s">
        <v>484</v>
      </c>
      <c r="B132" s="676" t="s">
        <v>485</v>
      </c>
      <c r="C132" s="677" t="s">
        <v>497</v>
      </c>
      <c r="D132" s="678" t="s">
        <v>498</v>
      </c>
      <c r="E132" s="679">
        <v>50113001</v>
      </c>
      <c r="F132" s="678" t="s">
        <v>502</v>
      </c>
      <c r="G132" s="677" t="s">
        <v>503</v>
      </c>
      <c r="H132" s="677">
        <v>2584</v>
      </c>
      <c r="I132" s="677">
        <v>2584</v>
      </c>
      <c r="J132" s="677" t="s">
        <v>737</v>
      </c>
      <c r="K132" s="677" t="s">
        <v>735</v>
      </c>
      <c r="L132" s="680">
        <v>365.96999999999997</v>
      </c>
      <c r="M132" s="680">
        <v>2</v>
      </c>
      <c r="N132" s="681">
        <v>731.93999999999994</v>
      </c>
    </row>
    <row r="133" spans="1:14" ht="14.4" customHeight="1" x14ac:dyDescent="0.3">
      <c r="A133" s="675" t="s">
        <v>484</v>
      </c>
      <c r="B133" s="676" t="s">
        <v>485</v>
      </c>
      <c r="C133" s="677" t="s">
        <v>497</v>
      </c>
      <c r="D133" s="678" t="s">
        <v>498</v>
      </c>
      <c r="E133" s="679">
        <v>50113001</v>
      </c>
      <c r="F133" s="678" t="s">
        <v>502</v>
      </c>
      <c r="G133" s="677" t="s">
        <v>503</v>
      </c>
      <c r="H133" s="677">
        <v>47244</v>
      </c>
      <c r="I133" s="677">
        <v>47244</v>
      </c>
      <c r="J133" s="677" t="s">
        <v>738</v>
      </c>
      <c r="K133" s="677" t="s">
        <v>735</v>
      </c>
      <c r="L133" s="680">
        <v>143.00000231528784</v>
      </c>
      <c r="M133" s="680">
        <v>24</v>
      </c>
      <c r="N133" s="681">
        <v>3432.0000555669085</v>
      </c>
    </row>
    <row r="134" spans="1:14" ht="14.4" customHeight="1" x14ac:dyDescent="0.3">
      <c r="A134" s="675" t="s">
        <v>484</v>
      </c>
      <c r="B134" s="676" t="s">
        <v>485</v>
      </c>
      <c r="C134" s="677" t="s">
        <v>497</v>
      </c>
      <c r="D134" s="678" t="s">
        <v>498</v>
      </c>
      <c r="E134" s="679">
        <v>50113001</v>
      </c>
      <c r="F134" s="678" t="s">
        <v>502</v>
      </c>
      <c r="G134" s="677" t="s">
        <v>503</v>
      </c>
      <c r="H134" s="677">
        <v>47249</v>
      </c>
      <c r="I134" s="677">
        <v>47249</v>
      </c>
      <c r="J134" s="677" t="s">
        <v>738</v>
      </c>
      <c r="K134" s="677" t="s">
        <v>739</v>
      </c>
      <c r="L134" s="680">
        <v>126.49999971150177</v>
      </c>
      <c r="M134" s="680">
        <v>39</v>
      </c>
      <c r="N134" s="681">
        <v>4933.4999887485692</v>
      </c>
    </row>
    <row r="135" spans="1:14" ht="14.4" customHeight="1" x14ac:dyDescent="0.3">
      <c r="A135" s="675" t="s">
        <v>484</v>
      </c>
      <c r="B135" s="676" t="s">
        <v>485</v>
      </c>
      <c r="C135" s="677" t="s">
        <v>497</v>
      </c>
      <c r="D135" s="678" t="s">
        <v>498</v>
      </c>
      <c r="E135" s="679">
        <v>50113001</v>
      </c>
      <c r="F135" s="678" t="s">
        <v>502</v>
      </c>
      <c r="G135" s="677" t="s">
        <v>503</v>
      </c>
      <c r="H135" s="677">
        <v>848335</v>
      </c>
      <c r="I135" s="677">
        <v>155782</v>
      </c>
      <c r="J135" s="677" t="s">
        <v>740</v>
      </c>
      <c r="K135" s="677" t="s">
        <v>741</v>
      </c>
      <c r="L135" s="680">
        <v>53.900000000000013</v>
      </c>
      <c r="M135" s="680">
        <v>1</v>
      </c>
      <c r="N135" s="681">
        <v>53.900000000000013</v>
      </c>
    </row>
    <row r="136" spans="1:14" ht="14.4" customHeight="1" x14ac:dyDescent="0.3">
      <c r="A136" s="675" t="s">
        <v>484</v>
      </c>
      <c r="B136" s="676" t="s">
        <v>485</v>
      </c>
      <c r="C136" s="677" t="s">
        <v>497</v>
      </c>
      <c r="D136" s="678" t="s">
        <v>498</v>
      </c>
      <c r="E136" s="679">
        <v>50113001</v>
      </c>
      <c r="F136" s="678" t="s">
        <v>502</v>
      </c>
      <c r="G136" s="677" t="s">
        <v>503</v>
      </c>
      <c r="H136" s="677">
        <v>848930</v>
      </c>
      <c r="I136" s="677">
        <v>155781</v>
      </c>
      <c r="J136" s="677" t="s">
        <v>740</v>
      </c>
      <c r="K136" s="677" t="s">
        <v>742</v>
      </c>
      <c r="L136" s="680">
        <v>33.209999999999994</v>
      </c>
      <c r="M136" s="680">
        <v>2</v>
      </c>
      <c r="N136" s="681">
        <v>66.419999999999987</v>
      </c>
    </row>
    <row r="137" spans="1:14" ht="14.4" customHeight="1" x14ac:dyDescent="0.3">
      <c r="A137" s="675" t="s">
        <v>484</v>
      </c>
      <c r="B137" s="676" t="s">
        <v>485</v>
      </c>
      <c r="C137" s="677" t="s">
        <v>497</v>
      </c>
      <c r="D137" s="678" t="s">
        <v>498</v>
      </c>
      <c r="E137" s="679">
        <v>50113001</v>
      </c>
      <c r="F137" s="678" t="s">
        <v>502</v>
      </c>
      <c r="G137" s="677" t="s">
        <v>503</v>
      </c>
      <c r="H137" s="677">
        <v>106091</v>
      </c>
      <c r="I137" s="677">
        <v>6091</v>
      </c>
      <c r="J137" s="677" t="s">
        <v>743</v>
      </c>
      <c r="K137" s="677" t="s">
        <v>744</v>
      </c>
      <c r="L137" s="680">
        <v>89.903999999999982</v>
      </c>
      <c r="M137" s="680">
        <v>5</v>
      </c>
      <c r="N137" s="681">
        <v>449.51999999999992</v>
      </c>
    </row>
    <row r="138" spans="1:14" ht="14.4" customHeight="1" x14ac:dyDescent="0.3">
      <c r="A138" s="675" t="s">
        <v>484</v>
      </c>
      <c r="B138" s="676" t="s">
        <v>485</v>
      </c>
      <c r="C138" s="677" t="s">
        <v>497</v>
      </c>
      <c r="D138" s="678" t="s">
        <v>498</v>
      </c>
      <c r="E138" s="679">
        <v>50113001</v>
      </c>
      <c r="F138" s="678" t="s">
        <v>502</v>
      </c>
      <c r="G138" s="677" t="s">
        <v>503</v>
      </c>
      <c r="H138" s="677">
        <v>102537</v>
      </c>
      <c r="I138" s="677">
        <v>2537</v>
      </c>
      <c r="J138" s="677" t="s">
        <v>745</v>
      </c>
      <c r="K138" s="677" t="s">
        <v>746</v>
      </c>
      <c r="L138" s="680">
        <v>38.609999999999978</v>
      </c>
      <c r="M138" s="680">
        <v>1</v>
      </c>
      <c r="N138" s="681">
        <v>38.609999999999978</v>
      </c>
    </row>
    <row r="139" spans="1:14" ht="14.4" customHeight="1" x14ac:dyDescent="0.3">
      <c r="A139" s="675" t="s">
        <v>484</v>
      </c>
      <c r="B139" s="676" t="s">
        <v>485</v>
      </c>
      <c r="C139" s="677" t="s">
        <v>497</v>
      </c>
      <c r="D139" s="678" t="s">
        <v>498</v>
      </c>
      <c r="E139" s="679">
        <v>50113001</v>
      </c>
      <c r="F139" s="678" t="s">
        <v>502</v>
      </c>
      <c r="G139" s="677" t="s">
        <v>503</v>
      </c>
      <c r="H139" s="677">
        <v>102538</v>
      </c>
      <c r="I139" s="677">
        <v>2538</v>
      </c>
      <c r="J139" s="677" t="s">
        <v>745</v>
      </c>
      <c r="K139" s="677" t="s">
        <v>747</v>
      </c>
      <c r="L139" s="680">
        <v>55.771250000000002</v>
      </c>
      <c r="M139" s="680">
        <v>16</v>
      </c>
      <c r="N139" s="681">
        <v>892.34</v>
      </c>
    </row>
    <row r="140" spans="1:14" ht="14.4" customHeight="1" x14ac:dyDescent="0.3">
      <c r="A140" s="675" t="s">
        <v>484</v>
      </c>
      <c r="B140" s="676" t="s">
        <v>485</v>
      </c>
      <c r="C140" s="677" t="s">
        <v>497</v>
      </c>
      <c r="D140" s="678" t="s">
        <v>498</v>
      </c>
      <c r="E140" s="679">
        <v>50113001</v>
      </c>
      <c r="F140" s="678" t="s">
        <v>502</v>
      </c>
      <c r="G140" s="677" t="s">
        <v>503</v>
      </c>
      <c r="H140" s="677">
        <v>215605</v>
      </c>
      <c r="I140" s="677">
        <v>215605</v>
      </c>
      <c r="J140" s="677" t="s">
        <v>748</v>
      </c>
      <c r="K140" s="677" t="s">
        <v>749</v>
      </c>
      <c r="L140" s="680">
        <v>28.599999999999994</v>
      </c>
      <c r="M140" s="680">
        <v>1</v>
      </c>
      <c r="N140" s="681">
        <v>28.599999999999994</v>
      </c>
    </row>
    <row r="141" spans="1:14" ht="14.4" customHeight="1" x14ac:dyDescent="0.3">
      <c r="A141" s="675" t="s">
        <v>484</v>
      </c>
      <c r="B141" s="676" t="s">
        <v>485</v>
      </c>
      <c r="C141" s="677" t="s">
        <v>497</v>
      </c>
      <c r="D141" s="678" t="s">
        <v>498</v>
      </c>
      <c r="E141" s="679">
        <v>50113001</v>
      </c>
      <c r="F141" s="678" t="s">
        <v>502</v>
      </c>
      <c r="G141" s="677" t="s">
        <v>503</v>
      </c>
      <c r="H141" s="677">
        <v>193746</v>
      </c>
      <c r="I141" s="677">
        <v>93746</v>
      </c>
      <c r="J141" s="677" t="s">
        <v>750</v>
      </c>
      <c r="K141" s="677" t="s">
        <v>751</v>
      </c>
      <c r="L141" s="680">
        <v>375.10476190476192</v>
      </c>
      <c r="M141" s="680">
        <v>21</v>
      </c>
      <c r="N141" s="681">
        <v>7877.2000000000007</v>
      </c>
    </row>
    <row r="142" spans="1:14" ht="14.4" customHeight="1" x14ac:dyDescent="0.3">
      <c r="A142" s="675" t="s">
        <v>484</v>
      </c>
      <c r="B142" s="676" t="s">
        <v>485</v>
      </c>
      <c r="C142" s="677" t="s">
        <v>497</v>
      </c>
      <c r="D142" s="678" t="s">
        <v>498</v>
      </c>
      <c r="E142" s="679">
        <v>50113001</v>
      </c>
      <c r="F142" s="678" t="s">
        <v>502</v>
      </c>
      <c r="G142" s="677" t="s">
        <v>486</v>
      </c>
      <c r="H142" s="677">
        <v>103575</v>
      </c>
      <c r="I142" s="677">
        <v>3575</v>
      </c>
      <c r="J142" s="677" t="s">
        <v>752</v>
      </c>
      <c r="K142" s="677" t="s">
        <v>643</v>
      </c>
      <c r="L142" s="680">
        <v>66.568260869565208</v>
      </c>
      <c r="M142" s="680">
        <v>23</v>
      </c>
      <c r="N142" s="681">
        <v>1531.0699999999997</v>
      </c>
    </row>
    <row r="143" spans="1:14" ht="14.4" customHeight="1" x14ac:dyDescent="0.3">
      <c r="A143" s="675" t="s">
        <v>484</v>
      </c>
      <c r="B143" s="676" t="s">
        <v>485</v>
      </c>
      <c r="C143" s="677" t="s">
        <v>497</v>
      </c>
      <c r="D143" s="678" t="s">
        <v>498</v>
      </c>
      <c r="E143" s="679">
        <v>50113001</v>
      </c>
      <c r="F143" s="678" t="s">
        <v>502</v>
      </c>
      <c r="G143" s="677" t="s">
        <v>503</v>
      </c>
      <c r="H143" s="677">
        <v>849045</v>
      </c>
      <c r="I143" s="677">
        <v>155938</v>
      </c>
      <c r="J143" s="677" t="s">
        <v>753</v>
      </c>
      <c r="K143" s="677" t="s">
        <v>754</v>
      </c>
      <c r="L143" s="680">
        <v>181.65000000000012</v>
      </c>
      <c r="M143" s="680">
        <v>2</v>
      </c>
      <c r="N143" s="681">
        <v>363.30000000000024</v>
      </c>
    </row>
    <row r="144" spans="1:14" ht="14.4" customHeight="1" x14ac:dyDescent="0.3">
      <c r="A144" s="675" t="s">
        <v>484</v>
      </c>
      <c r="B144" s="676" t="s">
        <v>485</v>
      </c>
      <c r="C144" s="677" t="s">
        <v>497</v>
      </c>
      <c r="D144" s="678" t="s">
        <v>498</v>
      </c>
      <c r="E144" s="679">
        <v>50113001</v>
      </c>
      <c r="F144" s="678" t="s">
        <v>502</v>
      </c>
      <c r="G144" s="677" t="s">
        <v>527</v>
      </c>
      <c r="H144" s="677">
        <v>155939</v>
      </c>
      <c r="I144" s="677">
        <v>155939</v>
      </c>
      <c r="J144" s="677" t="s">
        <v>755</v>
      </c>
      <c r="K144" s="677" t="s">
        <v>756</v>
      </c>
      <c r="L144" s="680">
        <v>590.43999999999994</v>
      </c>
      <c r="M144" s="680">
        <v>3</v>
      </c>
      <c r="N144" s="681">
        <v>1771.3199999999997</v>
      </c>
    </row>
    <row r="145" spans="1:14" ht="14.4" customHeight="1" x14ac:dyDescent="0.3">
      <c r="A145" s="675" t="s">
        <v>484</v>
      </c>
      <c r="B145" s="676" t="s">
        <v>485</v>
      </c>
      <c r="C145" s="677" t="s">
        <v>497</v>
      </c>
      <c r="D145" s="678" t="s">
        <v>498</v>
      </c>
      <c r="E145" s="679">
        <v>50113001</v>
      </c>
      <c r="F145" s="678" t="s">
        <v>502</v>
      </c>
      <c r="G145" s="677" t="s">
        <v>503</v>
      </c>
      <c r="H145" s="677">
        <v>124067</v>
      </c>
      <c r="I145" s="677">
        <v>124067</v>
      </c>
      <c r="J145" s="677" t="s">
        <v>757</v>
      </c>
      <c r="K145" s="677" t="s">
        <v>758</v>
      </c>
      <c r="L145" s="680">
        <v>36.681651953905025</v>
      </c>
      <c r="M145" s="680">
        <v>393</v>
      </c>
      <c r="N145" s="681">
        <v>14415.889217884675</v>
      </c>
    </row>
    <row r="146" spans="1:14" ht="14.4" customHeight="1" x14ac:dyDescent="0.3">
      <c r="A146" s="675" t="s">
        <v>484</v>
      </c>
      <c r="B146" s="676" t="s">
        <v>485</v>
      </c>
      <c r="C146" s="677" t="s">
        <v>497</v>
      </c>
      <c r="D146" s="678" t="s">
        <v>498</v>
      </c>
      <c r="E146" s="679">
        <v>50113001</v>
      </c>
      <c r="F146" s="678" t="s">
        <v>502</v>
      </c>
      <c r="G146" s="677" t="s">
        <v>503</v>
      </c>
      <c r="H146" s="677">
        <v>216572</v>
      </c>
      <c r="I146" s="677">
        <v>216572</v>
      </c>
      <c r="J146" s="677" t="s">
        <v>757</v>
      </c>
      <c r="K146" s="677" t="s">
        <v>758</v>
      </c>
      <c r="L146" s="680">
        <v>36.371818181818192</v>
      </c>
      <c r="M146" s="680">
        <v>88</v>
      </c>
      <c r="N146" s="681">
        <v>3200.7200000000007</v>
      </c>
    </row>
    <row r="147" spans="1:14" ht="14.4" customHeight="1" x14ac:dyDescent="0.3">
      <c r="A147" s="675" t="s">
        <v>484</v>
      </c>
      <c r="B147" s="676" t="s">
        <v>485</v>
      </c>
      <c r="C147" s="677" t="s">
        <v>497</v>
      </c>
      <c r="D147" s="678" t="s">
        <v>498</v>
      </c>
      <c r="E147" s="679">
        <v>50113001</v>
      </c>
      <c r="F147" s="678" t="s">
        <v>502</v>
      </c>
      <c r="G147" s="677" t="s">
        <v>503</v>
      </c>
      <c r="H147" s="677">
        <v>109159</v>
      </c>
      <c r="I147" s="677">
        <v>9159</v>
      </c>
      <c r="J147" s="677" t="s">
        <v>759</v>
      </c>
      <c r="K147" s="677" t="s">
        <v>760</v>
      </c>
      <c r="L147" s="680">
        <v>102.96</v>
      </c>
      <c r="M147" s="680">
        <v>1</v>
      </c>
      <c r="N147" s="681">
        <v>102.96</v>
      </c>
    </row>
    <row r="148" spans="1:14" ht="14.4" customHeight="1" x14ac:dyDescent="0.3">
      <c r="A148" s="675" t="s">
        <v>484</v>
      </c>
      <c r="B148" s="676" t="s">
        <v>485</v>
      </c>
      <c r="C148" s="677" t="s">
        <v>497</v>
      </c>
      <c r="D148" s="678" t="s">
        <v>498</v>
      </c>
      <c r="E148" s="679">
        <v>50113001</v>
      </c>
      <c r="F148" s="678" t="s">
        <v>502</v>
      </c>
      <c r="G148" s="677" t="s">
        <v>503</v>
      </c>
      <c r="H148" s="677">
        <v>842703</v>
      </c>
      <c r="I148" s="677">
        <v>0</v>
      </c>
      <c r="J148" s="677" t="s">
        <v>761</v>
      </c>
      <c r="K148" s="677" t="s">
        <v>486</v>
      </c>
      <c r="L148" s="680">
        <v>58.817091251336066</v>
      </c>
      <c r="M148" s="680">
        <v>103</v>
      </c>
      <c r="N148" s="681">
        <v>6058.160398887615</v>
      </c>
    </row>
    <row r="149" spans="1:14" ht="14.4" customHeight="1" x14ac:dyDescent="0.3">
      <c r="A149" s="675" t="s">
        <v>484</v>
      </c>
      <c r="B149" s="676" t="s">
        <v>485</v>
      </c>
      <c r="C149" s="677" t="s">
        <v>497</v>
      </c>
      <c r="D149" s="678" t="s">
        <v>498</v>
      </c>
      <c r="E149" s="679">
        <v>50113001</v>
      </c>
      <c r="F149" s="678" t="s">
        <v>502</v>
      </c>
      <c r="G149" s="677" t="s">
        <v>486</v>
      </c>
      <c r="H149" s="677">
        <v>200358</v>
      </c>
      <c r="I149" s="677">
        <v>200358</v>
      </c>
      <c r="J149" s="677" t="s">
        <v>762</v>
      </c>
      <c r="K149" s="677" t="s">
        <v>763</v>
      </c>
      <c r="L149" s="680">
        <v>817.005</v>
      </c>
      <c r="M149" s="680">
        <v>2</v>
      </c>
      <c r="N149" s="681">
        <v>1634.01</v>
      </c>
    </row>
    <row r="150" spans="1:14" ht="14.4" customHeight="1" x14ac:dyDescent="0.3">
      <c r="A150" s="675" t="s">
        <v>484</v>
      </c>
      <c r="B150" s="676" t="s">
        <v>485</v>
      </c>
      <c r="C150" s="677" t="s">
        <v>497</v>
      </c>
      <c r="D150" s="678" t="s">
        <v>498</v>
      </c>
      <c r="E150" s="679">
        <v>50113001</v>
      </c>
      <c r="F150" s="678" t="s">
        <v>502</v>
      </c>
      <c r="G150" s="677" t="s">
        <v>503</v>
      </c>
      <c r="H150" s="677">
        <v>51366</v>
      </c>
      <c r="I150" s="677">
        <v>51366</v>
      </c>
      <c r="J150" s="677" t="s">
        <v>764</v>
      </c>
      <c r="K150" s="677" t="s">
        <v>765</v>
      </c>
      <c r="L150" s="680">
        <v>171.60000007519446</v>
      </c>
      <c r="M150" s="680">
        <v>69</v>
      </c>
      <c r="N150" s="681">
        <v>11840.400005188418</v>
      </c>
    </row>
    <row r="151" spans="1:14" ht="14.4" customHeight="1" x14ac:dyDescent="0.3">
      <c r="A151" s="675" t="s">
        <v>484</v>
      </c>
      <c r="B151" s="676" t="s">
        <v>485</v>
      </c>
      <c r="C151" s="677" t="s">
        <v>497</v>
      </c>
      <c r="D151" s="678" t="s">
        <v>498</v>
      </c>
      <c r="E151" s="679">
        <v>50113001</v>
      </c>
      <c r="F151" s="678" t="s">
        <v>502</v>
      </c>
      <c r="G151" s="677" t="s">
        <v>503</v>
      </c>
      <c r="H151" s="677">
        <v>51367</v>
      </c>
      <c r="I151" s="677">
        <v>51367</v>
      </c>
      <c r="J151" s="677" t="s">
        <v>764</v>
      </c>
      <c r="K151" s="677" t="s">
        <v>766</v>
      </c>
      <c r="L151" s="680">
        <v>92.949999620404995</v>
      </c>
      <c r="M151" s="680">
        <v>185</v>
      </c>
      <c r="N151" s="681">
        <v>17195.749929774924</v>
      </c>
    </row>
    <row r="152" spans="1:14" ht="14.4" customHeight="1" x14ac:dyDescent="0.3">
      <c r="A152" s="675" t="s">
        <v>484</v>
      </c>
      <c r="B152" s="676" t="s">
        <v>485</v>
      </c>
      <c r="C152" s="677" t="s">
        <v>497</v>
      </c>
      <c r="D152" s="678" t="s">
        <v>498</v>
      </c>
      <c r="E152" s="679">
        <v>50113001</v>
      </c>
      <c r="F152" s="678" t="s">
        <v>502</v>
      </c>
      <c r="G152" s="677" t="s">
        <v>503</v>
      </c>
      <c r="H152" s="677">
        <v>51383</v>
      </c>
      <c r="I152" s="677">
        <v>51383</v>
      </c>
      <c r="J152" s="677" t="s">
        <v>764</v>
      </c>
      <c r="K152" s="677" t="s">
        <v>767</v>
      </c>
      <c r="L152" s="680">
        <v>93.5</v>
      </c>
      <c r="M152" s="680">
        <v>145</v>
      </c>
      <c r="N152" s="681">
        <v>13557.5</v>
      </c>
    </row>
    <row r="153" spans="1:14" ht="14.4" customHeight="1" x14ac:dyDescent="0.3">
      <c r="A153" s="675" t="s">
        <v>484</v>
      </c>
      <c r="B153" s="676" t="s">
        <v>485</v>
      </c>
      <c r="C153" s="677" t="s">
        <v>497</v>
      </c>
      <c r="D153" s="678" t="s">
        <v>498</v>
      </c>
      <c r="E153" s="679">
        <v>50113001</v>
      </c>
      <c r="F153" s="678" t="s">
        <v>502</v>
      </c>
      <c r="G153" s="677" t="s">
        <v>503</v>
      </c>
      <c r="H153" s="677">
        <v>51384</v>
      </c>
      <c r="I153" s="677">
        <v>51384</v>
      </c>
      <c r="J153" s="677" t="s">
        <v>764</v>
      </c>
      <c r="K153" s="677" t="s">
        <v>768</v>
      </c>
      <c r="L153" s="680">
        <v>192.5</v>
      </c>
      <c r="M153" s="680">
        <v>28</v>
      </c>
      <c r="N153" s="681">
        <v>5390</v>
      </c>
    </row>
    <row r="154" spans="1:14" ht="14.4" customHeight="1" x14ac:dyDescent="0.3">
      <c r="A154" s="675" t="s">
        <v>484</v>
      </c>
      <c r="B154" s="676" t="s">
        <v>485</v>
      </c>
      <c r="C154" s="677" t="s">
        <v>497</v>
      </c>
      <c r="D154" s="678" t="s">
        <v>498</v>
      </c>
      <c r="E154" s="679">
        <v>50113001</v>
      </c>
      <c r="F154" s="678" t="s">
        <v>502</v>
      </c>
      <c r="G154" s="677" t="s">
        <v>503</v>
      </c>
      <c r="H154" s="677">
        <v>847908</v>
      </c>
      <c r="I154" s="677">
        <v>155052</v>
      </c>
      <c r="J154" s="677" t="s">
        <v>769</v>
      </c>
      <c r="K154" s="677" t="s">
        <v>770</v>
      </c>
      <c r="L154" s="680">
        <v>112.37999999999997</v>
      </c>
      <c r="M154" s="680">
        <v>1</v>
      </c>
      <c r="N154" s="681">
        <v>112.37999999999997</v>
      </c>
    </row>
    <row r="155" spans="1:14" ht="14.4" customHeight="1" x14ac:dyDescent="0.3">
      <c r="A155" s="675" t="s">
        <v>484</v>
      </c>
      <c r="B155" s="676" t="s">
        <v>485</v>
      </c>
      <c r="C155" s="677" t="s">
        <v>497</v>
      </c>
      <c r="D155" s="678" t="s">
        <v>498</v>
      </c>
      <c r="E155" s="679">
        <v>50113001</v>
      </c>
      <c r="F155" s="678" t="s">
        <v>502</v>
      </c>
      <c r="G155" s="677" t="s">
        <v>503</v>
      </c>
      <c r="H155" s="677">
        <v>187299</v>
      </c>
      <c r="I155" s="677">
        <v>87299</v>
      </c>
      <c r="J155" s="677" t="s">
        <v>771</v>
      </c>
      <c r="K155" s="677" t="s">
        <v>772</v>
      </c>
      <c r="L155" s="680">
        <v>1020.7309680672587</v>
      </c>
      <c r="M155" s="680">
        <v>1</v>
      </c>
      <c r="N155" s="681">
        <v>1020.7309680672587</v>
      </c>
    </row>
    <row r="156" spans="1:14" ht="14.4" customHeight="1" x14ac:dyDescent="0.3">
      <c r="A156" s="675" t="s">
        <v>484</v>
      </c>
      <c r="B156" s="676" t="s">
        <v>485</v>
      </c>
      <c r="C156" s="677" t="s">
        <v>497</v>
      </c>
      <c r="D156" s="678" t="s">
        <v>498</v>
      </c>
      <c r="E156" s="679">
        <v>50113001</v>
      </c>
      <c r="F156" s="678" t="s">
        <v>502</v>
      </c>
      <c r="G156" s="677" t="s">
        <v>503</v>
      </c>
      <c r="H156" s="677">
        <v>193724</v>
      </c>
      <c r="I156" s="677">
        <v>93724</v>
      </c>
      <c r="J156" s="677" t="s">
        <v>773</v>
      </c>
      <c r="K156" s="677" t="s">
        <v>774</v>
      </c>
      <c r="L156" s="680">
        <v>68.79000000000002</v>
      </c>
      <c r="M156" s="680">
        <v>4</v>
      </c>
      <c r="N156" s="681">
        <v>275.16000000000008</v>
      </c>
    </row>
    <row r="157" spans="1:14" ht="14.4" customHeight="1" x14ac:dyDescent="0.3">
      <c r="A157" s="675" t="s">
        <v>484</v>
      </c>
      <c r="B157" s="676" t="s">
        <v>485</v>
      </c>
      <c r="C157" s="677" t="s">
        <v>497</v>
      </c>
      <c r="D157" s="678" t="s">
        <v>498</v>
      </c>
      <c r="E157" s="679">
        <v>50113001</v>
      </c>
      <c r="F157" s="678" t="s">
        <v>502</v>
      </c>
      <c r="G157" s="677" t="s">
        <v>503</v>
      </c>
      <c r="H157" s="677">
        <v>193723</v>
      </c>
      <c r="I157" s="677">
        <v>93723</v>
      </c>
      <c r="J157" s="677" t="s">
        <v>775</v>
      </c>
      <c r="K157" s="677" t="s">
        <v>776</v>
      </c>
      <c r="L157" s="680">
        <v>40.280000000000022</v>
      </c>
      <c r="M157" s="680">
        <v>1</v>
      </c>
      <c r="N157" s="681">
        <v>40.280000000000022</v>
      </c>
    </row>
    <row r="158" spans="1:14" ht="14.4" customHeight="1" x14ac:dyDescent="0.3">
      <c r="A158" s="675" t="s">
        <v>484</v>
      </c>
      <c r="B158" s="676" t="s">
        <v>485</v>
      </c>
      <c r="C158" s="677" t="s">
        <v>497</v>
      </c>
      <c r="D158" s="678" t="s">
        <v>498</v>
      </c>
      <c r="E158" s="679">
        <v>50113001</v>
      </c>
      <c r="F158" s="678" t="s">
        <v>502</v>
      </c>
      <c r="G158" s="677" t="s">
        <v>503</v>
      </c>
      <c r="H158" s="677">
        <v>208465</v>
      </c>
      <c r="I158" s="677">
        <v>208465</v>
      </c>
      <c r="J158" s="677" t="s">
        <v>777</v>
      </c>
      <c r="K158" s="677" t="s">
        <v>778</v>
      </c>
      <c r="L158" s="680">
        <v>2234.6500000000005</v>
      </c>
      <c r="M158" s="680">
        <v>2</v>
      </c>
      <c r="N158" s="681">
        <v>4469.3000000000011</v>
      </c>
    </row>
    <row r="159" spans="1:14" ht="14.4" customHeight="1" x14ac:dyDescent="0.3">
      <c r="A159" s="675" t="s">
        <v>484</v>
      </c>
      <c r="B159" s="676" t="s">
        <v>485</v>
      </c>
      <c r="C159" s="677" t="s">
        <v>497</v>
      </c>
      <c r="D159" s="678" t="s">
        <v>498</v>
      </c>
      <c r="E159" s="679">
        <v>50113001</v>
      </c>
      <c r="F159" s="678" t="s">
        <v>502</v>
      </c>
      <c r="G159" s="677" t="s">
        <v>503</v>
      </c>
      <c r="H159" s="677">
        <v>169671</v>
      </c>
      <c r="I159" s="677">
        <v>69671</v>
      </c>
      <c r="J159" s="677" t="s">
        <v>779</v>
      </c>
      <c r="K159" s="677" t="s">
        <v>780</v>
      </c>
      <c r="L159" s="680">
        <v>105.80999999999999</v>
      </c>
      <c r="M159" s="680">
        <v>5</v>
      </c>
      <c r="N159" s="681">
        <v>529.04999999999995</v>
      </c>
    </row>
    <row r="160" spans="1:14" ht="14.4" customHeight="1" x14ac:dyDescent="0.3">
      <c r="A160" s="675" t="s">
        <v>484</v>
      </c>
      <c r="B160" s="676" t="s">
        <v>485</v>
      </c>
      <c r="C160" s="677" t="s">
        <v>497</v>
      </c>
      <c r="D160" s="678" t="s">
        <v>498</v>
      </c>
      <c r="E160" s="679">
        <v>50113001</v>
      </c>
      <c r="F160" s="678" t="s">
        <v>502</v>
      </c>
      <c r="G160" s="677" t="s">
        <v>527</v>
      </c>
      <c r="H160" s="677">
        <v>125744</v>
      </c>
      <c r="I160" s="677">
        <v>25744</v>
      </c>
      <c r="J160" s="677" t="s">
        <v>781</v>
      </c>
      <c r="K160" s="677" t="s">
        <v>782</v>
      </c>
      <c r="L160" s="680">
        <v>1520.77</v>
      </c>
      <c r="M160" s="680">
        <v>2</v>
      </c>
      <c r="N160" s="681">
        <v>3041.54</v>
      </c>
    </row>
    <row r="161" spans="1:14" ht="14.4" customHeight="1" x14ac:dyDescent="0.3">
      <c r="A161" s="675" t="s">
        <v>484</v>
      </c>
      <c r="B161" s="676" t="s">
        <v>485</v>
      </c>
      <c r="C161" s="677" t="s">
        <v>497</v>
      </c>
      <c r="D161" s="678" t="s">
        <v>498</v>
      </c>
      <c r="E161" s="679">
        <v>50113001</v>
      </c>
      <c r="F161" s="678" t="s">
        <v>502</v>
      </c>
      <c r="G161" s="677" t="s">
        <v>503</v>
      </c>
      <c r="H161" s="677">
        <v>100802</v>
      </c>
      <c r="I161" s="677">
        <v>1000</v>
      </c>
      <c r="J161" s="677" t="s">
        <v>783</v>
      </c>
      <c r="K161" s="677" t="s">
        <v>784</v>
      </c>
      <c r="L161" s="680">
        <v>75.332706665272056</v>
      </c>
      <c r="M161" s="680">
        <v>36</v>
      </c>
      <c r="N161" s="681">
        <v>2711.9774399497942</v>
      </c>
    </row>
    <row r="162" spans="1:14" ht="14.4" customHeight="1" x14ac:dyDescent="0.3">
      <c r="A162" s="675" t="s">
        <v>484</v>
      </c>
      <c r="B162" s="676" t="s">
        <v>485</v>
      </c>
      <c r="C162" s="677" t="s">
        <v>497</v>
      </c>
      <c r="D162" s="678" t="s">
        <v>498</v>
      </c>
      <c r="E162" s="679">
        <v>50113001</v>
      </c>
      <c r="F162" s="678" t="s">
        <v>502</v>
      </c>
      <c r="G162" s="677" t="s">
        <v>503</v>
      </c>
      <c r="H162" s="677">
        <v>185733</v>
      </c>
      <c r="I162" s="677">
        <v>85733</v>
      </c>
      <c r="J162" s="677" t="s">
        <v>785</v>
      </c>
      <c r="K162" s="677" t="s">
        <v>786</v>
      </c>
      <c r="L162" s="680">
        <v>567.52705882352939</v>
      </c>
      <c r="M162" s="680">
        <v>17</v>
      </c>
      <c r="N162" s="681">
        <v>9647.9599999999991</v>
      </c>
    </row>
    <row r="163" spans="1:14" ht="14.4" customHeight="1" x14ac:dyDescent="0.3">
      <c r="A163" s="675" t="s">
        <v>484</v>
      </c>
      <c r="B163" s="676" t="s">
        <v>485</v>
      </c>
      <c r="C163" s="677" t="s">
        <v>497</v>
      </c>
      <c r="D163" s="678" t="s">
        <v>498</v>
      </c>
      <c r="E163" s="679">
        <v>50113001</v>
      </c>
      <c r="F163" s="678" t="s">
        <v>502</v>
      </c>
      <c r="G163" s="677" t="s">
        <v>503</v>
      </c>
      <c r="H163" s="677">
        <v>134821</v>
      </c>
      <c r="I163" s="677">
        <v>134821</v>
      </c>
      <c r="J163" s="677" t="s">
        <v>787</v>
      </c>
      <c r="K163" s="677" t="s">
        <v>788</v>
      </c>
      <c r="L163" s="680">
        <v>264.99</v>
      </c>
      <c r="M163" s="680">
        <v>89</v>
      </c>
      <c r="N163" s="681">
        <v>23584.11</v>
      </c>
    </row>
    <row r="164" spans="1:14" ht="14.4" customHeight="1" x14ac:dyDescent="0.3">
      <c r="A164" s="675" t="s">
        <v>484</v>
      </c>
      <c r="B164" s="676" t="s">
        <v>485</v>
      </c>
      <c r="C164" s="677" t="s">
        <v>497</v>
      </c>
      <c r="D164" s="678" t="s">
        <v>498</v>
      </c>
      <c r="E164" s="679">
        <v>50113001</v>
      </c>
      <c r="F164" s="678" t="s">
        <v>502</v>
      </c>
      <c r="G164" s="677" t="s">
        <v>503</v>
      </c>
      <c r="H164" s="677">
        <v>134824</v>
      </c>
      <c r="I164" s="677">
        <v>134824</v>
      </c>
      <c r="J164" s="677" t="s">
        <v>789</v>
      </c>
      <c r="K164" s="677" t="s">
        <v>790</v>
      </c>
      <c r="L164" s="680">
        <v>199.98</v>
      </c>
      <c r="M164" s="680">
        <v>112</v>
      </c>
      <c r="N164" s="681">
        <v>22397.759999999998</v>
      </c>
    </row>
    <row r="165" spans="1:14" ht="14.4" customHeight="1" x14ac:dyDescent="0.3">
      <c r="A165" s="675" t="s">
        <v>484</v>
      </c>
      <c r="B165" s="676" t="s">
        <v>485</v>
      </c>
      <c r="C165" s="677" t="s">
        <v>497</v>
      </c>
      <c r="D165" s="678" t="s">
        <v>498</v>
      </c>
      <c r="E165" s="679">
        <v>50113001</v>
      </c>
      <c r="F165" s="678" t="s">
        <v>502</v>
      </c>
      <c r="G165" s="677" t="s">
        <v>503</v>
      </c>
      <c r="H165" s="677">
        <v>501705</v>
      </c>
      <c r="I165" s="677">
        <v>0</v>
      </c>
      <c r="J165" s="677" t="s">
        <v>791</v>
      </c>
      <c r="K165" s="677" t="s">
        <v>792</v>
      </c>
      <c r="L165" s="680">
        <v>300.83749999999998</v>
      </c>
      <c r="M165" s="680">
        <v>4</v>
      </c>
      <c r="N165" s="681">
        <v>1203.3499999999999</v>
      </c>
    </row>
    <row r="166" spans="1:14" ht="14.4" customHeight="1" x14ac:dyDescent="0.3">
      <c r="A166" s="675" t="s">
        <v>484</v>
      </c>
      <c r="B166" s="676" t="s">
        <v>485</v>
      </c>
      <c r="C166" s="677" t="s">
        <v>497</v>
      </c>
      <c r="D166" s="678" t="s">
        <v>498</v>
      </c>
      <c r="E166" s="679">
        <v>50113001</v>
      </c>
      <c r="F166" s="678" t="s">
        <v>502</v>
      </c>
      <c r="G166" s="677" t="s">
        <v>486</v>
      </c>
      <c r="H166" s="677">
        <v>186204</v>
      </c>
      <c r="I166" s="677">
        <v>186204</v>
      </c>
      <c r="J166" s="677" t="s">
        <v>793</v>
      </c>
      <c r="K166" s="677" t="s">
        <v>794</v>
      </c>
      <c r="L166" s="680">
        <v>151.14975217333131</v>
      </c>
      <c r="M166" s="680">
        <v>1</v>
      </c>
      <c r="N166" s="681">
        <v>151.14975217333131</v>
      </c>
    </row>
    <row r="167" spans="1:14" ht="14.4" customHeight="1" x14ac:dyDescent="0.3">
      <c r="A167" s="675" t="s">
        <v>484</v>
      </c>
      <c r="B167" s="676" t="s">
        <v>485</v>
      </c>
      <c r="C167" s="677" t="s">
        <v>497</v>
      </c>
      <c r="D167" s="678" t="s">
        <v>498</v>
      </c>
      <c r="E167" s="679">
        <v>50113001</v>
      </c>
      <c r="F167" s="678" t="s">
        <v>502</v>
      </c>
      <c r="G167" s="677" t="s">
        <v>503</v>
      </c>
      <c r="H167" s="677">
        <v>117189</v>
      </c>
      <c r="I167" s="677">
        <v>17189</v>
      </c>
      <c r="J167" s="677" t="s">
        <v>795</v>
      </c>
      <c r="K167" s="677" t="s">
        <v>796</v>
      </c>
      <c r="L167" s="680">
        <v>41.139999999999979</v>
      </c>
      <c r="M167" s="680">
        <v>1</v>
      </c>
      <c r="N167" s="681">
        <v>41.139999999999979</v>
      </c>
    </row>
    <row r="168" spans="1:14" ht="14.4" customHeight="1" x14ac:dyDescent="0.3">
      <c r="A168" s="675" t="s">
        <v>484</v>
      </c>
      <c r="B168" s="676" t="s">
        <v>485</v>
      </c>
      <c r="C168" s="677" t="s">
        <v>497</v>
      </c>
      <c r="D168" s="678" t="s">
        <v>498</v>
      </c>
      <c r="E168" s="679">
        <v>50113001</v>
      </c>
      <c r="F168" s="678" t="s">
        <v>502</v>
      </c>
      <c r="G168" s="677" t="s">
        <v>503</v>
      </c>
      <c r="H168" s="677">
        <v>848725</v>
      </c>
      <c r="I168" s="677">
        <v>107677</v>
      </c>
      <c r="J168" s="677" t="s">
        <v>797</v>
      </c>
      <c r="K168" s="677" t="s">
        <v>798</v>
      </c>
      <c r="L168" s="680">
        <v>382.10931351292948</v>
      </c>
      <c r="M168" s="680">
        <v>84</v>
      </c>
      <c r="N168" s="681">
        <v>32097.182335086076</v>
      </c>
    </row>
    <row r="169" spans="1:14" ht="14.4" customHeight="1" x14ac:dyDescent="0.3">
      <c r="A169" s="675" t="s">
        <v>484</v>
      </c>
      <c r="B169" s="676" t="s">
        <v>485</v>
      </c>
      <c r="C169" s="677" t="s">
        <v>497</v>
      </c>
      <c r="D169" s="678" t="s">
        <v>498</v>
      </c>
      <c r="E169" s="679">
        <v>50113001</v>
      </c>
      <c r="F169" s="678" t="s">
        <v>502</v>
      </c>
      <c r="G169" s="677" t="s">
        <v>503</v>
      </c>
      <c r="H169" s="677">
        <v>100489</v>
      </c>
      <c r="I169" s="677">
        <v>489</v>
      </c>
      <c r="J169" s="677" t="s">
        <v>799</v>
      </c>
      <c r="K169" s="677" t="s">
        <v>800</v>
      </c>
      <c r="L169" s="680">
        <v>42.075263157894739</v>
      </c>
      <c r="M169" s="680">
        <v>114</v>
      </c>
      <c r="N169" s="681">
        <v>4796.58</v>
      </c>
    </row>
    <row r="170" spans="1:14" ht="14.4" customHeight="1" x14ac:dyDescent="0.3">
      <c r="A170" s="675" t="s">
        <v>484</v>
      </c>
      <c r="B170" s="676" t="s">
        <v>485</v>
      </c>
      <c r="C170" s="677" t="s">
        <v>497</v>
      </c>
      <c r="D170" s="678" t="s">
        <v>498</v>
      </c>
      <c r="E170" s="679">
        <v>50113001</v>
      </c>
      <c r="F170" s="678" t="s">
        <v>502</v>
      </c>
      <c r="G170" s="677" t="s">
        <v>503</v>
      </c>
      <c r="H170" s="677">
        <v>100720</v>
      </c>
      <c r="I170" s="677">
        <v>720</v>
      </c>
      <c r="J170" s="677" t="s">
        <v>799</v>
      </c>
      <c r="K170" s="677" t="s">
        <v>801</v>
      </c>
      <c r="L170" s="680">
        <v>79.179999999999993</v>
      </c>
      <c r="M170" s="680">
        <v>1</v>
      </c>
      <c r="N170" s="681">
        <v>79.179999999999993</v>
      </c>
    </row>
    <row r="171" spans="1:14" ht="14.4" customHeight="1" x14ac:dyDescent="0.3">
      <c r="A171" s="675" t="s">
        <v>484</v>
      </c>
      <c r="B171" s="676" t="s">
        <v>485</v>
      </c>
      <c r="C171" s="677" t="s">
        <v>497</v>
      </c>
      <c r="D171" s="678" t="s">
        <v>498</v>
      </c>
      <c r="E171" s="679">
        <v>50113001</v>
      </c>
      <c r="F171" s="678" t="s">
        <v>502</v>
      </c>
      <c r="G171" s="677" t="s">
        <v>503</v>
      </c>
      <c r="H171" s="677">
        <v>158746</v>
      </c>
      <c r="I171" s="677">
        <v>58746</v>
      </c>
      <c r="J171" s="677" t="s">
        <v>802</v>
      </c>
      <c r="K171" s="677" t="s">
        <v>803</v>
      </c>
      <c r="L171" s="680">
        <v>570.33999999999992</v>
      </c>
      <c r="M171" s="680">
        <v>1</v>
      </c>
      <c r="N171" s="681">
        <v>570.33999999999992</v>
      </c>
    </row>
    <row r="172" spans="1:14" ht="14.4" customHeight="1" x14ac:dyDescent="0.3">
      <c r="A172" s="675" t="s">
        <v>484</v>
      </c>
      <c r="B172" s="676" t="s">
        <v>485</v>
      </c>
      <c r="C172" s="677" t="s">
        <v>497</v>
      </c>
      <c r="D172" s="678" t="s">
        <v>498</v>
      </c>
      <c r="E172" s="679">
        <v>50113001</v>
      </c>
      <c r="F172" s="678" t="s">
        <v>502</v>
      </c>
      <c r="G172" s="677" t="s">
        <v>503</v>
      </c>
      <c r="H172" s="677">
        <v>397238</v>
      </c>
      <c r="I172" s="677">
        <v>0</v>
      </c>
      <c r="J172" s="677" t="s">
        <v>804</v>
      </c>
      <c r="K172" s="677" t="s">
        <v>805</v>
      </c>
      <c r="L172" s="680">
        <v>93.520930084580911</v>
      </c>
      <c r="M172" s="680">
        <v>3</v>
      </c>
      <c r="N172" s="681">
        <v>280.56279025374272</v>
      </c>
    </row>
    <row r="173" spans="1:14" ht="14.4" customHeight="1" x14ac:dyDescent="0.3">
      <c r="A173" s="675" t="s">
        <v>484</v>
      </c>
      <c r="B173" s="676" t="s">
        <v>485</v>
      </c>
      <c r="C173" s="677" t="s">
        <v>497</v>
      </c>
      <c r="D173" s="678" t="s">
        <v>498</v>
      </c>
      <c r="E173" s="679">
        <v>50113001</v>
      </c>
      <c r="F173" s="678" t="s">
        <v>502</v>
      </c>
      <c r="G173" s="677" t="s">
        <v>503</v>
      </c>
      <c r="H173" s="677">
        <v>900441</v>
      </c>
      <c r="I173" s="677">
        <v>0</v>
      </c>
      <c r="J173" s="677" t="s">
        <v>806</v>
      </c>
      <c r="K173" s="677" t="s">
        <v>807</v>
      </c>
      <c r="L173" s="680">
        <v>162.14817149925446</v>
      </c>
      <c r="M173" s="680">
        <v>1</v>
      </c>
      <c r="N173" s="681">
        <v>162.14817149925446</v>
      </c>
    </row>
    <row r="174" spans="1:14" ht="14.4" customHeight="1" x14ac:dyDescent="0.3">
      <c r="A174" s="675" t="s">
        <v>484</v>
      </c>
      <c r="B174" s="676" t="s">
        <v>485</v>
      </c>
      <c r="C174" s="677" t="s">
        <v>497</v>
      </c>
      <c r="D174" s="678" t="s">
        <v>498</v>
      </c>
      <c r="E174" s="679">
        <v>50113001</v>
      </c>
      <c r="F174" s="678" t="s">
        <v>502</v>
      </c>
      <c r="G174" s="677" t="s">
        <v>503</v>
      </c>
      <c r="H174" s="677">
        <v>921458</v>
      </c>
      <c r="I174" s="677">
        <v>0</v>
      </c>
      <c r="J174" s="677" t="s">
        <v>808</v>
      </c>
      <c r="K174" s="677" t="s">
        <v>486</v>
      </c>
      <c r="L174" s="680">
        <v>124.20770651148493</v>
      </c>
      <c r="M174" s="680">
        <v>8</v>
      </c>
      <c r="N174" s="681">
        <v>993.66165209187943</v>
      </c>
    </row>
    <row r="175" spans="1:14" ht="14.4" customHeight="1" x14ac:dyDescent="0.3">
      <c r="A175" s="675" t="s">
        <v>484</v>
      </c>
      <c r="B175" s="676" t="s">
        <v>485</v>
      </c>
      <c r="C175" s="677" t="s">
        <v>497</v>
      </c>
      <c r="D175" s="678" t="s">
        <v>498</v>
      </c>
      <c r="E175" s="679">
        <v>50113001</v>
      </c>
      <c r="F175" s="678" t="s">
        <v>502</v>
      </c>
      <c r="G175" s="677" t="s">
        <v>503</v>
      </c>
      <c r="H175" s="677">
        <v>900539</v>
      </c>
      <c r="I175" s="677">
        <v>0</v>
      </c>
      <c r="J175" s="677" t="s">
        <v>809</v>
      </c>
      <c r="K175" s="677" t="s">
        <v>486</v>
      </c>
      <c r="L175" s="680">
        <v>132.46594298471402</v>
      </c>
      <c r="M175" s="680">
        <v>62</v>
      </c>
      <c r="N175" s="681">
        <v>8212.8884650522687</v>
      </c>
    </row>
    <row r="176" spans="1:14" ht="14.4" customHeight="1" x14ac:dyDescent="0.3">
      <c r="A176" s="675" t="s">
        <v>484</v>
      </c>
      <c r="B176" s="676" t="s">
        <v>485</v>
      </c>
      <c r="C176" s="677" t="s">
        <v>497</v>
      </c>
      <c r="D176" s="678" t="s">
        <v>498</v>
      </c>
      <c r="E176" s="679">
        <v>50113001</v>
      </c>
      <c r="F176" s="678" t="s">
        <v>502</v>
      </c>
      <c r="G176" s="677" t="s">
        <v>503</v>
      </c>
      <c r="H176" s="677">
        <v>501736</v>
      </c>
      <c r="I176" s="677">
        <v>0</v>
      </c>
      <c r="J176" s="677" t="s">
        <v>810</v>
      </c>
      <c r="K176" s="677" t="s">
        <v>486</v>
      </c>
      <c r="L176" s="680">
        <v>185.91210223141974</v>
      </c>
      <c r="M176" s="680">
        <v>41</v>
      </c>
      <c r="N176" s="681">
        <v>7622.3961914882093</v>
      </c>
    </row>
    <row r="177" spans="1:14" ht="14.4" customHeight="1" x14ac:dyDescent="0.3">
      <c r="A177" s="675" t="s">
        <v>484</v>
      </c>
      <c r="B177" s="676" t="s">
        <v>485</v>
      </c>
      <c r="C177" s="677" t="s">
        <v>497</v>
      </c>
      <c r="D177" s="678" t="s">
        <v>498</v>
      </c>
      <c r="E177" s="679">
        <v>50113001</v>
      </c>
      <c r="F177" s="678" t="s">
        <v>502</v>
      </c>
      <c r="G177" s="677" t="s">
        <v>503</v>
      </c>
      <c r="H177" s="677">
        <v>500092</v>
      </c>
      <c r="I177" s="677">
        <v>0</v>
      </c>
      <c r="J177" s="677" t="s">
        <v>811</v>
      </c>
      <c r="K177" s="677" t="s">
        <v>486</v>
      </c>
      <c r="L177" s="680">
        <v>555.49991240889472</v>
      </c>
      <c r="M177" s="680">
        <v>2</v>
      </c>
      <c r="N177" s="681">
        <v>1110.9998248177894</v>
      </c>
    </row>
    <row r="178" spans="1:14" ht="14.4" customHeight="1" x14ac:dyDescent="0.3">
      <c r="A178" s="675" t="s">
        <v>484</v>
      </c>
      <c r="B178" s="676" t="s">
        <v>485</v>
      </c>
      <c r="C178" s="677" t="s">
        <v>497</v>
      </c>
      <c r="D178" s="678" t="s">
        <v>498</v>
      </c>
      <c r="E178" s="679">
        <v>50113001</v>
      </c>
      <c r="F178" s="678" t="s">
        <v>502</v>
      </c>
      <c r="G178" s="677" t="s">
        <v>503</v>
      </c>
      <c r="H178" s="677">
        <v>900321</v>
      </c>
      <c r="I178" s="677">
        <v>0</v>
      </c>
      <c r="J178" s="677" t="s">
        <v>812</v>
      </c>
      <c r="K178" s="677" t="s">
        <v>486</v>
      </c>
      <c r="L178" s="680">
        <v>288.71894223973999</v>
      </c>
      <c r="M178" s="680">
        <v>6</v>
      </c>
      <c r="N178" s="681">
        <v>1732.3136534384398</v>
      </c>
    </row>
    <row r="179" spans="1:14" ht="14.4" customHeight="1" x14ac:dyDescent="0.3">
      <c r="A179" s="675" t="s">
        <v>484</v>
      </c>
      <c r="B179" s="676" t="s">
        <v>485</v>
      </c>
      <c r="C179" s="677" t="s">
        <v>497</v>
      </c>
      <c r="D179" s="678" t="s">
        <v>498</v>
      </c>
      <c r="E179" s="679">
        <v>50113001</v>
      </c>
      <c r="F179" s="678" t="s">
        <v>502</v>
      </c>
      <c r="G179" s="677" t="s">
        <v>503</v>
      </c>
      <c r="H179" s="677">
        <v>501065</v>
      </c>
      <c r="I179" s="677">
        <v>0</v>
      </c>
      <c r="J179" s="677" t="s">
        <v>813</v>
      </c>
      <c r="K179" s="677" t="s">
        <v>486</v>
      </c>
      <c r="L179" s="680">
        <v>213.61729893031679</v>
      </c>
      <c r="M179" s="680">
        <v>10</v>
      </c>
      <c r="N179" s="681">
        <v>2136.1729893031679</v>
      </c>
    </row>
    <row r="180" spans="1:14" ht="14.4" customHeight="1" x14ac:dyDescent="0.3">
      <c r="A180" s="675" t="s">
        <v>484</v>
      </c>
      <c r="B180" s="676" t="s">
        <v>485</v>
      </c>
      <c r="C180" s="677" t="s">
        <v>497</v>
      </c>
      <c r="D180" s="678" t="s">
        <v>498</v>
      </c>
      <c r="E180" s="679">
        <v>50113001</v>
      </c>
      <c r="F180" s="678" t="s">
        <v>502</v>
      </c>
      <c r="G180" s="677" t="s">
        <v>503</v>
      </c>
      <c r="H180" s="677">
        <v>920356</v>
      </c>
      <c r="I180" s="677">
        <v>0</v>
      </c>
      <c r="J180" s="677" t="s">
        <v>814</v>
      </c>
      <c r="K180" s="677" t="s">
        <v>486</v>
      </c>
      <c r="L180" s="680">
        <v>96.767671841833604</v>
      </c>
      <c r="M180" s="680">
        <v>9</v>
      </c>
      <c r="N180" s="681">
        <v>870.90904657650242</v>
      </c>
    </row>
    <row r="181" spans="1:14" ht="14.4" customHeight="1" x14ac:dyDescent="0.3">
      <c r="A181" s="675" t="s">
        <v>484</v>
      </c>
      <c r="B181" s="676" t="s">
        <v>485</v>
      </c>
      <c r="C181" s="677" t="s">
        <v>497</v>
      </c>
      <c r="D181" s="678" t="s">
        <v>498</v>
      </c>
      <c r="E181" s="679">
        <v>50113001</v>
      </c>
      <c r="F181" s="678" t="s">
        <v>502</v>
      </c>
      <c r="G181" s="677" t="s">
        <v>503</v>
      </c>
      <c r="H181" s="677">
        <v>920358</v>
      </c>
      <c r="I181" s="677">
        <v>0</v>
      </c>
      <c r="J181" s="677" t="s">
        <v>815</v>
      </c>
      <c r="K181" s="677" t="s">
        <v>486</v>
      </c>
      <c r="L181" s="680">
        <v>150.34685158841543</v>
      </c>
      <c r="M181" s="680">
        <v>3</v>
      </c>
      <c r="N181" s="681">
        <v>451.04055476524627</v>
      </c>
    </row>
    <row r="182" spans="1:14" ht="14.4" customHeight="1" x14ac:dyDescent="0.3">
      <c r="A182" s="675" t="s">
        <v>484</v>
      </c>
      <c r="B182" s="676" t="s">
        <v>485</v>
      </c>
      <c r="C182" s="677" t="s">
        <v>497</v>
      </c>
      <c r="D182" s="678" t="s">
        <v>498</v>
      </c>
      <c r="E182" s="679">
        <v>50113001</v>
      </c>
      <c r="F182" s="678" t="s">
        <v>502</v>
      </c>
      <c r="G182" s="677" t="s">
        <v>503</v>
      </c>
      <c r="H182" s="677">
        <v>921533</v>
      </c>
      <c r="I182" s="677">
        <v>0</v>
      </c>
      <c r="J182" s="677" t="s">
        <v>816</v>
      </c>
      <c r="K182" s="677" t="s">
        <v>486</v>
      </c>
      <c r="L182" s="680">
        <v>291.48140000000001</v>
      </c>
      <c r="M182" s="680">
        <v>1</v>
      </c>
      <c r="N182" s="681">
        <v>291.48140000000001</v>
      </c>
    </row>
    <row r="183" spans="1:14" ht="14.4" customHeight="1" x14ac:dyDescent="0.3">
      <c r="A183" s="675" t="s">
        <v>484</v>
      </c>
      <c r="B183" s="676" t="s">
        <v>485</v>
      </c>
      <c r="C183" s="677" t="s">
        <v>497</v>
      </c>
      <c r="D183" s="678" t="s">
        <v>498</v>
      </c>
      <c r="E183" s="679">
        <v>50113001</v>
      </c>
      <c r="F183" s="678" t="s">
        <v>502</v>
      </c>
      <c r="G183" s="677" t="s">
        <v>503</v>
      </c>
      <c r="H183" s="677">
        <v>921135</v>
      </c>
      <c r="I183" s="677">
        <v>0</v>
      </c>
      <c r="J183" s="677" t="s">
        <v>817</v>
      </c>
      <c r="K183" s="677" t="s">
        <v>818</v>
      </c>
      <c r="L183" s="680">
        <v>145.77342185605855</v>
      </c>
      <c r="M183" s="680">
        <v>34</v>
      </c>
      <c r="N183" s="681">
        <v>4956.2963431059907</v>
      </c>
    </row>
    <row r="184" spans="1:14" ht="14.4" customHeight="1" x14ac:dyDescent="0.3">
      <c r="A184" s="675" t="s">
        <v>484</v>
      </c>
      <c r="B184" s="676" t="s">
        <v>485</v>
      </c>
      <c r="C184" s="677" t="s">
        <v>497</v>
      </c>
      <c r="D184" s="678" t="s">
        <v>498</v>
      </c>
      <c r="E184" s="679">
        <v>50113001</v>
      </c>
      <c r="F184" s="678" t="s">
        <v>502</v>
      </c>
      <c r="G184" s="677" t="s">
        <v>503</v>
      </c>
      <c r="H184" s="677">
        <v>990927</v>
      </c>
      <c r="I184" s="677">
        <v>0</v>
      </c>
      <c r="J184" s="677" t="s">
        <v>819</v>
      </c>
      <c r="K184" s="677" t="s">
        <v>486</v>
      </c>
      <c r="L184" s="680">
        <v>142.62000000000006</v>
      </c>
      <c r="M184" s="680">
        <v>5</v>
      </c>
      <c r="N184" s="681">
        <v>713.10000000000036</v>
      </c>
    </row>
    <row r="185" spans="1:14" ht="14.4" customHeight="1" x14ac:dyDescent="0.3">
      <c r="A185" s="675" t="s">
        <v>484</v>
      </c>
      <c r="B185" s="676" t="s">
        <v>485</v>
      </c>
      <c r="C185" s="677" t="s">
        <v>497</v>
      </c>
      <c r="D185" s="678" t="s">
        <v>498</v>
      </c>
      <c r="E185" s="679">
        <v>50113001</v>
      </c>
      <c r="F185" s="678" t="s">
        <v>502</v>
      </c>
      <c r="G185" s="677" t="s">
        <v>503</v>
      </c>
      <c r="H185" s="677">
        <v>840220</v>
      </c>
      <c r="I185" s="677">
        <v>0</v>
      </c>
      <c r="J185" s="677" t="s">
        <v>820</v>
      </c>
      <c r="K185" s="677" t="s">
        <v>486</v>
      </c>
      <c r="L185" s="680">
        <v>218.2</v>
      </c>
      <c r="M185" s="680">
        <v>18</v>
      </c>
      <c r="N185" s="681">
        <v>3927.6</v>
      </c>
    </row>
    <row r="186" spans="1:14" ht="14.4" customHeight="1" x14ac:dyDescent="0.3">
      <c r="A186" s="675" t="s">
        <v>484</v>
      </c>
      <c r="B186" s="676" t="s">
        <v>485</v>
      </c>
      <c r="C186" s="677" t="s">
        <v>497</v>
      </c>
      <c r="D186" s="678" t="s">
        <v>498</v>
      </c>
      <c r="E186" s="679">
        <v>50113001</v>
      </c>
      <c r="F186" s="678" t="s">
        <v>502</v>
      </c>
      <c r="G186" s="677" t="s">
        <v>486</v>
      </c>
      <c r="H186" s="677">
        <v>117191</v>
      </c>
      <c r="I186" s="677">
        <v>17191</v>
      </c>
      <c r="J186" s="677" t="s">
        <v>821</v>
      </c>
      <c r="K186" s="677" t="s">
        <v>822</v>
      </c>
      <c r="L186" s="680">
        <v>116.35999999999997</v>
      </c>
      <c r="M186" s="680">
        <v>2</v>
      </c>
      <c r="N186" s="681">
        <v>232.71999999999994</v>
      </c>
    </row>
    <row r="187" spans="1:14" ht="14.4" customHeight="1" x14ac:dyDescent="0.3">
      <c r="A187" s="675" t="s">
        <v>484</v>
      </c>
      <c r="B187" s="676" t="s">
        <v>485</v>
      </c>
      <c r="C187" s="677" t="s">
        <v>497</v>
      </c>
      <c r="D187" s="678" t="s">
        <v>498</v>
      </c>
      <c r="E187" s="679">
        <v>50113001</v>
      </c>
      <c r="F187" s="678" t="s">
        <v>502</v>
      </c>
      <c r="G187" s="677" t="s">
        <v>527</v>
      </c>
      <c r="H187" s="677">
        <v>187427</v>
      </c>
      <c r="I187" s="677">
        <v>187427</v>
      </c>
      <c r="J187" s="677" t="s">
        <v>823</v>
      </c>
      <c r="K187" s="677" t="s">
        <v>824</v>
      </c>
      <c r="L187" s="680">
        <v>63.109999999999992</v>
      </c>
      <c r="M187" s="680">
        <v>6</v>
      </c>
      <c r="N187" s="681">
        <v>378.65999999999997</v>
      </c>
    </row>
    <row r="188" spans="1:14" ht="14.4" customHeight="1" x14ac:dyDescent="0.3">
      <c r="A188" s="675" t="s">
        <v>484</v>
      </c>
      <c r="B188" s="676" t="s">
        <v>485</v>
      </c>
      <c r="C188" s="677" t="s">
        <v>497</v>
      </c>
      <c r="D188" s="678" t="s">
        <v>498</v>
      </c>
      <c r="E188" s="679">
        <v>50113001</v>
      </c>
      <c r="F188" s="678" t="s">
        <v>502</v>
      </c>
      <c r="G188" s="677" t="s">
        <v>527</v>
      </c>
      <c r="H188" s="677">
        <v>147133</v>
      </c>
      <c r="I188" s="677">
        <v>172044</v>
      </c>
      <c r="J188" s="677" t="s">
        <v>825</v>
      </c>
      <c r="K188" s="677" t="s">
        <v>826</v>
      </c>
      <c r="L188" s="680">
        <v>98.799999999999926</v>
      </c>
      <c r="M188" s="680">
        <v>1</v>
      </c>
      <c r="N188" s="681">
        <v>98.799999999999926</v>
      </c>
    </row>
    <row r="189" spans="1:14" ht="14.4" customHeight="1" x14ac:dyDescent="0.3">
      <c r="A189" s="675" t="s">
        <v>484</v>
      </c>
      <c r="B189" s="676" t="s">
        <v>485</v>
      </c>
      <c r="C189" s="677" t="s">
        <v>497</v>
      </c>
      <c r="D189" s="678" t="s">
        <v>498</v>
      </c>
      <c r="E189" s="679">
        <v>50113001</v>
      </c>
      <c r="F189" s="678" t="s">
        <v>502</v>
      </c>
      <c r="G189" s="677" t="s">
        <v>527</v>
      </c>
      <c r="H189" s="677">
        <v>187425</v>
      </c>
      <c r="I189" s="677">
        <v>187425</v>
      </c>
      <c r="J189" s="677" t="s">
        <v>827</v>
      </c>
      <c r="K189" s="677" t="s">
        <v>828</v>
      </c>
      <c r="L189" s="680">
        <v>49.720000000000027</v>
      </c>
      <c r="M189" s="680">
        <v>1</v>
      </c>
      <c r="N189" s="681">
        <v>49.720000000000027</v>
      </c>
    </row>
    <row r="190" spans="1:14" ht="14.4" customHeight="1" x14ac:dyDescent="0.3">
      <c r="A190" s="675" t="s">
        <v>484</v>
      </c>
      <c r="B190" s="676" t="s">
        <v>485</v>
      </c>
      <c r="C190" s="677" t="s">
        <v>497</v>
      </c>
      <c r="D190" s="678" t="s">
        <v>498</v>
      </c>
      <c r="E190" s="679">
        <v>50113001</v>
      </c>
      <c r="F190" s="678" t="s">
        <v>502</v>
      </c>
      <c r="G190" s="677" t="s">
        <v>503</v>
      </c>
      <c r="H190" s="677">
        <v>188217</v>
      </c>
      <c r="I190" s="677">
        <v>88217</v>
      </c>
      <c r="J190" s="677" t="s">
        <v>829</v>
      </c>
      <c r="K190" s="677" t="s">
        <v>830</v>
      </c>
      <c r="L190" s="680">
        <v>127.57783066575064</v>
      </c>
      <c r="M190" s="680">
        <v>23</v>
      </c>
      <c r="N190" s="681">
        <v>2934.2901053122646</v>
      </c>
    </row>
    <row r="191" spans="1:14" ht="14.4" customHeight="1" x14ac:dyDescent="0.3">
      <c r="A191" s="675" t="s">
        <v>484</v>
      </c>
      <c r="B191" s="676" t="s">
        <v>485</v>
      </c>
      <c r="C191" s="677" t="s">
        <v>497</v>
      </c>
      <c r="D191" s="678" t="s">
        <v>498</v>
      </c>
      <c r="E191" s="679">
        <v>50113001</v>
      </c>
      <c r="F191" s="678" t="s">
        <v>502</v>
      </c>
      <c r="G191" s="677" t="s">
        <v>503</v>
      </c>
      <c r="H191" s="677">
        <v>188219</v>
      </c>
      <c r="I191" s="677">
        <v>88219</v>
      </c>
      <c r="J191" s="677" t="s">
        <v>831</v>
      </c>
      <c r="K191" s="677" t="s">
        <v>832</v>
      </c>
      <c r="L191" s="680">
        <v>142.43000000000004</v>
      </c>
      <c r="M191" s="680">
        <v>1</v>
      </c>
      <c r="N191" s="681">
        <v>142.43000000000004</v>
      </c>
    </row>
    <row r="192" spans="1:14" ht="14.4" customHeight="1" x14ac:dyDescent="0.3">
      <c r="A192" s="675" t="s">
        <v>484</v>
      </c>
      <c r="B192" s="676" t="s">
        <v>485</v>
      </c>
      <c r="C192" s="677" t="s">
        <v>497</v>
      </c>
      <c r="D192" s="678" t="s">
        <v>498</v>
      </c>
      <c r="E192" s="679">
        <v>50113001</v>
      </c>
      <c r="F192" s="678" t="s">
        <v>502</v>
      </c>
      <c r="G192" s="677" t="s">
        <v>503</v>
      </c>
      <c r="H192" s="677">
        <v>203092</v>
      </c>
      <c r="I192" s="677">
        <v>203092</v>
      </c>
      <c r="J192" s="677" t="s">
        <v>833</v>
      </c>
      <c r="K192" s="677" t="s">
        <v>834</v>
      </c>
      <c r="L192" s="680">
        <v>151.56</v>
      </c>
      <c r="M192" s="680">
        <v>2</v>
      </c>
      <c r="N192" s="681">
        <v>303.12</v>
      </c>
    </row>
    <row r="193" spans="1:14" ht="14.4" customHeight="1" x14ac:dyDescent="0.3">
      <c r="A193" s="675" t="s">
        <v>484</v>
      </c>
      <c r="B193" s="676" t="s">
        <v>485</v>
      </c>
      <c r="C193" s="677" t="s">
        <v>497</v>
      </c>
      <c r="D193" s="678" t="s">
        <v>498</v>
      </c>
      <c r="E193" s="679">
        <v>50113001</v>
      </c>
      <c r="F193" s="678" t="s">
        <v>502</v>
      </c>
      <c r="G193" s="677" t="s">
        <v>527</v>
      </c>
      <c r="H193" s="677">
        <v>149909</v>
      </c>
      <c r="I193" s="677">
        <v>49909</v>
      </c>
      <c r="J193" s="677" t="s">
        <v>835</v>
      </c>
      <c r="K193" s="677" t="s">
        <v>836</v>
      </c>
      <c r="L193" s="680">
        <v>42.58</v>
      </c>
      <c r="M193" s="680">
        <v>1</v>
      </c>
      <c r="N193" s="681">
        <v>42.58</v>
      </c>
    </row>
    <row r="194" spans="1:14" ht="14.4" customHeight="1" x14ac:dyDescent="0.3">
      <c r="A194" s="675" t="s">
        <v>484</v>
      </c>
      <c r="B194" s="676" t="s">
        <v>485</v>
      </c>
      <c r="C194" s="677" t="s">
        <v>497</v>
      </c>
      <c r="D194" s="678" t="s">
        <v>498</v>
      </c>
      <c r="E194" s="679">
        <v>50113001</v>
      </c>
      <c r="F194" s="678" t="s">
        <v>502</v>
      </c>
      <c r="G194" s="677" t="s">
        <v>503</v>
      </c>
      <c r="H194" s="677">
        <v>110151</v>
      </c>
      <c r="I194" s="677">
        <v>10151</v>
      </c>
      <c r="J194" s="677" t="s">
        <v>837</v>
      </c>
      <c r="K194" s="677" t="s">
        <v>838</v>
      </c>
      <c r="L194" s="680">
        <v>66.860557687980673</v>
      </c>
      <c r="M194" s="680">
        <v>22</v>
      </c>
      <c r="N194" s="681">
        <v>1470.9322691355749</v>
      </c>
    </row>
    <row r="195" spans="1:14" ht="14.4" customHeight="1" x14ac:dyDescent="0.3">
      <c r="A195" s="675" t="s">
        <v>484</v>
      </c>
      <c r="B195" s="676" t="s">
        <v>485</v>
      </c>
      <c r="C195" s="677" t="s">
        <v>497</v>
      </c>
      <c r="D195" s="678" t="s">
        <v>498</v>
      </c>
      <c r="E195" s="679">
        <v>50113001</v>
      </c>
      <c r="F195" s="678" t="s">
        <v>502</v>
      </c>
      <c r="G195" s="677" t="s">
        <v>503</v>
      </c>
      <c r="H195" s="677">
        <v>192853</v>
      </c>
      <c r="I195" s="677">
        <v>192853</v>
      </c>
      <c r="J195" s="677" t="s">
        <v>837</v>
      </c>
      <c r="K195" s="677" t="s">
        <v>839</v>
      </c>
      <c r="L195" s="680">
        <v>108.45599999999999</v>
      </c>
      <c r="M195" s="680">
        <v>10</v>
      </c>
      <c r="N195" s="681">
        <v>1084.56</v>
      </c>
    </row>
    <row r="196" spans="1:14" ht="14.4" customHeight="1" x14ac:dyDescent="0.3">
      <c r="A196" s="675" t="s">
        <v>484</v>
      </c>
      <c r="B196" s="676" t="s">
        <v>485</v>
      </c>
      <c r="C196" s="677" t="s">
        <v>497</v>
      </c>
      <c r="D196" s="678" t="s">
        <v>498</v>
      </c>
      <c r="E196" s="679">
        <v>50113001</v>
      </c>
      <c r="F196" s="678" t="s">
        <v>502</v>
      </c>
      <c r="G196" s="677" t="s">
        <v>486</v>
      </c>
      <c r="H196" s="677">
        <v>844448</v>
      </c>
      <c r="I196" s="677">
        <v>107166</v>
      </c>
      <c r="J196" s="677" t="s">
        <v>840</v>
      </c>
      <c r="K196" s="677" t="s">
        <v>841</v>
      </c>
      <c r="L196" s="680">
        <v>65.38</v>
      </c>
      <c r="M196" s="680">
        <v>1</v>
      </c>
      <c r="N196" s="681">
        <v>65.38</v>
      </c>
    </row>
    <row r="197" spans="1:14" ht="14.4" customHeight="1" x14ac:dyDescent="0.3">
      <c r="A197" s="675" t="s">
        <v>484</v>
      </c>
      <c r="B197" s="676" t="s">
        <v>485</v>
      </c>
      <c r="C197" s="677" t="s">
        <v>497</v>
      </c>
      <c r="D197" s="678" t="s">
        <v>498</v>
      </c>
      <c r="E197" s="679">
        <v>50113001</v>
      </c>
      <c r="F197" s="678" t="s">
        <v>502</v>
      </c>
      <c r="G197" s="677" t="s">
        <v>486</v>
      </c>
      <c r="H197" s="677">
        <v>128222</v>
      </c>
      <c r="I197" s="677">
        <v>28222</v>
      </c>
      <c r="J197" s="677" t="s">
        <v>842</v>
      </c>
      <c r="K197" s="677" t="s">
        <v>843</v>
      </c>
      <c r="L197" s="680">
        <v>253.6100000000001</v>
      </c>
      <c r="M197" s="680">
        <v>3</v>
      </c>
      <c r="N197" s="681">
        <v>760.83000000000027</v>
      </c>
    </row>
    <row r="198" spans="1:14" ht="14.4" customHeight="1" x14ac:dyDescent="0.3">
      <c r="A198" s="675" t="s">
        <v>484</v>
      </c>
      <c r="B198" s="676" t="s">
        <v>485</v>
      </c>
      <c r="C198" s="677" t="s">
        <v>497</v>
      </c>
      <c r="D198" s="678" t="s">
        <v>498</v>
      </c>
      <c r="E198" s="679">
        <v>50113001</v>
      </c>
      <c r="F198" s="678" t="s">
        <v>502</v>
      </c>
      <c r="G198" s="677" t="s">
        <v>486</v>
      </c>
      <c r="H198" s="677">
        <v>128216</v>
      </c>
      <c r="I198" s="677">
        <v>28216</v>
      </c>
      <c r="J198" s="677" t="s">
        <v>844</v>
      </c>
      <c r="K198" s="677" t="s">
        <v>845</v>
      </c>
      <c r="L198" s="680">
        <v>107.45000000000003</v>
      </c>
      <c r="M198" s="680">
        <v>1</v>
      </c>
      <c r="N198" s="681">
        <v>107.45000000000003</v>
      </c>
    </row>
    <row r="199" spans="1:14" ht="14.4" customHeight="1" x14ac:dyDescent="0.3">
      <c r="A199" s="675" t="s">
        <v>484</v>
      </c>
      <c r="B199" s="676" t="s">
        <v>485</v>
      </c>
      <c r="C199" s="677" t="s">
        <v>497</v>
      </c>
      <c r="D199" s="678" t="s">
        <v>498</v>
      </c>
      <c r="E199" s="679">
        <v>50113001</v>
      </c>
      <c r="F199" s="678" t="s">
        <v>502</v>
      </c>
      <c r="G199" s="677" t="s">
        <v>486</v>
      </c>
      <c r="H199" s="677">
        <v>128217</v>
      </c>
      <c r="I199" s="677">
        <v>28217</v>
      </c>
      <c r="J199" s="677" t="s">
        <v>844</v>
      </c>
      <c r="K199" s="677" t="s">
        <v>846</v>
      </c>
      <c r="L199" s="680">
        <v>465.10999999999996</v>
      </c>
      <c r="M199" s="680">
        <v>1</v>
      </c>
      <c r="N199" s="681">
        <v>465.10999999999996</v>
      </c>
    </row>
    <row r="200" spans="1:14" ht="14.4" customHeight="1" x14ac:dyDescent="0.3">
      <c r="A200" s="675" t="s">
        <v>484</v>
      </c>
      <c r="B200" s="676" t="s">
        <v>485</v>
      </c>
      <c r="C200" s="677" t="s">
        <v>497</v>
      </c>
      <c r="D200" s="678" t="s">
        <v>498</v>
      </c>
      <c r="E200" s="679">
        <v>50113001</v>
      </c>
      <c r="F200" s="678" t="s">
        <v>502</v>
      </c>
      <c r="G200" s="677" t="s">
        <v>503</v>
      </c>
      <c r="H200" s="677">
        <v>196635</v>
      </c>
      <c r="I200" s="677">
        <v>96635</v>
      </c>
      <c r="J200" s="677" t="s">
        <v>847</v>
      </c>
      <c r="K200" s="677" t="s">
        <v>848</v>
      </c>
      <c r="L200" s="680">
        <v>112.21499999999999</v>
      </c>
      <c r="M200" s="680">
        <v>8</v>
      </c>
      <c r="N200" s="681">
        <v>897.71999999999991</v>
      </c>
    </row>
    <row r="201" spans="1:14" ht="14.4" customHeight="1" x14ac:dyDescent="0.3">
      <c r="A201" s="675" t="s">
        <v>484</v>
      </c>
      <c r="B201" s="676" t="s">
        <v>485</v>
      </c>
      <c r="C201" s="677" t="s">
        <v>497</v>
      </c>
      <c r="D201" s="678" t="s">
        <v>498</v>
      </c>
      <c r="E201" s="679">
        <v>50113001</v>
      </c>
      <c r="F201" s="678" t="s">
        <v>502</v>
      </c>
      <c r="G201" s="677" t="s">
        <v>503</v>
      </c>
      <c r="H201" s="677">
        <v>100498</v>
      </c>
      <c r="I201" s="677">
        <v>498</v>
      </c>
      <c r="J201" s="677" t="s">
        <v>849</v>
      </c>
      <c r="K201" s="677" t="s">
        <v>595</v>
      </c>
      <c r="L201" s="680">
        <v>96.641908973767514</v>
      </c>
      <c r="M201" s="680">
        <v>391</v>
      </c>
      <c r="N201" s="681">
        <v>37786.986408743098</v>
      </c>
    </row>
    <row r="202" spans="1:14" ht="14.4" customHeight="1" x14ac:dyDescent="0.3">
      <c r="A202" s="675" t="s">
        <v>484</v>
      </c>
      <c r="B202" s="676" t="s">
        <v>485</v>
      </c>
      <c r="C202" s="677" t="s">
        <v>497</v>
      </c>
      <c r="D202" s="678" t="s">
        <v>498</v>
      </c>
      <c r="E202" s="679">
        <v>50113001</v>
      </c>
      <c r="F202" s="678" t="s">
        <v>502</v>
      </c>
      <c r="G202" s="677" t="s">
        <v>503</v>
      </c>
      <c r="H202" s="677">
        <v>100499</v>
      </c>
      <c r="I202" s="677">
        <v>499</v>
      </c>
      <c r="J202" s="677" t="s">
        <v>849</v>
      </c>
      <c r="K202" s="677" t="s">
        <v>850</v>
      </c>
      <c r="L202" s="680">
        <v>100.66212584127645</v>
      </c>
      <c r="M202" s="680">
        <v>12</v>
      </c>
      <c r="N202" s="681">
        <v>1207.9455100953173</v>
      </c>
    </row>
    <row r="203" spans="1:14" ht="14.4" customHeight="1" x14ac:dyDescent="0.3">
      <c r="A203" s="675" t="s">
        <v>484</v>
      </c>
      <c r="B203" s="676" t="s">
        <v>485</v>
      </c>
      <c r="C203" s="677" t="s">
        <v>497</v>
      </c>
      <c r="D203" s="678" t="s">
        <v>498</v>
      </c>
      <c r="E203" s="679">
        <v>50113001</v>
      </c>
      <c r="F203" s="678" t="s">
        <v>502</v>
      </c>
      <c r="G203" s="677" t="s">
        <v>503</v>
      </c>
      <c r="H203" s="677">
        <v>102439</v>
      </c>
      <c r="I203" s="677">
        <v>2439</v>
      </c>
      <c r="J203" s="677" t="s">
        <v>851</v>
      </c>
      <c r="K203" s="677" t="s">
        <v>852</v>
      </c>
      <c r="L203" s="680">
        <v>281.44465116279065</v>
      </c>
      <c r="M203" s="680">
        <v>43</v>
      </c>
      <c r="N203" s="681">
        <v>12102.119999999999</v>
      </c>
    </row>
    <row r="204" spans="1:14" ht="14.4" customHeight="1" x14ac:dyDescent="0.3">
      <c r="A204" s="675" t="s">
        <v>484</v>
      </c>
      <c r="B204" s="676" t="s">
        <v>485</v>
      </c>
      <c r="C204" s="677" t="s">
        <v>497</v>
      </c>
      <c r="D204" s="678" t="s">
        <v>498</v>
      </c>
      <c r="E204" s="679">
        <v>50113001</v>
      </c>
      <c r="F204" s="678" t="s">
        <v>502</v>
      </c>
      <c r="G204" s="677" t="s">
        <v>503</v>
      </c>
      <c r="H204" s="677">
        <v>100502</v>
      </c>
      <c r="I204" s="677">
        <v>502</v>
      </c>
      <c r="J204" s="677" t="s">
        <v>853</v>
      </c>
      <c r="K204" s="677" t="s">
        <v>854</v>
      </c>
      <c r="L204" s="680">
        <v>210.93181818181819</v>
      </c>
      <c r="M204" s="680">
        <v>11</v>
      </c>
      <c r="N204" s="681">
        <v>2320.25</v>
      </c>
    </row>
    <row r="205" spans="1:14" ht="14.4" customHeight="1" x14ac:dyDescent="0.3">
      <c r="A205" s="675" t="s">
        <v>484</v>
      </c>
      <c r="B205" s="676" t="s">
        <v>485</v>
      </c>
      <c r="C205" s="677" t="s">
        <v>497</v>
      </c>
      <c r="D205" s="678" t="s">
        <v>498</v>
      </c>
      <c r="E205" s="679">
        <v>50113001</v>
      </c>
      <c r="F205" s="678" t="s">
        <v>502</v>
      </c>
      <c r="G205" s="677" t="s">
        <v>503</v>
      </c>
      <c r="H205" s="677">
        <v>102684</v>
      </c>
      <c r="I205" s="677">
        <v>2684</v>
      </c>
      <c r="J205" s="677" t="s">
        <v>853</v>
      </c>
      <c r="K205" s="677" t="s">
        <v>624</v>
      </c>
      <c r="L205" s="680">
        <v>73.926818181818192</v>
      </c>
      <c r="M205" s="680">
        <v>22</v>
      </c>
      <c r="N205" s="681">
        <v>1626.39</v>
      </c>
    </row>
    <row r="206" spans="1:14" ht="14.4" customHeight="1" x14ac:dyDescent="0.3">
      <c r="A206" s="675" t="s">
        <v>484</v>
      </c>
      <c r="B206" s="676" t="s">
        <v>485</v>
      </c>
      <c r="C206" s="677" t="s">
        <v>497</v>
      </c>
      <c r="D206" s="678" t="s">
        <v>498</v>
      </c>
      <c r="E206" s="679">
        <v>50113001</v>
      </c>
      <c r="F206" s="678" t="s">
        <v>502</v>
      </c>
      <c r="G206" s="677" t="s">
        <v>527</v>
      </c>
      <c r="H206" s="677">
        <v>127736</v>
      </c>
      <c r="I206" s="677">
        <v>127736</v>
      </c>
      <c r="J206" s="677" t="s">
        <v>855</v>
      </c>
      <c r="K206" s="677" t="s">
        <v>856</v>
      </c>
      <c r="L206" s="680">
        <v>49.37</v>
      </c>
      <c r="M206" s="680">
        <v>2</v>
      </c>
      <c r="N206" s="681">
        <v>98.74</v>
      </c>
    </row>
    <row r="207" spans="1:14" ht="14.4" customHeight="1" x14ac:dyDescent="0.3">
      <c r="A207" s="675" t="s">
        <v>484</v>
      </c>
      <c r="B207" s="676" t="s">
        <v>485</v>
      </c>
      <c r="C207" s="677" t="s">
        <v>497</v>
      </c>
      <c r="D207" s="678" t="s">
        <v>498</v>
      </c>
      <c r="E207" s="679">
        <v>50113001</v>
      </c>
      <c r="F207" s="678" t="s">
        <v>502</v>
      </c>
      <c r="G207" s="677" t="s">
        <v>527</v>
      </c>
      <c r="H207" s="677">
        <v>127737</v>
      </c>
      <c r="I207" s="677">
        <v>127737</v>
      </c>
      <c r="J207" s="677" t="s">
        <v>857</v>
      </c>
      <c r="K207" s="677" t="s">
        <v>858</v>
      </c>
      <c r="L207" s="680">
        <v>67.32001550897877</v>
      </c>
      <c r="M207" s="680">
        <v>8</v>
      </c>
      <c r="N207" s="681">
        <v>538.56012407183016</v>
      </c>
    </row>
    <row r="208" spans="1:14" ht="14.4" customHeight="1" x14ac:dyDescent="0.3">
      <c r="A208" s="675" t="s">
        <v>484</v>
      </c>
      <c r="B208" s="676" t="s">
        <v>485</v>
      </c>
      <c r="C208" s="677" t="s">
        <v>497</v>
      </c>
      <c r="D208" s="678" t="s">
        <v>498</v>
      </c>
      <c r="E208" s="679">
        <v>50113001</v>
      </c>
      <c r="F208" s="678" t="s">
        <v>502</v>
      </c>
      <c r="G208" s="677" t="s">
        <v>527</v>
      </c>
      <c r="H208" s="677">
        <v>127738</v>
      </c>
      <c r="I208" s="677">
        <v>127738</v>
      </c>
      <c r="J208" s="677" t="s">
        <v>857</v>
      </c>
      <c r="K208" s="677" t="s">
        <v>859</v>
      </c>
      <c r="L208" s="680">
        <v>95.370000976181558</v>
      </c>
      <c r="M208" s="680">
        <v>7</v>
      </c>
      <c r="N208" s="681">
        <v>667.59000683327088</v>
      </c>
    </row>
    <row r="209" spans="1:14" ht="14.4" customHeight="1" x14ac:dyDescent="0.3">
      <c r="A209" s="675" t="s">
        <v>484</v>
      </c>
      <c r="B209" s="676" t="s">
        <v>485</v>
      </c>
      <c r="C209" s="677" t="s">
        <v>497</v>
      </c>
      <c r="D209" s="678" t="s">
        <v>498</v>
      </c>
      <c r="E209" s="679">
        <v>50113001</v>
      </c>
      <c r="F209" s="678" t="s">
        <v>502</v>
      </c>
      <c r="G209" s="677" t="s">
        <v>527</v>
      </c>
      <c r="H209" s="677">
        <v>184095</v>
      </c>
      <c r="I209" s="677">
        <v>184095</v>
      </c>
      <c r="J209" s="677" t="s">
        <v>857</v>
      </c>
      <c r="K209" s="677" t="s">
        <v>860</v>
      </c>
      <c r="L209" s="680">
        <v>330.99006712012789</v>
      </c>
      <c r="M209" s="680">
        <v>11</v>
      </c>
      <c r="N209" s="681">
        <v>3640.8907383214068</v>
      </c>
    </row>
    <row r="210" spans="1:14" ht="14.4" customHeight="1" x14ac:dyDescent="0.3">
      <c r="A210" s="675" t="s">
        <v>484</v>
      </c>
      <c r="B210" s="676" t="s">
        <v>485</v>
      </c>
      <c r="C210" s="677" t="s">
        <v>497</v>
      </c>
      <c r="D210" s="678" t="s">
        <v>498</v>
      </c>
      <c r="E210" s="679">
        <v>50113001</v>
      </c>
      <c r="F210" s="678" t="s">
        <v>502</v>
      </c>
      <c r="G210" s="677" t="s">
        <v>486</v>
      </c>
      <c r="H210" s="677">
        <v>198757</v>
      </c>
      <c r="I210" s="677">
        <v>198757</v>
      </c>
      <c r="J210" s="677" t="s">
        <v>861</v>
      </c>
      <c r="K210" s="677" t="s">
        <v>862</v>
      </c>
      <c r="L210" s="680">
        <v>495.83900000000006</v>
      </c>
      <c r="M210" s="680">
        <v>10</v>
      </c>
      <c r="N210" s="681">
        <v>4958.3900000000003</v>
      </c>
    </row>
    <row r="211" spans="1:14" ht="14.4" customHeight="1" x14ac:dyDescent="0.3">
      <c r="A211" s="675" t="s">
        <v>484</v>
      </c>
      <c r="B211" s="676" t="s">
        <v>485</v>
      </c>
      <c r="C211" s="677" t="s">
        <v>497</v>
      </c>
      <c r="D211" s="678" t="s">
        <v>498</v>
      </c>
      <c r="E211" s="679">
        <v>50113001</v>
      </c>
      <c r="F211" s="678" t="s">
        <v>502</v>
      </c>
      <c r="G211" s="677" t="s">
        <v>527</v>
      </c>
      <c r="H211" s="677">
        <v>146071</v>
      </c>
      <c r="I211" s="677">
        <v>146071</v>
      </c>
      <c r="J211" s="677" t="s">
        <v>863</v>
      </c>
      <c r="K211" s="677" t="s">
        <v>864</v>
      </c>
      <c r="L211" s="680">
        <v>139.47000000000003</v>
      </c>
      <c r="M211" s="680">
        <v>1</v>
      </c>
      <c r="N211" s="681">
        <v>139.47000000000003</v>
      </c>
    </row>
    <row r="212" spans="1:14" ht="14.4" customHeight="1" x14ac:dyDescent="0.3">
      <c r="A212" s="675" t="s">
        <v>484</v>
      </c>
      <c r="B212" s="676" t="s">
        <v>485</v>
      </c>
      <c r="C212" s="677" t="s">
        <v>497</v>
      </c>
      <c r="D212" s="678" t="s">
        <v>498</v>
      </c>
      <c r="E212" s="679">
        <v>50113001</v>
      </c>
      <c r="F212" s="678" t="s">
        <v>502</v>
      </c>
      <c r="G212" s="677" t="s">
        <v>503</v>
      </c>
      <c r="H212" s="677">
        <v>196190</v>
      </c>
      <c r="I212" s="677">
        <v>96190</v>
      </c>
      <c r="J212" s="677" t="s">
        <v>865</v>
      </c>
      <c r="K212" s="677" t="s">
        <v>866</v>
      </c>
      <c r="L212" s="680">
        <v>53.04</v>
      </c>
      <c r="M212" s="680">
        <v>1</v>
      </c>
      <c r="N212" s="681">
        <v>53.04</v>
      </c>
    </row>
    <row r="213" spans="1:14" ht="14.4" customHeight="1" x14ac:dyDescent="0.3">
      <c r="A213" s="675" t="s">
        <v>484</v>
      </c>
      <c r="B213" s="676" t="s">
        <v>485</v>
      </c>
      <c r="C213" s="677" t="s">
        <v>497</v>
      </c>
      <c r="D213" s="678" t="s">
        <v>498</v>
      </c>
      <c r="E213" s="679">
        <v>50113001</v>
      </c>
      <c r="F213" s="678" t="s">
        <v>502</v>
      </c>
      <c r="G213" s="677" t="s">
        <v>503</v>
      </c>
      <c r="H213" s="677">
        <v>101125</v>
      </c>
      <c r="I213" s="677">
        <v>1125</v>
      </c>
      <c r="J213" s="677" t="s">
        <v>867</v>
      </c>
      <c r="K213" s="677" t="s">
        <v>868</v>
      </c>
      <c r="L213" s="680">
        <v>79.190000000000012</v>
      </c>
      <c r="M213" s="680">
        <v>10</v>
      </c>
      <c r="N213" s="681">
        <v>791.90000000000009</v>
      </c>
    </row>
    <row r="214" spans="1:14" ht="14.4" customHeight="1" x14ac:dyDescent="0.3">
      <c r="A214" s="675" t="s">
        <v>484</v>
      </c>
      <c r="B214" s="676" t="s">
        <v>485</v>
      </c>
      <c r="C214" s="677" t="s">
        <v>497</v>
      </c>
      <c r="D214" s="678" t="s">
        <v>498</v>
      </c>
      <c r="E214" s="679">
        <v>50113001</v>
      </c>
      <c r="F214" s="678" t="s">
        <v>502</v>
      </c>
      <c r="G214" s="677" t="s">
        <v>503</v>
      </c>
      <c r="H214" s="677">
        <v>101127</v>
      </c>
      <c r="I214" s="677">
        <v>1127</v>
      </c>
      <c r="J214" s="677" t="s">
        <v>867</v>
      </c>
      <c r="K214" s="677" t="s">
        <v>869</v>
      </c>
      <c r="L214" s="680">
        <v>91.60971428571429</v>
      </c>
      <c r="M214" s="680">
        <v>140</v>
      </c>
      <c r="N214" s="681">
        <v>12825.36</v>
      </c>
    </row>
    <row r="215" spans="1:14" ht="14.4" customHeight="1" x14ac:dyDescent="0.3">
      <c r="A215" s="675" t="s">
        <v>484</v>
      </c>
      <c r="B215" s="676" t="s">
        <v>485</v>
      </c>
      <c r="C215" s="677" t="s">
        <v>497</v>
      </c>
      <c r="D215" s="678" t="s">
        <v>498</v>
      </c>
      <c r="E215" s="679">
        <v>50113001</v>
      </c>
      <c r="F215" s="678" t="s">
        <v>502</v>
      </c>
      <c r="G215" s="677" t="s">
        <v>503</v>
      </c>
      <c r="H215" s="677">
        <v>843905</v>
      </c>
      <c r="I215" s="677">
        <v>103391</v>
      </c>
      <c r="J215" s="677" t="s">
        <v>870</v>
      </c>
      <c r="K215" s="677" t="s">
        <v>871</v>
      </c>
      <c r="L215" s="680">
        <v>73.136418485284551</v>
      </c>
      <c r="M215" s="680">
        <v>100</v>
      </c>
      <c r="N215" s="681">
        <v>7313.6418485284557</v>
      </c>
    </row>
    <row r="216" spans="1:14" ht="14.4" customHeight="1" x14ac:dyDescent="0.3">
      <c r="A216" s="675" t="s">
        <v>484</v>
      </c>
      <c r="B216" s="676" t="s">
        <v>485</v>
      </c>
      <c r="C216" s="677" t="s">
        <v>497</v>
      </c>
      <c r="D216" s="678" t="s">
        <v>498</v>
      </c>
      <c r="E216" s="679">
        <v>50113001</v>
      </c>
      <c r="F216" s="678" t="s">
        <v>502</v>
      </c>
      <c r="G216" s="677" t="s">
        <v>503</v>
      </c>
      <c r="H216" s="677">
        <v>157525</v>
      </c>
      <c r="I216" s="677">
        <v>57525</v>
      </c>
      <c r="J216" s="677" t="s">
        <v>872</v>
      </c>
      <c r="K216" s="677" t="s">
        <v>873</v>
      </c>
      <c r="L216" s="680">
        <v>98.209894865115672</v>
      </c>
      <c r="M216" s="680">
        <v>1</v>
      </c>
      <c r="N216" s="681">
        <v>98.209894865115672</v>
      </c>
    </row>
    <row r="217" spans="1:14" ht="14.4" customHeight="1" x14ac:dyDescent="0.3">
      <c r="A217" s="675" t="s">
        <v>484</v>
      </c>
      <c r="B217" s="676" t="s">
        <v>485</v>
      </c>
      <c r="C217" s="677" t="s">
        <v>497</v>
      </c>
      <c r="D217" s="678" t="s">
        <v>498</v>
      </c>
      <c r="E217" s="679">
        <v>50113001</v>
      </c>
      <c r="F217" s="678" t="s">
        <v>502</v>
      </c>
      <c r="G217" s="677" t="s">
        <v>503</v>
      </c>
      <c r="H217" s="677">
        <v>194763</v>
      </c>
      <c r="I217" s="677">
        <v>94763</v>
      </c>
      <c r="J217" s="677" t="s">
        <v>874</v>
      </c>
      <c r="K217" s="677" t="s">
        <v>875</v>
      </c>
      <c r="L217" s="680">
        <v>84.380000000000052</v>
      </c>
      <c r="M217" s="680">
        <v>2</v>
      </c>
      <c r="N217" s="681">
        <v>168.7600000000001</v>
      </c>
    </row>
    <row r="218" spans="1:14" ht="14.4" customHeight="1" x14ac:dyDescent="0.3">
      <c r="A218" s="675" t="s">
        <v>484</v>
      </c>
      <c r="B218" s="676" t="s">
        <v>485</v>
      </c>
      <c r="C218" s="677" t="s">
        <v>497</v>
      </c>
      <c r="D218" s="678" t="s">
        <v>498</v>
      </c>
      <c r="E218" s="679">
        <v>50113001</v>
      </c>
      <c r="F218" s="678" t="s">
        <v>502</v>
      </c>
      <c r="G218" s="677" t="s">
        <v>503</v>
      </c>
      <c r="H218" s="677">
        <v>100513</v>
      </c>
      <c r="I218" s="677">
        <v>513</v>
      </c>
      <c r="J218" s="677" t="s">
        <v>876</v>
      </c>
      <c r="K218" s="677" t="s">
        <v>595</v>
      </c>
      <c r="L218" s="680">
        <v>57.07541396548627</v>
      </c>
      <c r="M218" s="680">
        <v>74</v>
      </c>
      <c r="N218" s="681">
        <v>4223.5806334459839</v>
      </c>
    </row>
    <row r="219" spans="1:14" ht="14.4" customHeight="1" x14ac:dyDescent="0.3">
      <c r="A219" s="675" t="s">
        <v>484</v>
      </c>
      <c r="B219" s="676" t="s">
        <v>485</v>
      </c>
      <c r="C219" s="677" t="s">
        <v>497</v>
      </c>
      <c r="D219" s="678" t="s">
        <v>498</v>
      </c>
      <c r="E219" s="679">
        <v>50113001</v>
      </c>
      <c r="F219" s="678" t="s">
        <v>502</v>
      </c>
      <c r="G219" s="677" t="s">
        <v>486</v>
      </c>
      <c r="H219" s="677">
        <v>53761</v>
      </c>
      <c r="I219" s="677">
        <v>53761</v>
      </c>
      <c r="J219" s="677" t="s">
        <v>877</v>
      </c>
      <c r="K219" s="677" t="s">
        <v>878</v>
      </c>
      <c r="L219" s="680">
        <v>94.25</v>
      </c>
      <c r="M219" s="680">
        <v>2</v>
      </c>
      <c r="N219" s="681">
        <v>188.5</v>
      </c>
    </row>
    <row r="220" spans="1:14" ht="14.4" customHeight="1" x14ac:dyDescent="0.3">
      <c r="A220" s="675" t="s">
        <v>484</v>
      </c>
      <c r="B220" s="676" t="s">
        <v>485</v>
      </c>
      <c r="C220" s="677" t="s">
        <v>497</v>
      </c>
      <c r="D220" s="678" t="s">
        <v>498</v>
      </c>
      <c r="E220" s="679">
        <v>50113001</v>
      </c>
      <c r="F220" s="678" t="s">
        <v>502</v>
      </c>
      <c r="G220" s="677" t="s">
        <v>503</v>
      </c>
      <c r="H220" s="677">
        <v>110086</v>
      </c>
      <c r="I220" s="677">
        <v>10086</v>
      </c>
      <c r="J220" s="677" t="s">
        <v>879</v>
      </c>
      <c r="K220" s="677" t="s">
        <v>880</v>
      </c>
      <c r="L220" s="680">
        <v>1592.8000000000002</v>
      </c>
      <c r="M220" s="680">
        <v>72</v>
      </c>
      <c r="N220" s="681">
        <v>114681.60000000001</v>
      </c>
    </row>
    <row r="221" spans="1:14" ht="14.4" customHeight="1" x14ac:dyDescent="0.3">
      <c r="A221" s="675" t="s">
        <v>484</v>
      </c>
      <c r="B221" s="676" t="s">
        <v>485</v>
      </c>
      <c r="C221" s="677" t="s">
        <v>497</v>
      </c>
      <c r="D221" s="678" t="s">
        <v>498</v>
      </c>
      <c r="E221" s="679">
        <v>50113001</v>
      </c>
      <c r="F221" s="678" t="s">
        <v>502</v>
      </c>
      <c r="G221" s="677" t="s">
        <v>503</v>
      </c>
      <c r="H221" s="677">
        <v>190484</v>
      </c>
      <c r="I221" s="677">
        <v>0</v>
      </c>
      <c r="J221" s="677" t="s">
        <v>881</v>
      </c>
      <c r="K221" s="677" t="s">
        <v>882</v>
      </c>
      <c r="L221" s="680">
        <v>1784.85</v>
      </c>
      <c r="M221" s="680">
        <v>11</v>
      </c>
      <c r="N221" s="681">
        <v>19633.349999999999</v>
      </c>
    </row>
    <row r="222" spans="1:14" ht="14.4" customHeight="1" x14ac:dyDescent="0.3">
      <c r="A222" s="675" t="s">
        <v>484</v>
      </c>
      <c r="B222" s="676" t="s">
        <v>485</v>
      </c>
      <c r="C222" s="677" t="s">
        <v>497</v>
      </c>
      <c r="D222" s="678" t="s">
        <v>498</v>
      </c>
      <c r="E222" s="679">
        <v>50113001</v>
      </c>
      <c r="F222" s="678" t="s">
        <v>502</v>
      </c>
      <c r="G222" s="677" t="s">
        <v>503</v>
      </c>
      <c r="H222" s="677">
        <v>136129</v>
      </c>
      <c r="I222" s="677">
        <v>136129</v>
      </c>
      <c r="J222" s="677" t="s">
        <v>883</v>
      </c>
      <c r="K222" s="677" t="s">
        <v>884</v>
      </c>
      <c r="L222" s="680">
        <v>430.55504094177257</v>
      </c>
      <c r="M222" s="680">
        <v>10</v>
      </c>
      <c r="N222" s="681">
        <v>4305.5504094177259</v>
      </c>
    </row>
    <row r="223" spans="1:14" ht="14.4" customHeight="1" x14ac:dyDescent="0.3">
      <c r="A223" s="675" t="s">
        <v>484</v>
      </c>
      <c r="B223" s="676" t="s">
        <v>485</v>
      </c>
      <c r="C223" s="677" t="s">
        <v>497</v>
      </c>
      <c r="D223" s="678" t="s">
        <v>498</v>
      </c>
      <c r="E223" s="679">
        <v>50113001</v>
      </c>
      <c r="F223" s="678" t="s">
        <v>502</v>
      </c>
      <c r="G223" s="677" t="s">
        <v>503</v>
      </c>
      <c r="H223" s="677">
        <v>136126</v>
      </c>
      <c r="I223" s="677">
        <v>136126</v>
      </c>
      <c r="J223" s="677" t="s">
        <v>885</v>
      </c>
      <c r="K223" s="677" t="s">
        <v>886</v>
      </c>
      <c r="L223" s="680">
        <v>434.6136735834296</v>
      </c>
      <c r="M223" s="680">
        <v>11</v>
      </c>
      <c r="N223" s="681">
        <v>4780.7504094177257</v>
      </c>
    </row>
    <row r="224" spans="1:14" ht="14.4" customHeight="1" x14ac:dyDescent="0.3">
      <c r="A224" s="675" t="s">
        <v>484</v>
      </c>
      <c r="B224" s="676" t="s">
        <v>485</v>
      </c>
      <c r="C224" s="677" t="s">
        <v>497</v>
      </c>
      <c r="D224" s="678" t="s">
        <v>498</v>
      </c>
      <c r="E224" s="679">
        <v>50113001</v>
      </c>
      <c r="F224" s="678" t="s">
        <v>502</v>
      </c>
      <c r="G224" s="677" t="s">
        <v>486</v>
      </c>
      <c r="H224" s="677">
        <v>117187</v>
      </c>
      <c r="I224" s="677">
        <v>17187</v>
      </c>
      <c r="J224" s="677" t="s">
        <v>887</v>
      </c>
      <c r="K224" s="677" t="s">
        <v>888</v>
      </c>
      <c r="L224" s="680">
        <v>88.20999999999998</v>
      </c>
      <c r="M224" s="680">
        <v>1</v>
      </c>
      <c r="N224" s="681">
        <v>88.20999999999998</v>
      </c>
    </row>
    <row r="225" spans="1:14" ht="14.4" customHeight="1" x14ac:dyDescent="0.3">
      <c r="A225" s="675" t="s">
        <v>484</v>
      </c>
      <c r="B225" s="676" t="s">
        <v>485</v>
      </c>
      <c r="C225" s="677" t="s">
        <v>497</v>
      </c>
      <c r="D225" s="678" t="s">
        <v>498</v>
      </c>
      <c r="E225" s="679">
        <v>50113001</v>
      </c>
      <c r="F225" s="678" t="s">
        <v>502</v>
      </c>
      <c r="G225" s="677" t="s">
        <v>503</v>
      </c>
      <c r="H225" s="677">
        <v>100536</v>
      </c>
      <c r="I225" s="677">
        <v>536</v>
      </c>
      <c r="J225" s="677" t="s">
        <v>889</v>
      </c>
      <c r="K225" s="677" t="s">
        <v>513</v>
      </c>
      <c r="L225" s="680">
        <v>141.22</v>
      </c>
      <c r="M225" s="680">
        <v>30</v>
      </c>
      <c r="N225" s="681">
        <v>4236.6000000000004</v>
      </c>
    </row>
    <row r="226" spans="1:14" ht="14.4" customHeight="1" x14ac:dyDescent="0.3">
      <c r="A226" s="675" t="s">
        <v>484</v>
      </c>
      <c r="B226" s="676" t="s">
        <v>485</v>
      </c>
      <c r="C226" s="677" t="s">
        <v>497</v>
      </c>
      <c r="D226" s="678" t="s">
        <v>498</v>
      </c>
      <c r="E226" s="679">
        <v>50113001</v>
      </c>
      <c r="F226" s="678" t="s">
        <v>502</v>
      </c>
      <c r="G226" s="677" t="s">
        <v>503</v>
      </c>
      <c r="H226" s="677">
        <v>216900</v>
      </c>
      <c r="I226" s="677">
        <v>216900</v>
      </c>
      <c r="J226" s="677" t="s">
        <v>890</v>
      </c>
      <c r="K226" s="677" t="s">
        <v>891</v>
      </c>
      <c r="L226" s="680">
        <v>644.45008076882971</v>
      </c>
      <c r="M226" s="680">
        <v>290</v>
      </c>
      <c r="N226" s="681">
        <v>186890.52342296063</v>
      </c>
    </row>
    <row r="227" spans="1:14" ht="14.4" customHeight="1" x14ac:dyDescent="0.3">
      <c r="A227" s="675" t="s">
        <v>484</v>
      </c>
      <c r="B227" s="676" t="s">
        <v>485</v>
      </c>
      <c r="C227" s="677" t="s">
        <v>497</v>
      </c>
      <c r="D227" s="678" t="s">
        <v>498</v>
      </c>
      <c r="E227" s="679">
        <v>50113001</v>
      </c>
      <c r="F227" s="678" t="s">
        <v>502</v>
      </c>
      <c r="G227" s="677" t="s">
        <v>527</v>
      </c>
      <c r="H227" s="677">
        <v>107981</v>
      </c>
      <c r="I227" s="677">
        <v>7981</v>
      </c>
      <c r="J227" s="677" t="s">
        <v>892</v>
      </c>
      <c r="K227" s="677" t="s">
        <v>893</v>
      </c>
      <c r="L227" s="680">
        <v>54.568898600330598</v>
      </c>
      <c r="M227" s="680">
        <v>243</v>
      </c>
      <c r="N227" s="681">
        <v>13260.242359880336</v>
      </c>
    </row>
    <row r="228" spans="1:14" ht="14.4" customHeight="1" x14ac:dyDescent="0.3">
      <c r="A228" s="675" t="s">
        <v>484</v>
      </c>
      <c r="B228" s="676" t="s">
        <v>485</v>
      </c>
      <c r="C228" s="677" t="s">
        <v>497</v>
      </c>
      <c r="D228" s="678" t="s">
        <v>498</v>
      </c>
      <c r="E228" s="679">
        <v>50113001</v>
      </c>
      <c r="F228" s="678" t="s">
        <v>502</v>
      </c>
      <c r="G228" s="677" t="s">
        <v>527</v>
      </c>
      <c r="H228" s="677">
        <v>155823</v>
      </c>
      <c r="I228" s="677">
        <v>55823</v>
      </c>
      <c r="J228" s="677" t="s">
        <v>892</v>
      </c>
      <c r="K228" s="677" t="s">
        <v>894</v>
      </c>
      <c r="L228" s="680">
        <v>42.736736604112728</v>
      </c>
      <c r="M228" s="680">
        <v>6</v>
      </c>
      <c r="N228" s="681">
        <v>256.42041962467636</v>
      </c>
    </row>
    <row r="229" spans="1:14" ht="14.4" customHeight="1" x14ac:dyDescent="0.3">
      <c r="A229" s="675" t="s">
        <v>484</v>
      </c>
      <c r="B229" s="676" t="s">
        <v>485</v>
      </c>
      <c r="C229" s="677" t="s">
        <v>497</v>
      </c>
      <c r="D229" s="678" t="s">
        <v>498</v>
      </c>
      <c r="E229" s="679">
        <v>50113001</v>
      </c>
      <c r="F229" s="678" t="s">
        <v>502</v>
      </c>
      <c r="G229" s="677" t="s">
        <v>527</v>
      </c>
      <c r="H229" s="677">
        <v>126786</v>
      </c>
      <c r="I229" s="677">
        <v>26786</v>
      </c>
      <c r="J229" s="677" t="s">
        <v>895</v>
      </c>
      <c r="K229" s="677" t="s">
        <v>896</v>
      </c>
      <c r="L229" s="680">
        <v>408.42073354203609</v>
      </c>
      <c r="M229" s="680">
        <v>49</v>
      </c>
      <c r="N229" s="681">
        <v>20012.615943559769</v>
      </c>
    </row>
    <row r="230" spans="1:14" ht="14.4" customHeight="1" x14ac:dyDescent="0.3">
      <c r="A230" s="675" t="s">
        <v>484</v>
      </c>
      <c r="B230" s="676" t="s">
        <v>485</v>
      </c>
      <c r="C230" s="677" t="s">
        <v>497</v>
      </c>
      <c r="D230" s="678" t="s">
        <v>498</v>
      </c>
      <c r="E230" s="679">
        <v>50113001</v>
      </c>
      <c r="F230" s="678" t="s">
        <v>502</v>
      </c>
      <c r="G230" s="677" t="s">
        <v>527</v>
      </c>
      <c r="H230" s="677">
        <v>29449</v>
      </c>
      <c r="I230" s="677">
        <v>29449</v>
      </c>
      <c r="J230" s="677" t="s">
        <v>897</v>
      </c>
      <c r="K230" s="677" t="s">
        <v>898</v>
      </c>
      <c r="L230" s="680">
        <v>32166.761116401693</v>
      </c>
      <c r="M230" s="680">
        <v>9</v>
      </c>
      <c r="N230" s="681">
        <v>289500.85004761524</v>
      </c>
    </row>
    <row r="231" spans="1:14" ht="14.4" customHeight="1" x14ac:dyDescent="0.3">
      <c r="A231" s="675" t="s">
        <v>484</v>
      </c>
      <c r="B231" s="676" t="s">
        <v>485</v>
      </c>
      <c r="C231" s="677" t="s">
        <v>497</v>
      </c>
      <c r="D231" s="678" t="s">
        <v>498</v>
      </c>
      <c r="E231" s="679">
        <v>50113001</v>
      </c>
      <c r="F231" s="678" t="s">
        <v>502</v>
      </c>
      <c r="G231" s="677" t="s">
        <v>527</v>
      </c>
      <c r="H231" s="677">
        <v>187607</v>
      </c>
      <c r="I231" s="677">
        <v>187607</v>
      </c>
      <c r="J231" s="677" t="s">
        <v>899</v>
      </c>
      <c r="K231" s="677" t="s">
        <v>900</v>
      </c>
      <c r="L231" s="680">
        <v>273.8999614326795</v>
      </c>
      <c r="M231" s="680">
        <v>7</v>
      </c>
      <c r="N231" s="681">
        <v>1917.2997300287564</v>
      </c>
    </row>
    <row r="232" spans="1:14" ht="14.4" customHeight="1" x14ac:dyDescent="0.3">
      <c r="A232" s="675" t="s">
        <v>484</v>
      </c>
      <c r="B232" s="676" t="s">
        <v>485</v>
      </c>
      <c r="C232" s="677" t="s">
        <v>497</v>
      </c>
      <c r="D232" s="678" t="s">
        <v>498</v>
      </c>
      <c r="E232" s="679">
        <v>50113001</v>
      </c>
      <c r="F232" s="678" t="s">
        <v>502</v>
      </c>
      <c r="G232" s="677" t="s">
        <v>503</v>
      </c>
      <c r="H232" s="677">
        <v>100874</v>
      </c>
      <c r="I232" s="677">
        <v>874</v>
      </c>
      <c r="J232" s="677" t="s">
        <v>901</v>
      </c>
      <c r="K232" s="677" t="s">
        <v>902</v>
      </c>
      <c r="L232" s="680">
        <v>46.772350155958769</v>
      </c>
      <c r="M232" s="680">
        <v>85</v>
      </c>
      <c r="N232" s="681">
        <v>3975.6497632564951</v>
      </c>
    </row>
    <row r="233" spans="1:14" ht="14.4" customHeight="1" x14ac:dyDescent="0.3">
      <c r="A233" s="675" t="s">
        <v>484</v>
      </c>
      <c r="B233" s="676" t="s">
        <v>485</v>
      </c>
      <c r="C233" s="677" t="s">
        <v>497</v>
      </c>
      <c r="D233" s="678" t="s">
        <v>498</v>
      </c>
      <c r="E233" s="679">
        <v>50113001</v>
      </c>
      <c r="F233" s="678" t="s">
        <v>502</v>
      </c>
      <c r="G233" s="677" t="s">
        <v>503</v>
      </c>
      <c r="H233" s="677">
        <v>100876</v>
      </c>
      <c r="I233" s="677">
        <v>876</v>
      </c>
      <c r="J233" s="677" t="s">
        <v>903</v>
      </c>
      <c r="K233" s="677" t="s">
        <v>902</v>
      </c>
      <c r="L233" s="680">
        <v>66.589729456109481</v>
      </c>
      <c r="M233" s="680">
        <v>30</v>
      </c>
      <c r="N233" s="681">
        <v>1997.6918836832842</v>
      </c>
    </row>
    <row r="234" spans="1:14" ht="14.4" customHeight="1" x14ac:dyDescent="0.3">
      <c r="A234" s="675" t="s">
        <v>484</v>
      </c>
      <c r="B234" s="676" t="s">
        <v>485</v>
      </c>
      <c r="C234" s="677" t="s">
        <v>497</v>
      </c>
      <c r="D234" s="678" t="s">
        <v>498</v>
      </c>
      <c r="E234" s="679">
        <v>50113001</v>
      </c>
      <c r="F234" s="678" t="s">
        <v>502</v>
      </c>
      <c r="G234" s="677" t="s">
        <v>503</v>
      </c>
      <c r="H234" s="677">
        <v>157351</v>
      </c>
      <c r="I234" s="677">
        <v>57351</v>
      </c>
      <c r="J234" s="677" t="s">
        <v>904</v>
      </c>
      <c r="K234" s="677" t="s">
        <v>905</v>
      </c>
      <c r="L234" s="680">
        <v>47.769999999999996</v>
      </c>
      <c r="M234" s="680">
        <v>7</v>
      </c>
      <c r="N234" s="681">
        <v>334.39</v>
      </c>
    </row>
    <row r="235" spans="1:14" ht="14.4" customHeight="1" x14ac:dyDescent="0.3">
      <c r="A235" s="675" t="s">
        <v>484</v>
      </c>
      <c r="B235" s="676" t="s">
        <v>485</v>
      </c>
      <c r="C235" s="677" t="s">
        <v>497</v>
      </c>
      <c r="D235" s="678" t="s">
        <v>498</v>
      </c>
      <c r="E235" s="679">
        <v>50113001</v>
      </c>
      <c r="F235" s="678" t="s">
        <v>502</v>
      </c>
      <c r="G235" s="677" t="s">
        <v>503</v>
      </c>
      <c r="H235" s="677">
        <v>101940</v>
      </c>
      <c r="I235" s="677">
        <v>1940</v>
      </c>
      <c r="J235" s="677" t="s">
        <v>906</v>
      </c>
      <c r="K235" s="677" t="s">
        <v>907</v>
      </c>
      <c r="L235" s="680">
        <v>26.910000000000007</v>
      </c>
      <c r="M235" s="680">
        <v>1</v>
      </c>
      <c r="N235" s="681">
        <v>26.910000000000007</v>
      </c>
    </row>
    <row r="236" spans="1:14" ht="14.4" customHeight="1" x14ac:dyDescent="0.3">
      <c r="A236" s="675" t="s">
        <v>484</v>
      </c>
      <c r="B236" s="676" t="s">
        <v>485</v>
      </c>
      <c r="C236" s="677" t="s">
        <v>497</v>
      </c>
      <c r="D236" s="678" t="s">
        <v>498</v>
      </c>
      <c r="E236" s="679">
        <v>50113001</v>
      </c>
      <c r="F236" s="678" t="s">
        <v>502</v>
      </c>
      <c r="G236" s="677" t="s">
        <v>503</v>
      </c>
      <c r="H236" s="677">
        <v>142630</v>
      </c>
      <c r="I236" s="677">
        <v>42630</v>
      </c>
      <c r="J236" s="677" t="s">
        <v>908</v>
      </c>
      <c r="K236" s="677" t="s">
        <v>909</v>
      </c>
      <c r="L236" s="680">
        <v>131.08000000000004</v>
      </c>
      <c r="M236" s="680">
        <v>3</v>
      </c>
      <c r="N236" s="681">
        <v>393.24000000000012</v>
      </c>
    </row>
    <row r="237" spans="1:14" ht="14.4" customHeight="1" x14ac:dyDescent="0.3">
      <c r="A237" s="675" t="s">
        <v>484</v>
      </c>
      <c r="B237" s="676" t="s">
        <v>485</v>
      </c>
      <c r="C237" s="677" t="s">
        <v>497</v>
      </c>
      <c r="D237" s="678" t="s">
        <v>498</v>
      </c>
      <c r="E237" s="679">
        <v>50113001</v>
      </c>
      <c r="F237" s="678" t="s">
        <v>502</v>
      </c>
      <c r="G237" s="677" t="s">
        <v>503</v>
      </c>
      <c r="H237" s="677">
        <v>113802</v>
      </c>
      <c r="I237" s="677">
        <v>13802</v>
      </c>
      <c r="J237" s="677" t="s">
        <v>910</v>
      </c>
      <c r="K237" s="677" t="s">
        <v>486</v>
      </c>
      <c r="L237" s="680">
        <v>69.3</v>
      </c>
      <c r="M237" s="680">
        <v>1</v>
      </c>
      <c r="N237" s="681">
        <v>69.3</v>
      </c>
    </row>
    <row r="238" spans="1:14" ht="14.4" customHeight="1" x14ac:dyDescent="0.3">
      <c r="A238" s="675" t="s">
        <v>484</v>
      </c>
      <c r="B238" s="676" t="s">
        <v>485</v>
      </c>
      <c r="C238" s="677" t="s">
        <v>497</v>
      </c>
      <c r="D238" s="678" t="s">
        <v>498</v>
      </c>
      <c r="E238" s="679">
        <v>50113001</v>
      </c>
      <c r="F238" s="678" t="s">
        <v>502</v>
      </c>
      <c r="G238" s="677" t="s">
        <v>527</v>
      </c>
      <c r="H238" s="677">
        <v>850729</v>
      </c>
      <c r="I238" s="677">
        <v>157875</v>
      </c>
      <c r="J238" s="677" t="s">
        <v>911</v>
      </c>
      <c r="K238" s="677" t="s">
        <v>912</v>
      </c>
      <c r="L238" s="680">
        <v>308.5499999999999</v>
      </c>
      <c r="M238" s="680">
        <v>24</v>
      </c>
      <c r="N238" s="681">
        <v>7405.199999999998</v>
      </c>
    </row>
    <row r="239" spans="1:14" ht="14.4" customHeight="1" x14ac:dyDescent="0.3">
      <c r="A239" s="675" t="s">
        <v>484</v>
      </c>
      <c r="B239" s="676" t="s">
        <v>485</v>
      </c>
      <c r="C239" s="677" t="s">
        <v>497</v>
      </c>
      <c r="D239" s="678" t="s">
        <v>498</v>
      </c>
      <c r="E239" s="679">
        <v>50113001</v>
      </c>
      <c r="F239" s="678" t="s">
        <v>502</v>
      </c>
      <c r="G239" s="677" t="s">
        <v>503</v>
      </c>
      <c r="H239" s="677">
        <v>104343</v>
      </c>
      <c r="I239" s="677">
        <v>4343</v>
      </c>
      <c r="J239" s="677" t="s">
        <v>913</v>
      </c>
      <c r="K239" s="677" t="s">
        <v>914</v>
      </c>
      <c r="L239" s="680">
        <v>29.899999999999991</v>
      </c>
      <c r="M239" s="680">
        <v>3</v>
      </c>
      <c r="N239" s="681">
        <v>89.699999999999974</v>
      </c>
    </row>
    <row r="240" spans="1:14" ht="14.4" customHeight="1" x14ac:dyDescent="0.3">
      <c r="A240" s="675" t="s">
        <v>484</v>
      </c>
      <c r="B240" s="676" t="s">
        <v>485</v>
      </c>
      <c r="C240" s="677" t="s">
        <v>497</v>
      </c>
      <c r="D240" s="678" t="s">
        <v>498</v>
      </c>
      <c r="E240" s="679">
        <v>50113001</v>
      </c>
      <c r="F240" s="678" t="s">
        <v>502</v>
      </c>
      <c r="G240" s="677" t="s">
        <v>503</v>
      </c>
      <c r="H240" s="677">
        <v>849941</v>
      </c>
      <c r="I240" s="677">
        <v>162142</v>
      </c>
      <c r="J240" s="677" t="s">
        <v>915</v>
      </c>
      <c r="K240" s="677" t="s">
        <v>916</v>
      </c>
      <c r="L240" s="680">
        <v>28.25</v>
      </c>
      <c r="M240" s="680">
        <v>1</v>
      </c>
      <c r="N240" s="681">
        <v>28.25</v>
      </c>
    </row>
    <row r="241" spans="1:14" ht="14.4" customHeight="1" x14ac:dyDescent="0.3">
      <c r="A241" s="675" t="s">
        <v>484</v>
      </c>
      <c r="B241" s="676" t="s">
        <v>485</v>
      </c>
      <c r="C241" s="677" t="s">
        <v>497</v>
      </c>
      <c r="D241" s="678" t="s">
        <v>498</v>
      </c>
      <c r="E241" s="679">
        <v>50113001</v>
      </c>
      <c r="F241" s="678" t="s">
        <v>502</v>
      </c>
      <c r="G241" s="677" t="s">
        <v>503</v>
      </c>
      <c r="H241" s="677">
        <v>121393</v>
      </c>
      <c r="I241" s="677">
        <v>0</v>
      </c>
      <c r="J241" s="677" t="s">
        <v>917</v>
      </c>
      <c r="K241" s="677" t="s">
        <v>918</v>
      </c>
      <c r="L241" s="680">
        <v>6050</v>
      </c>
      <c r="M241" s="680">
        <v>3</v>
      </c>
      <c r="N241" s="681">
        <v>18150</v>
      </c>
    </row>
    <row r="242" spans="1:14" ht="14.4" customHeight="1" x14ac:dyDescent="0.3">
      <c r="A242" s="675" t="s">
        <v>484</v>
      </c>
      <c r="B242" s="676" t="s">
        <v>485</v>
      </c>
      <c r="C242" s="677" t="s">
        <v>497</v>
      </c>
      <c r="D242" s="678" t="s">
        <v>498</v>
      </c>
      <c r="E242" s="679">
        <v>50113001</v>
      </c>
      <c r="F242" s="678" t="s">
        <v>502</v>
      </c>
      <c r="G242" s="677" t="s">
        <v>503</v>
      </c>
      <c r="H242" s="677">
        <v>147671</v>
      </c>
      <c r="I242" s="677">
        <v>47671</v>
      </c>
      <c r="J242" s="677" t="s">
        <v>919</v>
      </c>
      <c r="K242" s="677" t="s">
        <v>920</v>
      </c>
      <c r="L242" s="680">
        <v>351.18999999999988</v>
      </c>
      <c r="M242" s="680">
        <v>3</v>
      </c>
      <c r="N242" s="681">
        <v>1053.5699999999997</v>
      </c>
    </row>
    <row r="243" spans="1:14" ht="14.4" customHeight="1" x14ac:dyDescent="0.3">
      <c r="A243" s="675" t="s">
        <v>484</v>
      </c>
      <c r="B243" s="676" t="s">
        <v>485</v>
      </c>
      <c r="C243" s="677" t="s">
        <v>497</v>
      </c>
      <c r="D243" s="678" t="s">
        <v>498</v>
      </c>
      <c r="E243" s="679">
        <v>50113001</v>
      </c>
      <c r="F243" s="678" t="s">
        <v>502</v>
      </c>
      <c r="G243" s="677" t="s">
        <v>503</v>
      </c>
      <c r="H243" s="677">
        <v>155911</v>
      </c>
      <c r="I243" s="677">
        <v>55911</v>
      </c>
      <c r="J243" s="677" t="s">
        <v>921</v>
      </c>
      <c r="K243" s="677" t="s">
        <v>922</v>
      </c>
      <c r="L243" s="680">
        <v>35.537500000000001</v>
      </c>
      <c r="M243" s="680">
        <v>28</v>
      </c>
      <c r="N243" s="681">
        <v>995.05</v>
      </c>
    </row>
    <row r="244" spans="1:14" ht="14.4" customHeight="1" x14ac:dyDescent="0.3">
      <c r="A244" s="675" t="s">
        <v>484</v>
      </c>
      <c r="B244" s="676" t="s">
        <v>485</v>
      </c>
      <c r="C244" s="677" t="s">
        <v>497</v>
      </c>
      <c r="D244" s="678" t="s">
        <v>498</v>
      </c>
      <c r="E244" s="679">
        <v>50113001</v>
      </c>
      <c r="F244" s="678" t="s">
        <v>502</v>
      </c>
      <c r="G244" s="677" t="s">
        <v>503</v>
      </c>
      <c r="H244" s="677">
        <v>111696</v>
      </c>
      <c r="I244" s="677">
        <v>11696</v>
      </c>
      <c r="J244" s="677" t="s">
        <v>923</v>
      </c>
      <c r="K244" s="677" t="s">
        <v>924</v>
      </c>
      <c r="L244" s="680">
        <v>324.83000099891439</v>
      </c>
      <c r="M244" s="680">
        <v>91</v>
      </c>
      <c r="N244" s="681">
        <v>29559.530090901211</v>
      </c>
    </row>
    <row r="245" spans="1:14" ht="14.4" customHeight="1" x14ac:dyDescent="0.3">
      <c r="A245" s="675" t="s">
        <v>484</v>
      </c>
      <c r="B245" s="676" t="s">
        <v>485</v>
      </c>
      <c r="C245" s="677" t="s">
        <v>497</v>
      </c>
      <c r="D245" s="678" t="s">
        <v>498</v>
      </c>
      <c r="E245" s="679">
        <v>50113001</v>
      </c>
      <c r="F245" s="678" t="s">
        <v>502</v>
      </c>
      <c r="G245" s="677" t="s">
        <v>527</v>
      </c>
      <c r="H245" s="677">
        <v>161623</v>
      </c>
      <c r="I245" s="677">
        <v>161623</v>
      </c>
      <c r="J245" s="677" t="s">
        <v>925</v>
      </c>
      <c r="K245" s="677" t="s">
        <v>926</v>
      </c>
      <c r="L245" s="680">
        <v>131.74023096151893</v>
      </c>
      <c r="M245" s="680">
        <v>1</v>
      </c>
      <c r="N245" s="681">
        <v>131.74023096151893</v>
      </c>
    </row>
    <row r="246" spans="1:14" ht="14.4" customHeight="1" x14ac:dyDescent="0.3">
      <c r="A246" s="675" t="s">
        <v>484</v>
      </c>
      <c r="B246" s="676" t="s">
        <v>485</v>
      </c>
      <c r="C246" s="677" t="s">
        <v>497</v>
      </c>
      <c r="D246" s="678" t="s">
        <v>498</v>
      </c>
      <c r="E246" s="679">
        <v>50113001</v>
      </c>
      <c r="F246" s="678" t="s">
        <v>502</v>
      </c>
      <c r="G246" s="677" t="s">
        <v>527</v>
      </c>
      <c r="H246" s="677">
        <v>846823</v>
      </c>
      <c r="I246" s="677">
        <v>124101</v>
      </c>
      <c r="J246" s="677" t="s">
        <v>927</v>
      </c>
      <c r="K246" s="677" t="s">
        <v>926</v>
      </c>
      <c r="L246" s="680">
        <v>185.26</v>
      </c>
      <c r="M246" s="680">
        <v>1</v>
      </c>
      <c r="N246" s="681">
        <v>185.26</v>
      </c>
    </row>
    <row r="247" spans="1:14" ht="14.4" customHeight="1" x14ac:dyDescent="0.3">
      <c r="A247" s="675" t="s">
        <v>484</v>
      </c>
      <c r="B247" s="676" t="s">
        <v>485</v>
      </c>
      <c r="C247" s="677" t="s">
        <v>497</v>
      </c>
      <c r="D247" s="678" t="s">
        <v>498</v>
      </c>
      <c r="E247" s="679">
        <v>50113001</v>
      </c>
      <c r="F247" s="678" t="s">
        <v>502</v>
      </c>
      <c r="G247" s="677" t="s">
        <v>527</v>
      </c>
      <c r="H247" s="677">
        <v>844651</v>
      </c>
      <c r="I247" s="677">
        <v>101205</v>
      </c>
      <c r="J247" s="677" t="s">
        <v>928</v>
      </c>
      <c r="K247" s="677" t="s">
        <v>929</v>
      </c>
      <c r="L247" s="680">
        <v>86.483333333333348</v>
      </c>
      <c r="M247" s="680">
        <v>6</v>
      </c>
      <c r="N247" s="681">
        <v>518.90000000000009</v>
      </c>
    </row>
    <row r="248" spans="1:14" ht="14.4" customHeight="1" x14ac:dyDescent="0.3">
      <c r="A248" s="675" t="s">
        <v>484</v>
      </c>
      <c r="B248" s="676" t="s">
        <v>485</v>
      </c>
      <c r="C248" s="677" t="s">
        <v>497</v>
      </c>
      <c r="D248" s="678" t="s">
        <v>498</v>
      </c>
      <c r="E248" s="679">
        <v>50113001</v>
      </c>
      <c r="F248" s="678" t="s">
        <v>502</v>
      </c>
      <c r="G248" s="677" t="s">
        <v>527</v>
      </c>
      <c r="H248" s="677">
        <v>845220</v>
      </c>
      <c r="I248" s="677">
        <v>101211</v>
      </c>
      <c r="J248" s="677" t="s">
        <v>928</v>
      </c>
      <c r="K248" s="677" t="s">
        <v>930</v>
      </c>
      <c r="L248" s="680">
        <v>222.43000000000004</v>
      </c>
      <c r="M248" s="680">
        <v>2</v>
      </c>
      <c r="N248" s="681">
        <v>444.86000000000007</v>
      </c>
    </row>
    <row r="249" spans="1:14" ht="14.4" customHeight="1" x14ac:dyDescent="0.3">
      <c r="A249" s="675" t="s">
        <v>484</v>
      </c>
      <c r="B249" s="676" t="s">
        <v>485</v>
      </c>
      <c r="C249" s="677" t="s">
        <v>497</v>
      </c>
      <c r="D249" s="678" t="s">
        <v>498</v>
      </c>
      <c r="E249" s="679">
        <v>50113001</v>
      </c>
      <c r="F249" s="678" t="s">
        <v>502</v>
      </c>
      <c r="G249" s="677" t="s">
        <v>527</v>
      </c>
      <c r="H249" s="677">
        <v>846338</v>
      </c>
      <c r="I249" s="677">
        <v>122685</v>
      </c>
      <c r="J249" s="677" t="s">
        <v>931</v>
      </c>
      <c r="K249" s="677" t="s">
        <v>932</v>
      </c>
      <c r="L249" s="680">
        <v>116.84043046591273</v>
      </c>
      <c r="M249" s="680">
        <v>3</v>
      </c>
      <c r="N249" s="681">
        <v>350.5212913977382</v>
      </c>
    </row>
    <row r="250" spans="1:14" ht="14.4" customHeight="1" x14ac:dyDescent="0.3">
      <c r="A250" s="675" t="s">
        <v>484</v>
      </c>
      <c r="B250" s="676" t="s">
        <v>485</v>
      </c>
      <c r="C250" s="677" t="s">
        <v>497</v>
      </c>
      <c r="D250" s="678" t="s">
        <v>498</v>
      </c>
      <c r="E250" s="679">
        <v>50113001</v>
      </c>
      <c r="F250" s="678" t="s">
        <v>502</v>
      </c>
      <c r="G250" s="677" t="s">
        <v>527</v>
      </c>
      <c r="H250" s="677">
        <v>844738</v>
      </c>
      <c r="I250" s="677">
        <v>101227</v>
      </c>
      <c r="J250" s="677" t="s">
        <v>933</v>
      </c>
      <c r="K250" s="677" t="s">
        <v>934</v>
      </c>
      <c r="L250" s="680">
        <v>162.79</v>
      </c>
      <c r="M250" s="680">
        <v>1</v>
      </c>
      <c r="N250" s="681">
        <v>162.79</v>
      </c>
    </row>
    <row r="251" spans="1:14" ht="14.4" customHeight="1" x14ac:dyDescent="0.3">
      <c r="A251" s="675" t="s">
        <v>484</v>
      </c>
      <c r="B251" s="676" t="s">
        <v>485</v>
      </c>
      <c r="C251" s="677" t="s">
        <v>497</v>
      </c>
      <c r="D251" s="678" t="s">
        <v>498</v>
      </c>
      <c r="E251" s="679">
        <v>50113001</v>
      </c>
      <c r="F251" s="678" t="s">
        <v>502</v>
      </c>
      <c r="G251" s="677" t="s">
        <v>527</v>
      </c>
      <c r="H251" s="677">
        <v>845219</v>
      </c>
      <c r="I251" s="677">
        <v>101233</v>
      </c>
      <c r="J251" s="677" t="s">
        <v>933</v>
      </c>
      <c r="K251" s="677" t="s">
        <v>935</v>
      </c>
      <c r="L251" s="680">
        <v>368.25</v>
      </c>
      <c r="M251" s="680">
        <v>1</v>
      </c>
      <c r="N251" s="681">
        <v>368.25</v>
      </c>
    </row>
    <row r="252" spans="1:14" ht="14.4" customHeight="1" x14ac:dyDescent="0.3">
      <c r="A252" s="675" t="s">
        <v>484</v>
      </c>
      <c r="B252" s="676" t="s">
        <v>485</v>
      </c>
      <c r="C252" s="677" t="s">
        <v>497</v>
      </c>
      <c r="D252" s="678" t="s">
        <v>498</v>
      </c>
      <c r="E252" s="679">
        <v>50113001</v>
      </c>
      <c r="F252" s="678" t="s">
        <v>502</v>
      </c>
      <c r="G252" s="677" t="s">
        <v>503</v>
      </c>
      <c r="H252" s="677">
        <v>500280</v>
      </c>
      <c r="I252" s="677">
        <v>159836</v>
      </c>
      <c r="J252" s="677" t="s">
        <v>936</v>
      </c>
      <c r="K252" s="677" t="s">
        <v>486</v>
      </c>
      <c r="L252" s="680">
        <v>145.72999999999999</v>
      </c>
      <c r="M252" s="680">
        <v>1</v>
      </c>
      <c r="N252" s="681">
        <v>145.72999999999999</v>
      </c>
    </row>
    <row r="253" spans="1:14" ht="14.4" customHeight="1" x14ac:dyDescent="0.3">
      <c r="A253" s="675" t="s">
        <v>484</v>
      </c>
      <c r="B253" s="676" t="s">
        <v>485</v>
      </c>
      <c r="C253" s="677" t="s">
        <v>497</v>
      </c>
      <c r="D253" s="678" t="s">
        <v>498</v>
      </c>
      <c r="E253" s="679">
        <v>50113001</v>
      </c>
      <c r="F253" s="678" t="s">
        <v>502</v>
      </c>
      <c r="G253" s="677" t="s">
        <v>503</v>
      </c>
      <c r="H253" s="677">
        <v>129027</v>
      </c>
      <c r="I253" s="677">
        <v>129027</v>
      </c>
      <c r="J253" s="677" t="s">
        <v>937</v>
      </c>
      <c r="K253" s="677" t="s">
        <v>938</v>
      </c>
      <c r="L253" s="680">
        <v>841.5</v>
      </c>
      <c r="M253" s="680">
        <v>21</v>
      </c>
      <c r="N253" s="681">
        <v>17671.5</v>
      </c>
    </row>
    <row r="254" spans="1:14" ht="14.4" customHeight="1" x14ac:dyDescent="0.3">
      <c r="A254" s="675" t="s">
        <v>484</v>
      </c>
      <c r="B254" s="676" t="s">
        <v>485</v>
      </c>
      <c r="C254" s="677" t="s">
        <v>497</v>
      </c>
      <c r="D254" s="678" t="s">
        <v>498</v>
      </c>
      <c r="E254" s="679">
        <v>50113001</v>
      </c>
      <c r="F254" s="678" t="s">
        <v>502</v>
      </c>
      <c r="G254" s="677" t="s">
        <v>503</v>
      </c>
      <c r="H254" s="677">
        <v>191731</v>
      </c>
      <c r="I254" s="677">
        <v>91731</v>
      </c>
      <c r="J254" s="677" t="s">
        <v>939</v>
      </c>
      <c r="K254" s="677" t="s">
        <v>940</v>
      </c>
      <c r="L254" s="680">
        <v>3900.4033333333341</v>
      </c>
      <c r="M254" s="680">
        <v>3</v>
      </c>
      <c r="N254" s="681">
        <v>11701.210000000003</v>
      </c>
    </row>
    <row r="255" spans="1:14" ht="14.4" customHeight="1" x14ac:dyDescent="0.3">
      <c r="A255" s="675" t="s">
        <v>484</v>
      </c>
      <c r="B255" s="676" t="s">
        <v>485</v>
      </c>
      <c r="C255" s="677" t="s">
        <v>497</v>
      </c>
      <c r="D255" s="678" t="s">
        <v>498</v>
      </c>
      <c r="E255" s="679">
        <v>50113001</v>
      </c>
      <c r="F255" s="678" t="s">
        <v>502</v>
      </c>
      <c r="G255" s="677" t="s">
        <v>503</v>
      </c>
      <c r="H255" s="677">
        <v>182952</v>
      </c>
      <c r="I255" s="677">
        <v>82952</v>
      </c>
      <c r="J255" s="677" t="s">
        <v>941</v>
      </c>
      <c r="K255" s="677" t="s">
        <v>942</v>
      </c>
      <c r="L255" s="680">
        <v>175.42</v>
      </c>
      <c r="M255" s="680">
        <v>2</v>
      </c>
      <c r="N255" s="681">
        <v>350.84</v>
      </c>
    </row>
    <row r="256" spans="1:14" ht="14.4" customHeight="1" x14ac:dyDescent="0.3">
      <c r="A256" s="675" t="s">
        <v>484</v>
      </c>
      <c r="B256" s="676" t="s">
        <v>485</v>
      </c>
      <c r="C256" s="677" t="s">
        <v>497</v>
      </c>
      <c r="D256" s="678" t="s">
        <v>498</v>
      </c>
      <c r="E256" s="679">
        <v>50113001</v>
      </c>
      <c r="F256" s="678" t="s">
        <v>502</v>
      </c>
      <c r="G256" s="677" t="s">
        <v>527</v>
      </c>
      <c r="H256" s="677">
        <v>988793</v>
      </c>
      <c r="I256" s="677">
        <v>142866</v>
      </c>
      <c r="J256" s="677" t="s">
        <v>943</v>
      </c>
      <c r="K256" s="677" t="s">
        <v>944</v>
      </c>
      <c r="L256" s="680">
        <v>356.95</v>
      </c>
      <c r="M256" s="680">
        <v>1</v>
      </c>
      <c r="N256" s="681">
        <v>356.95</v>
      </c>
    </row>
    <row r="257" spans="1:14" ht="14.4" customHeight="1" x14ac:dyDescent="0.3">
      <c r="A257" s="675" t="s">
        <v>484</v>
      </c>
      <c r="B257" s="676" t="s">
        <v>485</v>
      </c>
      <c r="C257" s="677" t="s">
        <v>497</v>
      </c>
      <c r="D257" s="678" t="s">
        <v>498</v>
      </c>
      <c r="E257" s="679">
        <v>50113001</v>
      </c>
      <c r="F257" s="678" t="s">
        <v>502</v>
      </c>
      <c r="G257" s="677" t="s">
        <v>486</v>
      </c>
      <c r="H257" s="677">
        <v>113476</v>
      </c>
      <c r="I257" s="677">
        <v>13476</v>
      </c>
      <c r="J257" s="677" t="s">
        <v>945</v>
      </c>
      <c r="K257" s="677" t="s">
        <v>946</v>
      </c>
      <c r="L257" s="680">
        <v>108.54999999999995</v>
      </c>
      <c r="M257" s="680">
        <v>3</v>
      </c>
      <c r="N257" s="681">
        <v>325.64999999999986</v>
      </c>
    </row>
    <row r="258" spans="1:14" ht="14.4" customHeight="1" x14ac:dyDescent="0.3">
      <c r="A258" s="675" t="s">
        <v>484</v>
      </c>
      <c r="B258" s="676" t="s">
        <v>485</v>
      </c>
      <c r="C258" s="677" t="s">
        <v>497</v>
      </c>
      <c r="D258" s="678" t="s">
        <v>498</v>
      </c>
      <c r="E258" s="679">
        <v>50113001</v>
      </c>
      <c r="F258" s="678" t="s">
        <v>502</v>
      </c>
      <c r="G258" s="677" t="s">
        <v>503</v>
      </c>
      <c r="H258" s="677">
        <v>845827</v>
      </c>
      <c r="I258" s="677">
        <v>0</v>
      </c>
      <c r="J258" s="677" t="s">
        <v>947</v>
      </c>
      <c r="K258" s="677" t="s">
        <v>486</v>
      </c>
      <c r="L258" s="680">
        <v>91.3</v>
      </c>
      <c r="M258" s="680">
        <v>5</v>
      </c>
      <c r="N258" s="681">
        <v>456.5</v>
      </c>
    </row>
    <row r="259" spans="1:14" ht="14.4" customHeight="1" x14ac:dyDescent="0.3">
      <c r="A259" s="675" t="s">
        <v>484</v>
      </c>
      <c r="B259" s="676" t="s">
        <v>485</v>
      </c>
      <c r="C259" s="677" t="s">
        <v>497</v>
      </c>
      <c r="D259" s="678" t="s">
        <v>498</v>
      </c>
      <c r="E259" s="679">
        <v>50113001</v>
      </c>
      <c r="F259" s="678" t="s">
        <v>502</v>
      </c>
      <c r="G259" s="677" t="s">
        <v>503</v>
      </c>
      <c r="H259" s="677">
        <v>144357</v>
      </c>
      <c r="I259" s="677">
        <v>44357</v>
      </c>
      <c r="J259" s="677" t="s">
        <v>948</v>
      </c>
      <c r="K259" s="677" t="s">
        <v>949</v>
      </c>
      <c r="L259" s="680">
        <v>3569.2799999999997</v>
      </c>
      <c r="M259" s="680">
        <v>4</v>
      </c>
      <c r="N259" s="681">
        <v>14277.119999999999</v>
      </c>
    </row>
    <row r="260" spans="1:14" ht="14.4" customHeight="1" x14ac:dyDescent="0.3">
      <c r="A260" s="675" t="s">
        <v>484</v>
      </c>
      <c r="B260" s="676" t="s">
        <v>485</v>
      </c>
      <c r="C260" s="677" t="s">
        <v>497</v>
      </c>
      <c r="D260" s="678" t="s">
        <v>498</v>
      </c>
      <c r="E260" s="679">
        <v>50113001</v>
      </c>
      <c r="F260" s="678" t="s">
        <v>502</v>
      </c>
      <c r="G260" s="677" t="s">
        <v>503</v>
      </c>
      <c r="H260" s="677">
        <v>118304</v>
      </c>
      <c r="I260" s="677">
        <v>18304</v>
      </c>
      <c r="J260" s="677" t="s">
        <v>950</v>
      </c>
      <c r="K260" s="677" t="s">
        <v>951</v>
      </c>
      <c r="L260" s="680">
        <v>185.61117428210611</v>
      </c>
      <c r="M260" s="680">
        <v>83</v>
      </c>
      <c r="N260" s="681">
        <v>15405.727465414806</v>
      </c>
    </row>
    <row r="261" spans="1:14" ht="14.4" customHeight="1" x14ac:dyDescent="0.3">
      <c r="A261" s="675" t="s">
        <v>484</v>
      </c>
      <c r="B261" s="676" t="s">
        <v>485</v>
      </c>
      <c r="C261" s="677" t="s">
        <v>497</v>
      </c>
      <c r="D261" s="678" t="s">
        <v>498</v>
      </c>
      <c r="E261" s="679">
        <v>50113001</v>
      </c>
      <c r="F261" s="678" t="s">
        <v>502</v>
      </c>
      <c r="G261" s="677" t="s">
        <v>503</v>
      </c>
      <c r="H261" s="677">
        <v>118305</v>
      </c>
      <c r="I261" s="677">
        <v>18305</v>
      </c>
      <c r="J261" s="677" t="s">
        <v>950</v>
      </c>
      <c r="K261" s="677" t="s">
        <v>952</v>
      </c>
      <c r="L261" s="680">
        <v>241.99999971248235</v>
      </c>
      <c r="M261" s="680">
        <v>128</v>
      </c>
      <c r="N261" s="681">
        <v>30975.999963197741</v>
      </c>
    </row>
    <row r="262" spans="1:14" ht="14.4" customHeight="1" x14ac:dyDescent="0.3">
      <c r="A262" s="675" t="s">
        <v>484</v>
      </c>
      <c r="B262" s="676" t="s">
        <v>485</v>
      </c>
      <c r="C262" s="677" t="s">
        <v>497</v>
      </c>
      <c r="D262" s="678" t="s">
        <v>498</v>
      </c>
      <c r="E262" s="679">
        <v>50113001</v>
      </c>
      <c r="F262" s="678" t="s">
        <v>502</v>
      </c>
      <c r="G262" s="677" t="s">
        <v>503</v>
      </c>
      <c r="H262" s="677">
        <v>159357</v>
      </c>
      <c r="I262" s="677">
        <v>59357</v>
      </c>
      <c r="J262" s="677" t="s">
        <v>953</v>
      </c>
      <c r="K262" s="677" t="s">
        <v>954</v>
      </c>
      <c r="L262" s="680">
        <v>188.87999999999997</v>
      </c>
      <c r="M262" s="680">
        <v>6</v>
      </c>
      <c r="N262" s="681">
        <v>1133.2799999999997</v>
      </c>
    </row>
    <row r="263" spans="1:14" ht="14.4" customHeight="1" x14ac:dyDescent="0.3">
      <c r="A263" s="675" t="s">
        <v>484</v>
      </c>
      <c r="B263" s="676" t="s">
        <v>485</v>
      </c>
      <c r="C263" s="677" t="s">
        <v>497</v>
      </c>
      <c r="D263" s="678" t="s">
        <v>498</v>
      </c>
      <c r="E263" s="679">
        <v>50113001</v>
      </c>
      <c r="F263" s="678" t="s">
        <v>502</v>
      </c>
      <c r="G263" s="677" t="s">
        <v>503</v>
      </c>
      <c r="H263" s="677">
        <v>159358</v>
      </c>
      <c r="I263" s="677">
        <v>59358</v>
      </c>
      <c r="J263" s="677" t="s">
        <v>953</v>
      </c>
      <c r="K263" s="677" t="s">
        <v>955</v>
      </c>
      <c r="L263" s="680">
        <v>326.48</v>
      </c>
      <c r="M263" s="680">
        <v>2</v>
      </c>
      <c r="N263" s="681">
        <v>652.96</v>
      </c>
    </row>
    <row r="264" spans="1:14" ht="14.4" customHeight="1" x14ac:dyDescent="0.3">
      <c r="A264" s="675" t="s">
        <v>484</v>
      </c>
      <c r="B264" s="676" t="s">
        <v>485</v>
      </c>
      <c r="C264" s="677" t="s">
        <v>497</v>
      </c>
      <c r="D264" s="678" t="s">
        <v>498</v>
      </c>
      <c r="E264" s="679">
        <v>50113001</v>
      </c>
      <c r="F264" s="678" t="s">
        <v>502</v>
      </c>
      <c r="G264" s="677" t="s">
        <v>486</v>
      </c>
      <c r="H264" s="677">
        <v>147740</v>
      </c>
      <c r="I264" s="677">
        <v>47740</v>
      </c>
      <c r="J264" s="677" t="s">
        <v>956</v>
      </c>
      <c r="K264" s="677" t="s">
        <v>929</v>
      </c>
      <c r="L264" s="680">
        <v>36.557500000000005</v>
      </c>
      <c r="M264" s="680">
        <v>4</v>
      </c>
      <c r="N264" s="681">
        <v>146.23000000000002</v>
      </c>
    </row>
    <row r="265" spans="1:14" ht="14.4" customHeight="1" x14ac:dyDescent="0.3">
      <c r="A265" s="675" t="s">
        <v>484</v>
      </c>
      <c r="B265" s="676" t="s">
        <v>485</v>
      </c>
      <c r="C265" s="677" t="s">
        <v>497</v>
      </c>
      <c r="D265" s="678" t="s">
        <v>498</v>
      </c>
      <c r="E265" s="679">
        <v>50113001</v>
      </c>
      <c r="F265" s="678" t="s">
        <v>502</v>
      </c>
      <c r="G265" s="677" t="s">
        <v>486</v>
      </c>
      <c r="H265" s="677">
        <v>848907</v>
      </c>
      <c r="I265" s="677">
        <v>148072</v>
      </c>
      <c r="J265" s="677" t="s">
        <v>957</v>
      </c>
      <c r="K265" s="677" t="s">
        <v>516</v>
      </c>
      <c r="L265" s="680">
        <v>107.08999999999997</v>
      </c>
      <c r="M265" s="680">
        <v>2</v>
      </c>
      <c r="N265" s="681">
        <v>214.17999999999995</v>
      </c>
    </row>
    <row r="266" spans="1:14" ht="14.4" customHeight="1" x14ac:dyDescent="0.3">
      <c r="A266" s="675" t="s">
        <v>484</v>
      </c>
      <c r="B266" s="676" t="s">
        <v>485</v>
      </c>
      <c r="C266" s="677" t="s">
        <v>497</v>
      </c>
      <c r="D266" s="678" t="s">
        <v>498</v>
      </c>
      <c r="E266" s="679">
        <v>50113001</v>
      </c>
      <c r="F266" s="678" t="s">
        <v>502</v>
      </c>
      <c r="G266" s="677" t="s">
        <v>527</v>
      </c>
      <c r="H266" s="677">
        <v>115245</v>
      </c>
      <c r="I266" s="677">
        <v>15245</v>
      </c>
      <c r="J266" s="677" t="s">
        <v>958</v>
      </c>
      <c r="K266" s="677" t="s">
        <v>959</v>
      </c>
      <c r="L266" s="680">
        <v>1375</v>
      </c>
      <c r="M266" s="680">
        <v>84</v>
      </c>
      <c r="N266" s="681">
        <v>115500</v>
      </c>
    </row>
    <row r="267" spans="1:14" ht="14.4" customHeight="1" x14ac:dyDescent="0.3">
      <c r="A267" s="675" t="s">
        <v>484</v>
      </c>
      <c r="B267" s="676" t="s">
        <v>485</v>
      </c>
      <c r="C267" s="677" t="s">
        <v>497</v>
      </c>
      <c r="D267" s="678" t="s">
        <v>498</v>
      </c>
      <c r="E267" s="679">
        <v>50113001</v>
      </c>
      <c r="F267" s="678" t="s">
        <v>502</v>
      </c>
      <c r="G267" s="677" t="s">
        <v>503</v>
      </c>
      <c r="H267" s="677">
        <v>100811</v>
      </c>
      <c r="I267" s="677">
        <v>811</v>
      </c>
      <c r="J267" s="677" t="s">
        <v>960</v>
      </c>
      <c r="K267" s="677" t="s">
        <v>961</v>
      </c>
      <c r="L267" s="680">
        <v>55.059999999999995</v>
      </c>
      <c r="M267" s="680">
        <v>1</v>
      </c>
      <c r="N267" s="681">
        <v>55.059999999999995</v>
      </c>
    </row>
    <row r="268" spans="1:14" ht="14.4" customHeight="1" x14ac:dyDescent="0.3">
      <c r="A268" s="675" t="s">
        <v>484</v>
      </c>
      <c r="B268" s="676" t="s">
        <v>485</v>
      </c>
      <c r="C268" s="677" t="s">
        <v>497</v>
      </c>
      <c r="D268" s="678" t="s">
        <v>498</v>
      </c>
      <c r="E268" s="679">
        <v>50113001</v>
      </c>
      <c r="F268" s="678" t="s">
        <v>502</v>
      </c>
      <c r="G268" s="677" t="s">
        <v>486</v>
      </c>
      <c r="H268" s="677">
        <v>198054</v>
      </c>
      <c r="I268" s="677">
        <v>198054</v>
      </c>
      <c r="J268" s="677" t="s">
        <v>962</v>
      </c>
      <c r="K268" s="677" t="s">
        <v>963</v>
      </c>
      <c r="L268" s="680">
        <v>44.000240058656011</v>
      </c>
      <c r="M268" s="680">
        <v>1</v>
      </c>
      <c r="N268" s="681">
        <v>44.000240058656011</v>
      </c>
    </row>
    <row r="269" spans="1:14" ht="14.4" customHeight="1" x14ac:dyDescent="0.3">
      <c r="A269" s="675" t="s">
        <v>484</v>
      </c>
      <c r="B269" s="676" t="s">
        <v>485</v>
      </c>
      <c r="C269" s="677" t="s">
        <v>497</v>
      </c>
      <c r="D269" s="678" t="s">
        <v>498</v>
      </c>
      <c r="E269" s="679">
        <v>50113001</v>
      </c>
      <c r="F269" s="678" t="s">
        <v>502</v>
      </c>
      <c r="G269" s="677" t="s">
        <v>503</v>
      </c>
      <c r="H269" s="677">
        <v>191032</v>
      </c>
      <c r="I269" s="677">
        <v>91032</v>
      </c>
      <c r="J269" s="677" t="s">
        <v>964</v>
      </c>
      <c r="K269" s="677" t="s">
        <v>965</v>
      </c>
      <c r="L269" s="680">
        <v>29.990000000000006</v>
      </c>
      <c r="M269" s="680">
        <v>1</v>
      </c>
      <c r="N269" s="681">
        <v>29.990000000000006</v>
      </c>
    </row>
    <row r="270" spans="1:14" ht="14.4" customHeight="1" x14ac:dyDescent="0.3">
      <c r="A270" s="675" t="s">
        <v>484</v>
      </c>
      <c r="B270" s="676" t="s">
        <v>485</v>
      </c>
      <c r="C270" s="677" t="s">
        <v>497</v>
      </c>
      <c r="D270" s="678" t="s">
        <v>498</v>
      </c>
      <c r="E270" s="679">
        <v>50113001</v>
      </c>
      <c r="F270" s="678" t="s">
        <v>502</v>
      </c>
      <c r="G270" s="677" t="s">
        <v>527</v>
      </c>
      <c r="H270" s="677">
        <v>193552</v>
      </c>
      <c r="I270" s="677">
        <v>193552</v>
      </c>
      <c r="J270" s="677" t="s">
        <v>966</v>
      </c>
      <c r="K270" s="677" t="s">
        <v>967</v>
      </c>
      <c r="L270" s="680">
        <v>653.04</v>
      </c>
      <c r="M270" s="680">
        <v>1</v>
      </c>
      <c r="N270" s="681">
        <v>653.04</v>
      </c>
    </row>
    <row r="271" spans="1:14" ht="14.4" customHeight="1" x14ac:dyDescent="0.3">
      <c r="A271" s="675" t="s">
        <v>484</v>
      </c>
      <c r="B271" s="676" t="s">
        <v>485</v>
      </c>
      <c r="C271" s="677" t="s">
        <v>497</v>
      </c>
      <c r="D271" s="678" t="s">
        <v>498</v>
      </c>
      <c r="E271" s="679">
        <v>50113001</v>
      </c>
      <c r="F271" s="678" t="s">
        <v>502</v>
      </c>
      <c r="G271" s="677" t="s">
        <v>503</v>
      </c>
      <c r="H271" s="677">
        <v>847855</v>
      </c>
      <c r="I271" s="677">
        <v>107826</v>
      </c>
      <c r="J271" s="677" t="s">
        <v>968</v>
      </c>
      <c r="K271" s="677" t="s">
        <v>969</v>
      </c>
      <c r="L271" s="680">
        <v>510.21999999999986</v>
      </c>
      <c r="M271" s="680">
        <v>1</v>
      </c>
      <c r="N271" s="681">
        <v>510.21999999999986</v>
      </c>
    </row>
    <row r="272" spans="1:14" ht="14.4" customHeight="1" x14ac:dyDescent="0.3">
      <c r="A272" s="675" t="s">
        <v>484</v>
      </c>
      <c r="B272" s="676" t="s">
        <v>485</v>
      </c>
      <c r="C272" s="677" t="s">
        <v>497</v>
      </c>
      <c r="D272" s="678" t="s">
        <v>498</v>
      </c>
      <c r="E272" s="679">
        <v>50113001</v>
      </c>
      <c r="F272" s="678" t="s">
        <v>502</v>
      </c>
      <c r="G272" s="677" t="s">
        <v>503</v>
      </c>
      <c r="H272" s="677">
        <v>172564</v>
      </c>
      <c r="I272" s="677">
        <v>72564</v>
      </c>
      <c r="J272" s="677" t="s">
        <v>970</v>
      </c>
      <c r="K272" s="677" t="s">
        <v>971</v>
      </c>
      <c r="L272" s="680">
        <v>476.01452135264952</v>
      </c>
      <c r="M272" s="680">
        <v>41</v>
      </c>
      <c r="N272" s="681">
        <v>19516.59537545863</v>
      </c>
    </row>
    <row r="273" spans="1:14" ht="14.4" customHeight="1" x14ac:dyDescent="0.3">
      <c r="A273" s="675" t="s">
        <v>484</v>
      </c>
      <c r="B273" s="676" t="s">
        <v>485</v>
      </c>
      <c r="C273" s="677" t="s">
        <v>497</v>
      </c>
      <c r="D273" s="678" t="s">
        <v>498</v>
      </c>
      <c r="E273" s="679">
        <v>50113001</v>
      </c>
      <c r="F273" s="678" t="s">
        <v>502</v>
      </c>
      <c r="G273" s="677" t="s">
        <v>503</v>
      </c>
      <c r="H273" s="677">
        <v>849422</v>
      </c>
      <c r="I273" s="677">
        <v>143372</v>
      </c>
      <c r="J273" s="677" t="s">
        <v>972</v>
      </c>
      <c r="K273" s="677" t="s">
        <v>973</v>
      </c>
      <c r="L273" s="680">
        <v>356.24999999999989</v>
      </c>
      <c r="M273" s="680">
        <v>1</v>
      </c>
      <c r="N273" s="681">
        <v>356.24999999999989</v>
      </c>
    </row>
    <row r="274" spans="1:14" ht="14.4" customHeight="1" x14ac:dyDescent="0.3">
      <c r="A274" s="675" t="s">
        <v>484</v>
      </c>
      <c r="B274" s="676" t="s">
        <v>485</v>
      </c>
      <c r="C274" s="677" t="s">
        <v>497</v>
      </c>
      <c r="D274" s="678" t="s">
        <v>498</v>
      </c>
      <c r="E274" s="679">
        <v>50113001</v>
      </c>
      <c r="F274" s="678" t="s">
        <v>502</v>
      </c>
      <c r="G274" s="677" t="s">
        <v>503</v>
      </c>
      <c r="H274" s="677">
        <v>208203</v>
      </c>
      <c r="I274" s="677">
        <v>208203</v>
      </c>
      <c r="J274" s="677" t="s">
        <v>974</v>
      </c>
      <c r="K274" s="677" t="s">
        <v>975</v>
      </c>
      <c r="L274" s="680">
        <v>98.65</v>
      </c>
      <c r="M274" s="680">
        <v>1</v>
      </c>
      <c r="N274" s="681">
        <v>98.65</v>
      </c>
    </row>
    <row r="275" spans="1:14" ht="14.4" customHeight="1" x14ac:dyDescent="0.3">
      <c r="A275" s="675" t="s">
        <v>484</v>
      </c>
      <c r="B275" s="676" t="s">
        <v>485</v>
      </c>
      <c r="C275" s="677" t="s">
        <v>497</v>
      </c>
      <c r="D275" s="678" t="s">
        <v>498</v>
      </c>
      <c r="E275" s="679">
        <v>50113001</v>
      </c>
      <c r="F275" s="678" t="s">
        <v>502</v>
      </c>
      <c r="G275" s="677" t="s">
        <v>527</v>
      </c>
      <c r="H275" s="677">
        <v>112354</v>
      </c>
      <c r="I275" s="677">
        <v>12354</v>
      </c>
      <c r="J275" s="677" t="s">
        <v>974</v>
      </c>
      <c r="K275" s="677" t="s">
        <v>976</v>
      </c>
      <c r="L275" s="680">
        <v>98.65</v>
      </c>
      <c r="M275" s="680">
        <v>1</v>
      </c>
      <c r="N275" s="681">
        <v>98.65</v>
      </c>
    </row>
    <row r="276" spans="1:14" ht="14.4" customHeight="1" x14ac:dyDescent="0.3">
      <c r="A276" s="675" t="s">
        <v>484</v>
      </c>
      <c r="B276" s="676" t="s">
        <v>485</v>
      </c>
      <c r="C276" s="677" t="s">
        <v>497</v>
      </c>
      <c r="D276" s="678" t="s">
        <v>498</v>
      </c>
      <c r="E276" s="679">
        <v>50113001</v>
      </c>
      <c r="F276" s="678" t="s">
        <v>502</v>
      </c>
      <c r="G276" s="677" t="s">
        <v>503</v>
      </c>
      <c r="H276" s="677">
        <v>159940</v>
      </c>
      <c r="I276" s="677">
        <v>59940</v>
      </c>
      <c r="J276" s="677" t="s">
        <v>977</v>
      </c>
      <c r="K276" s="677" t="s">
        <v>978</v>
      </c>
      <c r="L276" s="680">
        <v>106.87</v>
      </c>
      <c r="M276" s="680">
        <v>1</v>
      </c>
      <c r="N276" s="681">
        <v>106.87</v>
      </c>
    </row>
    <row r="277" spans="1:14" ht="14.4" customHeight="1" x14ac:dyDescent="0.3">
      <c r="A277" s="675" t="s">
        <v>484</v>
      </c>
      <c r="B277" s="676" t="s">
        <v>485</v>
      </c>
      <c r="C277" s="677" t="s">
        <v>497</v>
      </c>
      <c r="D277" s="678" t="s">
        <v>498</v>
      </c>
      <c r="E277" s="679">
        <v>50113001</v>
      </c>
      <c r="F277" s="678" t="s">
        <v>502</v>
      </c>
      <c r="G277" s="677" t="s">
        <v>527</v>
      </c>
      <c r="H277" s="677">
        <v>109709</v>
      </c>
      <c r="I277" s="677">
        <v>9709</v>
      </c>
      <c r="J277" s="677" t="s">
        <v>979</v>
      </c>
      <c r="K277" s="677" t="s">
        <v>980</v>
      </c>
      <c r="L277" s="680">
        <v>34.74932891801862</v>
      </c>
      <c r="M277" s="680">
        <v>6</v>
      </c>
      <c r="N277" s="681">
        <v>208.49597350811172</v>
      </c>
    </row>
    <row r="278" spans="1:14" ht="14.4" customHeight="1" x14ac:dyDescent="0.3">
      <c r="A278" s="675" t="s">
        <v>484</v>
      </c>
      <c r="B278" s="676" t="s">
        <v>485</v>
      </c>
      <c r="C278" s="677" t="s">
        <v>497</v>
      </c>
      <c r="D278" s="678" t="s">
        <v>498</v>
      </c>
      <c r="E278" s="679">
        <v>50113001</v>
      </c>
      <c r="F278" s="678" t="s">
        <v>502</v>
      </c>
      <c r="G278" s="677" t="s">
        <v>527</v>
      </c>
      <c r="H278" s="677">
        <v>194882</v>
      </c>
      <c r="I278" s="677">
        <v>94882</v>
      </c>
      <c r="J278" s="677" t="s">
        <v>979</v>
      </c>
      <c r="K278" s="677" t="s">
        <v>981</v>
      </c>
      <c r="L278" s="680">
        <v>143.47</v>
      </c>
      <c r="M278" s="680">
        <v>3</v>
      </c>
      <c r="N278" s="681">
        <v>430.41</v>
      </c>
    </row>
    <row r="279" spans="1:14" ht="14.4" customHeight="1" x14ac:dyDescent="0.3">
      <c r="A279" s="675" t="s">
        <v>484</v>
      </c>
      <c r="B279" s="676" t="s">
        <v>485</v>
      </c>
      <c r="C279" s="677" t="s">
        <v>497</v>
      </c>
      <c r="D279" s="678" t="s">
        <v>498</v>
      </c>
      <c r="E279" s="679">
        <v>50113001</v>
      </c>
      <c r="F279" s="678" t="s">
        <v>502</v>
      </c>
      <c r="G279" s="677" t="s">
        <v>503</v>
      </c>
      <c r="H279" s="677">
        <v>194852</v>
      </c>
      <c r="I279" s="677">
        <v>94852</v>
      </c>
      <c r="J279" s="677" t="s">
        <v>982</v>
      </c>
      <c r="K279" s="677" t="s">
        <v>983</v>
      </c>
      <c r="L279" s="680">
        <v>1039.0128611451028</v>
      </c>
      <c r="M279" s="680">
        <v>132</v>
      </c>
      <c r="N279" s="681">
        <v>137149.69767115355</v>
      </c>
    </row>
    <row r="280" spans="1:14" ht="14.4" customHeight="1" x14ac:dyDescent="0.3">
      <c r="A280" s="675" t="s">
        <v>484</v>
      </c>
      <c r="B280" s="676" t="s">
        <v>485</v>
      </c>
      <c r="C280" s="677" t="s">
        <v>497</v>
      </c>
      <c r="D280" s="678" t="s">
        <v>498</v>
      </c>
      <c r="E280" s="679">
        <v>50113001</v>
      </c>
      <c r="F280" s="678" t="s">
        <v>502</v>
      </c>
      <c r="G280" s="677" t="s">
        <v>503</v>
      </c>
      <c r="H280" s="677">
        <v>149013</v>
      </c>
      <c r="I280" s="677">
        <v>49013</v>
      </c>
      <c r="J280" s="677" t="s">
        <v>984</v>
      </c>
      <c r="K280" s="677" t="s">
        <v>985</v>
      </c>
      <c r="L280" s="680">
        <v>51.100000000000009</v>
      </c>
      <c r="M280" s="680">
        <v>4</v>
      </c>
      <c r="N280" s="681">
        <v>204.40000000000003</v>
      </c>
    </row>
    <row r="281" spans="1:14" ht="14.4" customHeight="1" x14ac:dyDescent="0.3">
      <c r="A281" s="675" t="s">
        <v>484</v>
      </c>
      <c r="B281" s="676" t="s">
        <v>485</v>
      </c>
      <c r="C281" s="677" t="s">
        <v>497</v>
      </c>
      <c r="D281" s="678" t="s">
        <v>498</v>
      </c>
      <c r="E281" s="679">
        <v>50113001</v>
      </c>
      <c r="F281" s="678" t="s">
        <v>502</v>
      </c>
      <c r="G281" s="677" t="s">
        <v>503</v>
      </c>
      <c r="H281" s="677">
        <v>149014</v>
      </c>
      <c r="I281" s="677">
        <v>49014</v>
      </c>
      <c r="J281" s="677" t="s">
        <v>984</v>
      </c>
      <c r="K281" s="677" t="s">
        <v>986</v>
      </c>
      <c r="L281" s="680">
        <v>102.19</v>
      </c>
      <c r="M281" s="680">
        <v>3</v>
      </c>
      <c r="N281" s="681">
        <v>306.57</v>
      </c>
    </row>
    <row r="282" spans="1:14" ht="14.4" customHeight="1" x14ac:dyDescent="0.3">
      <c r="A282" s="675" t="s">
        <v>484</v>
      </c>
      <c r="B282" s="676" t="s">
        <v>485</v>
      </c>
      <c r="C282" s="677" t="s">
        <v>497</v>
      </c>
      <c r="D282" s="678" t="s">
        <v>498</v>
      </c>
      <c r="E282" s="679">
        <v>50113001</v>
      </c>
      <c r="F282" s="678" t="s">
        <v>502</v>
      </c>
      <c r="G282" s="677" t="s">
        <v>503</v>
      </c>
      <c r="H282" s="677">
        <v>844145</v>
      </c>
      <c r="I282" s="677">
        <v>56350</v>
      </c>
      <c r="J282" s="677" t="s">
        <v>987</v>
      </c>
      <c r="K282" s="677" t="s">
        <v>988</v>
      </c>
      <c r="L282" s="680">
        <v>32.759999999999991</v>
      </c>
      <c r="M282" s="680">
        <v>1</v>
      </c>
      <c r="N282" s="681">
        <v>32.759999999999991</v>
      </c>
    </row>
    <row r="283" spans="1:14" ht="14.4" customHeight="1" x14ac:dyDescent="0.3">
      <c r="A283" s="675" t="s">
        <v>484</v>
      </c>
      <c r="B283" s="676" t="s">
        <v>485</v>
      </c>
      <c r="C283" s="677" t="s">
        <v>497</v>
      </c>
      <c r="D283" s="678" t="s">
        <v>498</v>
      </c>
      <c r="E283" s="679">
        <v>50113001</v>
      </c>
      <c r="F283" s="678" t="s">
        <v>502</v>
      </c>
      <c r="G283" s="677" t="s">
        <v>486</v>
      </c>
      <c r="H283" s="677">
        <v>185526</v>
      </c>
      <c r="I283" s="677">
        <v>85526</v>
      </c>
      <c r="J283" s="677" t="s">
        <v>989</v>
      </c>
      <c r="K283" s="677" t="s">
        <v>990</v>
      </c>
      <c r="L283" s="680">
        <v>143.74644444444445</v>
      </c>
      <c r="M283" s="680">
        <v>90</v>
      </c>
      <c r="N283" s="681">
        <v>12937.18</v>
      </c>
    </row>
    <row r="284" spans="1:14" ht="14.4" customHeight="1" x14ac:dyDescent="0.3">
      <c r="A284" s="675" t="s">
        <v>484</v>
      </c>
      <c r="B284" s="676" t="s">
        <v>485</v>
      </c>
      <c r="C284" s="677" t="s">
        <v>497</v>
      </c>
      <c r="D284" s="678" t="s">
        <v>498</v>
      </c>
      <c r="E284" s="679">
        <v>50113001</v>
      </c>
      <c r="F284" s="678" t="s">
        <v>502</v>
      </c>
      <c r="G284" s="677" t="s">
        <v>527</v>
      </c>
      <c r="H284" s="677">
        <v>121088</v>
      </c>
      <c r="I284" s="677">
        <v>21088</v>
      </c>
      <c r="J284" s="677" t="s">
        <v>991</v>
      </c>
      <c r="K284" s="677" t="s">
        <v>992</v>
      </c>
      <c r="L284" s="680">
        <v>685.400111890532</v>
      </c>
      <c r="M284" s="680">
        <v>70</v>
      </c>
      <c r="N284" s="681">
        <v>47978.007832337244</v>
      </c>
    </row>
    <row r="285" spans="1:14" ht="14.4" customHeight="1" x14ac:dyDescent="0.3">
      <c r="A285" s="675" t="s">
        <v>484</v>
      </c>
      <c r="B285" s="676" t="s">
        <v>485</v>
      </c>
      <c r="C285" s="677" t="s">
        <v>497</v>
      </c>
      <c r="D285" s="678" t="s">
        <v>498</v>
      </c>
      <c r="E285" s="679">
        <v>50113001</v>
      </c>
      <c r="F285" s="678" t="s">
        <v>502</v>
      </c>
      <c r="G285" s="677" t="s">
        <v>503</v>
      </c>
      <c r="H285" s="677">
        <v>103688</v>
      </c>
      <c r="I285" s="677">
        <v>3688</v>
      </c>
      <c r="J285" s="677" t="s">
        <v>993</v>
      </c>
      <c r="K285" s="677" t="s">
        <v>994</v>
      </c>
      <c r="L285" s="680">
        <v>58.031250000000014</v>
      </c>
      <c r="M285" s="680">
        <v>8</v>
      </c>
      <c r="N285" s="681">
        <v>464.25000000000011</v>
      </c>
    </row>
    <row r="286" spans="1:14" ht="14.4" customHeight="1" x14ac:dyDescent="0.3">
      <c r="A286" s="675" t="s">
        <v>484</v>
      </c>
      <c r="B286" s="676" t="s">
        <v>485</v>
      </c>
      <c r="C286" s="677" t="s">
        <v>497</v>
      </c>
      <c r="D286" s="678" t="s">
        <v>498</v>
      </c>
      <c r="E286" s="679">
        <v>50113001</v>
      </c>
      <c r="F286" s="678" t="s">
        <v>502</v>
      </c>
      <c r="G286" s="677" t="s">
        <v>503</v>
      </c>
      <c r="H286" s="677">
        <v>161371</v>
      </c>
      <c r="I286" s="677">
        <v>161371</v>
      </c>
      <c r="J286" s="677" t="s">
        <v>995</v>
      </c>
      <c r="K286" s="677" t="s">
        <v>758</v>
      </c>
      <c r="L286" s="680">
        <v>62.210000000000015</v>
      </c>
      <c r="M286" s="680">
        <v>4</v>
      </c>
      <c r="N286" s="681">
        <v>248.84000000000006</v>
      </c>
    </row>
    <row r="287" spans="1:14" ht="14.4" customHeight="1" x14ac:dyDescent="0.3">
      <c r="A287" s="675" t="s">
        <v>484</v>
      </c>
      <c r="B287" s="676" t="s">
        <v>485</v>
      </c>
      <c r="C287" s="677" t="s">
        <v>497</v>
      </c>
      <c r="D287" s="678" t="s">
        <v>498</v>
      </c>
      <c r="E287" s="679">
        <v>50113001</v>
      </c>
      <c r="F287" s="678" t="s">
        <v>502</v>
      </c>
      <c r="G287" s="677" t="s">
        <v>527</v>
      </c>
      <c r="H287" s="677">
        <v>180087</v>
      </c>
      <c r="I287" s="677">
        <v>180087</v>
      </c>
      <c r="J287" s="677" t="s">
        <v>996</v>
      </c>
      <c r="K287" s="677" t="s">
        <v>997</v>
      </c>
      <c r="L287" s="680">
        <v>680.26</v>
      </c>
      <c r="M287" s="680">
        <v>1</v>
      </c>
      <c r="N287" s="681">
        <v>680.26</v>
      </c>
    </row>
    <row r="288" spans="1:14" ht="14.4" customHeight="1" x14ac:dyDescent="0.3">
      <c r="A288" s="675" t="s">
        <v>484</v>
      </c>
      <c r="B288" s="676" t="s">
        <v>485</v>
      </c>
      <c r="C288" s="677" t="s">
        <v>497</v>
      </c>
      <c r="D288" s="678" t="s">
        <v>498</v>
      </c>
      <c r="E288" s="679">
        <v>50113001</v>
      </c>
      <c r="F288" s="678" t="s">
        <v>502</v>
      </c>
      <c r="G288" s="677" t="s">
        <v>527</v>
      </c>
      <c r="H288" s="677">
        <v>180081</v>
      </c>
      <c r="I288" s="677">
        <v>180081</v>
      </c>
      <c r="J288" s="677" t="s">
        <v>998</v>
      </c>
      <c r="K288" s="677" t="s">
        <v>999</v>
      </c>
      <c r="L288" s="680">
        <v>680.1</v>
      </c>
      <c r="M288" s="680">
        <v>2</v>
      </c>
      <c r="N288" s="681">
        <v>1360.2</v>
      </c>
    </row>
    <row r="289" spans="1:14" ht="14.4" customHeight="1" x14ac:dyDescent="0.3">
      <c r="A289" s="675" t="s">
        <v>484</v>
      </c>
      <c r="B289" s="676" t="s">
        <v>485</v>
      </c>
      <c r="C289" s="677" t="s">
        <v>497</v>
      </c>
      <c r="D289" s="678" t="s">
        <v>498</v>
      </c>
      <c r="E289" s="679">
        <v>50113001</v>
      </c>
      <c r="F289" s="678" t="s">
        <v>502</v>
      </c>
      <c r="G289" s="677" t="s">
        <v>503</v>
      </c>
      <c r="H289" s="677">
        <v>100610</v>
      </c>
      <c r="I289" s="677">
        <v>610</v>
      </c>
      <c r="J289" s="677" t="s">
        <v>1000</v>
      </c>
      <c r="K289" s="677" t="s">
        <v>1001</v>
      </c>
      <c r="L289" s="680">
        <v>64.397262074742429</v>
      </c>
      <c r="M289" s="680">
        <v>269</v>
      </c>
      <c r="N289" s="681">
        <v>17322.863498105715</v>
      </c>
    </row>
    <row r="290" spans="1:14" ht="14.4" customHeight="1" x14ac:dyDescent="0.3">
      <c r="A290" s="675" t="s">
        <v>484</v>
      </c>
      <c r="B290" s="676" t="s">
        <v>485</v>
      </c>
      <c r="C290" s="677" t="s">
        <v>497</v>
      </c>
      <c r="D290" s="678" t="s">
        <v>498</v>
      </c>
      <c r="E290" s="679">
        <v>50113001</v>
      </c>
      <c r="F290" s="678" t="s">
        <v>502</v>
      </c>
      <c r="G290" s="677" t="s">
        <v>503</v>
      </c>
      <c r="H290" s="677">
        <v>100612</v>
      </c>
      <c r="I290" s="677">
        <v>612</v>
      </c>
      <c r="J290" s="677" t="s">
        <v>1002</v>
      </c>
      <c r="K290" s="677" t="s">
        <v>560</v>
      </c>
      <c r="L290" s="680">
        <v>60.178457737094689</v>
      </c>
      <c r="M290" s="680">
        <v>130</v>
      </c>
      <c r="N290" s="681">
        <v>7823.1995058223092</v>
      </c>
    </row>
    <row r="291" spans="1:14" ht="14.4" customHeight="1" x14ac:dyDescent="0.3">
      <c r="A291" s="675" t="s">
        <v>484</v>
      </c>
      <c r="B291" s="676" t="s">
        <v>485</v>
      </c>
      <c r="C291" s="677" t="s">
        <v>497</v>
      </c>
      <c r="D291" s="678" t="s">
        <v>498</v>
      </c>
      <c r="E291" s="679">
        <v>50113001</v>
      </c>
      <c r="F291" s="678" t="s">
        <v>502</v>
      </c>
      <c r="G291" s="677" t="s">
        <v>503</v>
      </c>
      <c r="H291" s="677">
        <v>127698</v>
      </c>
      <c r="I291" s="677">
        <v>27698</v>
      </c>
      <c r="J291" s="677" t="s">
        <v>1003</v>
      </c>
      <c r="K291" s="677" t="s">
        <v>1004</v>
      </c>
      <c r="L291" s="680">
        <v>410.17</v>
      </c>
      <c r="M291" s="680">
        <v>1</v>
      </c>
      <c r="N291" s="681">
        <v>410.17</v>
      </c>
    </row>
    <row r="292" spans="1:14" ht="14.4" customHeight="1" x14ac:dyDescent="0.3">
      <c r="A292" s="675" t="s">
        <v>484</v>
      </c>
      <c r="B292" s="676" t="s">
        <v>485</v>
      </c>
      <c r="C292" s="677" t="s">
        <v>497</v>
      </c>
      <c r="D292" s="678" t="s">
        <v>498</v>
      </c>
      <c r="E292" s="679">
        <v>50113001</v>
      </c>
      <c r="F292" s="678" t="s">
        <v>502</v>
      </c>
      <c r="G292" s="677" t="s">
        <v>503</v>
      </c>
      <c r="H292" s="677">
        <v>116445</v>
      </c>
      <c r="I292" s="677">
        <v>16445</v>
      </c>
      <c r="J292" s="677" t="s">
        <v>1005</v>
      </c>
      <c r="K292" s="677" t="s">
        <v>1006</v>
      </c>
      <c r="L292" s="680">
        <v>121.44</v>
      </c>
      <c r="M292" s="680">
        <v>1</v>
      </c>
      <c r="N292" s="681">
        <v>121.44</v>
      </c>
    </row>
    <row r="293" spans="1:14" ht="14.4" customHeight="1" x14ac:dyDescent="0.3">
      <c r="A293" s="675" t="s">
        <v>484</v>
      </c>
      <c r="B293" s="676" t="s">
        <v>485</v>
      </c>
      <c r="C293" s="677" t="s">
        <v>497</v>
      </c>
      <c r="D293" s="678" t="s">
        <v>498</v>
      </c>
      <c r="E293" s="679">
        <v>50113001</v>
      </c>
      <c r="F293" s="678" t="s">
        <v>502</v>
      </c>
      <c r="G293" s="677" t="s">
        <v>503</v>
      </c>
      <c r="H293" s="677">
        <v>844764</v>
      </c>
      <c r="I293" s="677">
        <v>105943</v>
      </c>
      <c r="J293" s="677" t="s">
        <v>1007</v>
      </c>
      <c r="K293" s="677" t="s">
        <v>1008</v>
      </c>
      <c r="L293" s="680">
        <v>4503.16</v>
      </c>
      <c r="M293" s="680">
        <v>4</v>
      </c>
      <c r="N293" s="681">
        <v>18012.64</v>
      </c>
    </row>
    <row r="294" spans="1:14" ht="14.4" customHeight="1" x14ac:dyDescent="0.3">
      <c r="A294" s="675" t="s">
        <v>484</v>
      </c>
      <c r="B294" s="676" t="s">
        <v>485</v>
      </c>
      <c r="C294" s="677" t="s">
        <v>497</v>
      </c>
      <c r="D294" s="678" t="s">
        <v>498</v>
      </c>
      <c r="E294" s="679">
        <v>50113001</v>
      </c>
      <c r="F294" s="678" t="s">
        <v>502</v>
      </c>
      <c r="G294" s="677" t="s">
        <v>503</v>
      </c>
      <c r="H294" s="677">
        <v>844242</v>
      </c>
      <c r="I294" s="677">
        <v>105937</v>
      </c>
      <c r="J294" s="677" t="s">
        <v>1009</v>
      </c>
      <c r="K294" s="677" t="s">
        <v>1008</v>
      </c>
      <c r="L294" s="680">
        <v>2800</v>
      </c>
      <c r="M294" s="680">
        <v>8</v>
      </c>
      <c r="N294" s="681">
        <v>22400</v>
      </c>
    </row>
    <row r="295" spans="1:14" ht="14.4" customHeight="1" x14ac:dyDescent="0.3">
      <c r="A295" s="675" t="s">
        <v>484</v>
      </c>
      <c r="B295" s="676" t="s">
        <v>485</v>
      </c>
      <c r="C295" s="677" t="s">
        <v>497</v>
      </c>
      <c r="D295" s="678" t="s">
        <v>498</v>
      </c>
      <c r="E295" s="679">
        <v>50113001</v>
      </c>
      <c r="F295" s="678" t="s">
        <v>502</v>
      </c>
      <c r="G295" s="677" t="s">
        <v>527</v>
      </c>
      <c r="H295" s="677">
        <v>216673</v>
      </c>
      <c r="I295" s="677">
        <v>216673</v>
      </c>
      <c r="J295" s="677" t="s">
        <v>1010</v>
      </c>
      <c r="K295" s="677" t="s">
        <v>1011</v>
      </c>
      <c r="L295" s="680">
        <v>457.14</v>
      </c>
      <c r="M295" s="680">
        <v>1</v>
      </c>
      <c r="N295" s="681">
        <v>457.14</v>
      </c>
    </row>
    <row r="296" spans="1:14" ht="14.4" customHeight="1" x14ac:dyDescent="0.3">
      <c r="A296" s="675" t="s">
        <v>484</v>
      </c>
      <c r="B296" s="676" t="s">
        <v>485</v>
      </c>
      <c r="C296" s="677" t="s">
        <v>497</v>
      </c>
      <c r="D296" s="678" t="s">
        <v>498</v>
      </c>
      <c r="E296" s="679">
        <v>50113001</v>
      </c>
      <c r="F296" s="678" t="s">
        <v>502</v>
      </c>
      <c r="G296" s="677" t="s">
        <v>527</v>
      </c>
      <c r="H296" s="677">
        <v>216674</v>
      </c>
      <c r="I296" s="677">
        <v>216674</v>
      </c>
      <c r="J296" s="677" t="s">
        <v>1012</v>
      </c>
      <c r="K296" s="677" t="s">
        <v>1011</v>
      </c>
      <c r="L296" s="680">
        <v>529.84000000000015</v>
      </c>
      <c r="M296" s="680">
        <v>1</v>
      </c>
      <c r="N296" s="681">
        <v>529.84000000000015</v>
      </c>
    </row>
    <row r="297" spans="1:14" ht="14.4" customHeight="1" x14ac:dyDescent="0.3">
      <c r="A297" s="675" t="s">
        <v>484</v>
      </c>
      <c r="B297" s="676" t="s">
        <v>485</v>
      </c>
      <c r="C297" s="677" t="s">
        <v>497</v>
      </c>
      <c r="D297" s="678" t="s">
        <v>498</v>
      </c>
      <c r="E297" s="679">
        <v>50113001</v>
      </c>
      <c r="F297" s="678" t="s">
        <v>502</v>
      </c>
      <c r="G297" s="677" t="s">
        <v>503</v>
      </c>
      <c r="H297" s="677">
        <v>148578</v>
      </c>
      <c r="I297" s="677">
        <v>48578</v>
      </c>
      <c r="J297" s="677" t="s">
        <v>1013</v>
      </c>
      <c r="K297" s="677" t="s">
        <v>1014</v>
      </c>
      <c r="L297" s="680">
        <v>54.980000000000004</v>
      </c>
      <c r="M297" s="680">
        <v>1</v>
      </c>
      <c r="N297" s="681">
        <v>54.980000000000004</v>
      </c>
    </row>
    <row r="298" spans="1:14" ht="14.4" customHeight="1" x14ac:dyDescent="0.3">
      <c r="A298" s="675" t="s">
        <v>484</v>
      </c>
      <c r="B298" s="676" t="s">
        <v>485</v>
      </c>
      <c r="C298" s="677" t="s">
        <v>497</v>
      </c>
      <c r="D298" s="678" t="s">
        <v>498</v>
      </c>
      <c r="E298" s="679">
        <v>50113001</v>
      </c>
      <c r="F298" s="678" t="s">
        <v>502</v>
      </c>
      <c r="G298" s="677" t="s">
        <v>503</v>
      </c>
      <c r="H298" s="677">
        <v>848632</v>
      </c>
      <c r="I298" s="677">
        <v>125315</v>
      </c>
      <c r="J298" s="677" t="s">
        <v>1013</v>
      </c>
      <c r="K298" s="677" t="s">
        <v>1015</v>
      </c>
      <c r="L298" s="680">
        <v>64.934285714285707</v>
      </c>
      <c r="M298" s="680">
        <v>7</v>
      </c>
      <c r="N298" s="681">
        <v>454.53999999999996</v>
      </c>
    </row>
    <row r="299" spans="1:14" ht="14.4" customHeight="1" x14ac:dyDescent="0.3">
      <c r="A299" s="675" t="s">
        <v>484</v>
      </c>
      <c r="B299" s="676" t="s">
        <v>485</v>
      </c>
      <c r="C299" s="677" t="s">
        <v>497</v>
      </c>
      <c r="D299" s="678" t="s">
        <v>498</v>
      </c>
      <c r="E299" s="679">
        <v>50113001</v>
      </c>
      <c r="F299" s="678" t="s">
        <v>502</v>
      </c>
      <c r="G299" s="677" t="s">
        <v>503</v>
      </c>
      <c r="H299" s="677">
        <v>157866</v>
      </c>
      <c r="I299" s="677">
        <v>57866</v>
      </c>
      <c r="J299" s="677" t="s">
        <v>1016</v>
      </c>
      <c r="K299" s="677" t="s">
        <v>1017</v>
      </c>
      <c r="L299" s="680">
        <v>60.223333333333308</v>
      </c>
      <c r="M299" s="680">
        <v>3</v>
      </c>
      <c r="N299" s="681">
        <v>180.66999999999993</v>
      </c>
    </row>
    <row r="300" spans="1:14" ht="14.4" customHeight="1" x14ac:dyDescent="0.3">
      <c r="A300" s="675" t="s">
        <v>484</v>
      </c>
      <c r="B300" s="676" t="s">
        <v>485</v>
      </c>
      <c r="C300" s="677" t="s">
        <v>497</v>
      </c>
      <c r="D300" s="678" t="s">
        <v>498</v>
      </c>
      <c r="E300" s="679">
        <v>50113001</v>
      </c>
      <c r="F300" s="678" t="s">
        <v>502</v>
      </c>
      <c r="G300" s="677" t="s">
        <v>503</v>
      </c>
      <c r="H300" s="677">
        <v>114479</v>
      </c>
      <c r="I300" s="677">
        <v>14479</v>
      </c>
      <c r="J300" s="677" t="s">
        <v>1018</v>
      </c>
      <c r="K300" s="677" t="s">
        <v>1019</v>
      </c>
      <c r="L300" s="680">
        <v>66.089999999999989</v>
      </c>
      <c r="M300" s="680">
        <v>3</v>
      </c>
      <c r="N300" s="681">
        <v>198.26999999999998</v>
      </c>
    </row>
    <row r="301" spans="1:14" ht="14.4" customHeight="1" x14ac:dyDescent="0.3">
      <c r="A301" s="675" t="s">
        <v>484</v>
      </c>
      <c r="B301" s="676" t="s">
        <v>485</v>
      </c>
      <c r="C301" s="677" t="s">
        <v>497</v>
      </c>
      <c r="D301" s="678" t="s">
        <v>498</v>
      </c>
      <c r="E301" s="679">
        <v>50113001</v>
      </c>
      <c r="F301" s="678" t="s">
        <v>502</v>
      </c>
      <c r="G301" s="677" t="s">
        <v>503</v>
      </c>
      <c r="H301" s="677">
        <v>191836</v>
      </c>
      <c r="I301" s="677">
        <v>91836</v>
      </c>
      <c r="J301" s="677" t="s">
        <v>1020</v>
      </c>
      <c r="K301" s="677" t="s">
        <v>1021</v>
      </c>
      <c r="L301" s="680">
        <v>44.970000000000006</v>
      </c>
      <c r="M301" s="680">
        <v>10</v>
      </c>
      <c r="N301" s="681">
        <v>449.70000000000005</v>
      </c>
    </row>
    <row r="302" spans="1:14" ht="14.4" customHeight="1" x14ac:dyDescent="0.3">
      <c r="A302" s="675" t="s">
        <v>484</v>
      </c>
      <c r="B302" s="676" t="s">
        <v>485</v>
      </c>
      <c r="C302" s="677" t="s">
        <v>497</v>
      </c>
      <c r="D302" s="678" t="s">
        <v>498</v>
      </c>
      <c r="E302" s="679">
        <v>50113001</v>
      </c>
      <c r="F302" s="678" t="s">
        <v>502</v>
      </c>
      <c r="G302" s="677" t="s">
        <v>486</v>
      </c>
      <c r="H302" s="677">
        <v>204670</v>
      </c>
      <c r="I302" s="677">
        <v>204670</v>
      </c>
      <c r="J302" s="677" t="s">
        <v>1022</v>
      </c>
      <c r="K302" s="677" t="s">
        <v>935</v>
      </c>
      <c r="L302" s="680">
        <v>76.789999999999992</v>
      </c>
      <c r="M302" s="680">
        <v>1</v>
      </c>
      <c r="N302" s="681">
        <v>76.789999999999992</v>
      </c>
    </row>
    <row r="303" spans="1:14" ht="14.4" customHeight="1" x14ac:dyDescent="0.3">
      <c r="A303" s="675" t="s">
        <v>484</v>
      </c>
      <c r="B303" s="676" t="s">
        <v>485</v>
      </c>
      <c r="C303" s="677" t="s">
        <v>497</v>
      </c>
      <c r="D303" s="678" t="s">
        <v>498</v>
      </c>
      <c r="E303" s="679">
        <v>50113001</v>
      </c>
      <c r="F303" s="678" t="s">
        <v>502</v>
      </c>
      <c r="G303" s="677" t="s">
        <v>503</v>
      </c>
      <c r="H303" s="677">
        <v>215851</v>
      </c>
      <c r="I303" s="677">
        <v>215851</v>
      </c>
      <c r="J303" s="677" t="s">
        <v>1023</v>
      </c>
      <c r="K303" s="677" t="s">
        <v>1024</v>
      </c>
      <c r="L303" s="680">
        <v>291.22599999999994</v>
      </c>
      <c r="M303" s="680">
        <v>5</v>
      </c>
      <c r="N303" s="681">
        <v>1456.1299999999997</v>
      </c>
    </row>
    <row r="304" spans="1:14" ht="14.4" customHeight="1" x14ac:dyDescent="0.3">
      <c r="A304" s="675" t="s">
        <v>484</v>
      </c>
      <c r="B304" s="676" t="s">
        <v>485</v>
      </c>
      <c r="C304" s="677" t="s">
        <v>497</v>
      </c>
      <c r="D304" s="678" t="s">
        <v>498</v>
      </c>
      <c r="E304" s="679">
        <v>50113001</v>
      </c>
      <c r="F304" s="678" t="s">
        <v>502</v>
      </c>
      <c r="G304" s="677" t="s">
        <v>503</v>
      </c>
      <c r="H304" s="677">
        <v>143979</v>
      </c>
      <c r="I304" s="677">
        <v>43979</v>
      </c>
      <c r="J304" s="677" t="s">
        <v>1025</v>
      </c>
      <c r="K304" s="677" t="s">
        <v>1026</v>
      </c>
      <c r="L304" s="680">
        <v>81.97</v>
      </c>
      <c r="M304" s="680">
        <v>1</v>
      </c>
      <c r="N304" s="681">
        <v>81.97</v>
      </c>
    </row>
    <row r="305" spans="1:14" ht="14.4" customHeight="1" x14ac:dyDescent="0.3">
      <c r="A305" s="675" t="s">
        <v>484</v>
      </c>
      <c r="B305" s="676" t="s">
        <v>485</v>
      </c>
      <c r="C305" s="677" t="s">
        <v>497</v>
      </c>
      <c r="D305" s="678" t="s">
        <v>498</v>
      </c>
      <c r="E305" s="679">
        <v>50113001</v>
      </c>
      <c r="F305" s="678" t="s">
        <v>502</v>
      </c>
      <c r="G305" s="677" t="s">
        <v>503</v>
      </c>
      <c r="H305" s="677">
        <v>126803</v>
      </c>
      <c r="I305" s="677">
        <v>26803</v>
      </c>
      <c r="J305" s="677" t="s">
        <v>1027</v>
      </c>
      <c r="K305" s="677" t="s">
        <v>1028</v>
      </c>
      <c r="L305" s="680">
        <v>282.89</v>
      </c>
      <c r="M305" s="680">
        <v>2</v>
      </c>
      <c r="N305" s="681">
        <v>565.78</v>
      </c>
    </row>
    <row r="306" spans="1:14" ht="14.4" customHeight="1" x14ac:dyDescent="0.3">
      <c r="A306" s="675" t="s">
        <v>484</v>
      </c>
      <c r="B306" s="676" t="s">
        <v>485</v>
      </c>
      <c r="C306" s="677" t="s">
        <v>497</v>
      </c>
      <c r="D306" s="678" t="s">
        <v>498</v>
      </c>
      <c r="E306" s="679">
        <v>50113001</v>
      </c>
      <c r="F306" s="678" t="s">
        <v>502</v>
      </c>
      <c r="G306" s="677" t="s">
        <v>503</v>
      </c>
      <c r="H306" s="677">
        <v>214616</v>
      </c>
      <c r="I306" s="677">
        <v>214616</v>
      </c>
      <c r="J306" s="677" t="s">
        <v>1029</v>
      </c>
      <c r="K306" s="677" t="s">
        <v>1030</v>
      </c>
      <c r="L306" s="680">
        <v>47.586101694915264</v>
      </c>
      <c r="M306" s="680">
        <v>59</v>
      </c>
      <c r="N306" s="681">
        <v>2807.5800000000004</v>
      </c>
    </row>
    <row r="307" spans="1:14" ht="14.4" customHeight="1" x14ac:dyDescent="0.3">
      <c r="A307" s="675" t="s">
        <v>484</v>
      </c>
      <c r="B307" s="676" t="s">
        <v>485</v>
      </c>
      <c r="C307" s="677" t="s">
        <v>497</v>
      </c>
      <c r="D307" s="678" t="s">
        <v>498</v>
      </c>
      <c r="E307" s="679">
        <v>50113001</v>
      </c>
      <c r="F307" s="678" t="s">
        <v>502</v>
      </c>
      <c r="G307" s="677" t="s">
        <v>503</v>
      </c>
      <c r="H307" s="677">
        <v>850072</v>
      </c>
      <c r="I307" s="677">
        <v>162502</v>
      </c>
      <c r="J307" s="677" t="s">
        <v>1031</v>
      </c>
      <c r="K307" s="677" t="s">
        <v>1032</v>
      </c>
      <c r="L307" s="680">
        <v>56.489999999999995</v>
      </c>
      <c r="M307" s="680">
        <v>7</v>
      </c>
      <c r="N307" s="681">
        <v>395.42999999999995</v>
      </c>
    </row>
    <row r="308" spans="1:14" ht="14.4" customHeight="1" x14ac:dyDescent="0.3">
      <c r="A308" s="675" t="s">
        <v>484</v>
      </c>
      <c r="B308" s="676" t="s">
        <v>485</v>
      </c>
      <c r="C308" s="677" t="s">
        <v>497</v>
      </c>
      <c r="D308" s="678" t="s">
        <v>498</v>
      </c>
      <c r="E308" s="679">
        <v>50113001</v>
      </c>
      <c r="F308" s="678" t="s">
        <v>502</v>
      </c>
      <c r="G308" s="677" t="s">
        <v>527</v>
      </c>
      <c r="H308" s="677">
        <v>190973</v>
      </c>
      <c r="I308" s="677">
        <v>190973</v>
      </c>
      <c r="J308" s="677" t="s">
        <v>1033</v>
      </c>
      <c r="K308" s="677" t="s">
        <v>932</v>
      </c>
      <c r="L308" s="680">
        <v>272.73</v>
      </c>
      <c r="M308" s="680">
        <v>2</v>
      </c>
      <c r="N308" s="681">
        <v>545.46</v>
      </c>
    </row>
    <row r="309" spans="1:14" ht="14.4" customHeight="1" x14ac:dyDescent="0.3">
      <c r="A309" s="675" t="s">
        <v>484</v>
      </c>
      <c r="B309" s="676" t="s">
        <v>485</v>
      </c>
      <c r="C309" s="677" t="s">
        <v>497</v>
      </c>
      <c r="D309" s="678" t="s">
        <v>498</v>
      </c>
      <c r="E309" s="679">
        <v>50113001</v>
      </c>
      <c r="F309" s="678" t="s">
        <v>502</v>
      </c>
      <c r="G309" s="677" t="s">
        <v>527</v>
      </c>
      <c r="H309" s="677">
        <v>190963</v>
      </c>
      <c r="I309" s="677">
        <v>190963</v>
      </c>
      <c r="J309" s="677" t="s">
        <v>1034</v>
      </c>
      <c r="K309" s="677" t="s">
        <v>932</v>
      </c>
      <c r="L309" s="680">
        <v>197.29</v>
      </c>
      <c r="M309" s="680">
        <v>1</v>
      </c>
      <c r="N309" s="681">
        <v>197.29</v>
      </c>
    </row>
    <row r="310" spans="1:14" ht="14.4" customHeight="1" x14ac:dyDescent="0.3">
      <c r="A310" s="675" t="s">
        <v>484</v>
      </c>
      <c r="B310" s="676" t="s">
        <v>485</v>
      </c>
      <c r="C310" s="677" t="s">
        <v>497</v>
      </c>
      <c r="D310" s="678" t="s">
        <v>498</v>
      </c>
      <c r="E310" s="679">
        <v>50113001</v>
      </c>
      <c r="F310" s="678" t="s">
        <v>502</v>
      </c>
      <c r="G310" s="677" t="s">
        <v>503</v>
      </c>
      <c r="H310" s="677">
        <v>154094</v>
      </c>
      <c r="I310" s="677">
        <v>54094</v>
      </c>
      <c r="J310" s="677" t="s">
        <v>1035</v>
      </c>
      <c r="K310" s="677" t="s">
        <v>1036</v>
      </c>
      <c r="L310" s="680">
        <v>112.15000000000006</v>
      </c>
      <c r="M310" s="680">
        <v>1</v>
      </c>
      <c r="N310" s="681">
        <v>112.15000000000006</v>
      </c>
    </row>
    <row r="311" spans="1:14" ht="14.4" customHeight="1" x14ac:dyDescent="0.3">
      <c r="A311" s="675" t="s">
        <v>484</v>
      </c>
      <c r="B311" s="676" t="s">
        <v>485</v>
      </c>
      <c r="C311" s="677" t="s">
        <v>497</v>
      </c>
      <c r="D311" s="678" t="s">
        <v>498</v>
      </c>
      <c r="E311" s="679">
        <v>50113001</v>
      </c>
      <c r="F311" s="678" t="s">
        <v>502</v>
      </c>
      <c r="G311" s="677" t="s">
        <v>486</v>
      </c>
      <c r="H311" s="677">
        <v>169251</v>
      </c>
      <c r="I311" s="677">
        <v>169251</v>
      </c>
      <c r="J311" s="677" t="s">
        <v>1037</v>
      </c>
      <c r="K311" s="677" t="s">
        <v>1038</v>
      </c>
      <c r="L311" s="680">
        <v>75.146666666666661</v>
      </c>
      <c r="M311" s="680">
        <v>3</v>
      </c>
      <c r="N311" s="681">
        <v>225.44</v>
      </c>
    </row>
    <row r="312" spans="1:14" ht="14.4" customHeight="1" x14ac:dyDescent="0.3">
      <c r="A312" s="675" t="s">
        <v>484</v>
      </c>
      <c r="B312" s="676" t="s">
        <v>485</v>
      </c>
      <c r="C312" s="677" t="s">
        <v>497</v>
      </c>
      <c r="D312" s="678" t="s">
        <v>498</v>
      </c>
      <c r="E312" s="679">
        <v>50113001</v>
      </c>
      <c r="F312" s="678" t="s">
        <v>502</v>
      </c>
      <c r="G312" s="677" t="s">
        <v>503</v>
      </c>
      <c r="H312" s="677">
        <v>844735</v>
      </c>
      <c r="I312" s="677">
        <v>115527</v>
      </c>
      <c r="J312" s="677" t="s">
        <v>1039</v>
      </c>
      <c r="K312" s="677" t="s">
        <v>1040</v>
      </c>
      <c r="L312" s="680">
        <v>251.38</v>
      </c>
      <c r="M312" s="680">
        <v>1</v>
      </c>
      <c r="N312" s="681">
        <v>251.38</v>
      </c>
    </row>
    <row r="313" spans="1:14" ht="14.4" customHeight="1" x14ac:dyDescent="0.3">
      <c r="A313" s="675" t="s">
        <v>484</v>
      </c>
      <c r="B313" s="676" t="s">
        <v>485</v>
      </c>
      <c r="C313" s="677" t="s">
        <v>497</v>
      </c>
      <c r="D313" s="678" t="s">
        <v>498</v>
      </c>
      <c r="E313" s="679">
        <v>50113001</v>
      </c>
      <c r="F313" s="678" t="s">
        <v>502</v>
      </c>
      <c r="G313" s="677" t="s">
        <v>527</v>
      </c>
      <c r="H313" s="677">
        <v>849896</v>
      </c>
      <c r="I313" s="677">
        <v>134281</v>
      </c>
      <c r="J313" s="677" t="s">
        <v>1041</v>
      </c>
      <c r="K313" s="677" t="s">
        <v>1042</v>
      </c>
      <c r="L313" s="680">
        <v>115.67014000708738</v>
      </c>
      <c r="M313" s="680">
        <v>1</v>
      </c>
      <c r="N313" s="681">
        <v>115.67014000708738</v>
      </c>
    </row>
    <row r="314" spans="1:14" ht="14.4" customHeight="1" x14ac:dyDescent="0.3">
      <c r="A314" s="675" t="s">
        <v>484</v>
      </c>
      <c r="B314" s="676" t="s">
        <v>485</v>
      </c>
      <c r="C314" s="677" t="s">
        <v>497</v>
      </c>
      <c r="D314" s="678" t="s">
        <v>498</v>
      </c>
      <c r="E314" s="679">
        <v>50113001</v>
      </c>
      <c r="F314" s="678" t="s">
        <v>502</v>
      </c>
      <c r="G314" s="677" t="s">
        <v>527</v>
      </c>
      <c r="H314" s="677">
        <v>158380</v>
      </c>
      <c r="I314" s="677">
        <v>58380</v>
      </c>
      <c r="J314" s="677" t="s">
        <v>1043</v>
      </c>
      <c r="K314" s="677" t="s">
        <v>1044</v>
      </c>
      <c r="L314" s="680">
        <v>81.211777777777797</v>
      </c>
      <c r="M314" s="680">
        <v>45</v>
      </c>
      <c r="N314" s="681">
        <v>3654.5300000000007</v>
      </c>
    </row>
    <row r="315" spans="1:14" ht="14.4" customHeight="1" x14ac:dyDescent="0.3">
      <c r="A315" s="675" t="s">
        <v>484</v>
      </c>
      <c r="B315" s="676" t="s">
        <v>485</v>
      </c>
      <c r="C315" s="677" t="s">
        <v>497</v>
      </c>
      <c r="D315" s="678" t="s">
        <v>498</v>
      </c>
      <c r="E315" s="679">
        <v>50113001</v>
      </c>
      <c r="F315" s="678" t="s">
        <v>502</v>
      </c>
      <c r="G315" s="677" t="s">
        <v>527</v>
      </c>
      <c r="H315" s="677">
        <v>201082</v>
      </c>
      <c r="I315" s="677">
        <v>201082</v>
      </c>
      <c r="J315" s="677" t="s">
        <v>1045</v>
      </c>
      <c r="K315" s="677" t="s">
        <v>1046</v>
      </c>
      <c r="L315" s="680">
        <v>98</v>
      </c>
      <c r="M315" s="680">
        <v>1</v>
      </c>
      <c r="N315" s="681">
        <v>98</v>
      </c>
    </row>
    <row r="316" spans="1:14" ht="14.4" customHeight="1" x14ac:dyDescent="0.3">
      <c r="A316" s="675" t="s">
        <v>484</v>
      </c>
      <c r="B316" s="676" t="s">
        <v>485</v>
      </c>
      <c r="C316" s="677" t="s">
        <v>497</v>
      </c>
      <c r="D316" s="678" t="s">
        <v>498</v>
      </c>
      <c r="E316" s="679">
        <v>50113001</v>
      </c>
      <c r="F316" s="678" t="s">
        <v>502</v>
      </c>
      <c r="G316" s="677" t="s">
        <v>486</v>
      </c>
      <c r="H316" s="677">
        <v>168651</v>
      </c>
      <c r="I316" s="677">
        <v>68651</v>
      </c>
      <c r="J316" s="677" t="s">
        <v>1047</v>
      </c>
      <c r="K316" s="677" t="s">
        <v>1048</v>
      </c>
      <c r="L316" s="680">
        <v>74.590000000000018</v>
      </c>
      <c r="M316" s="680">
        <v>1</v>
      </c>
      <c r="N316" s="681">
        <v>74.590000000000018</v>
      </c>
    </row>
    <row r="317" spans="1:14" ht="14.4" customHeight="1" x14ac:dyDescent="0.3">
      <c r="A317" s="675" t="s">
        <v>484</v>
      </c>
      <c r="B317" s="676" t="s">
        <v>485</v>
      </c>
      <c r="C317" s="677" t="s">
        <v>497</v>
      </c>
      <c r="D317" s="678" t="s">
        <v>498</v>
      </c>
      <c r="E317" s="679">
        <v>50113001</v>
      </c>
      <c r="F317" s="678" t="s">
        <v>502</v>
      </c>
      <c r="G317" s="677" t="s">
        <v>503</v>
      </c>
      <c r="H317" s="677">
        <v>142595</v>
      </c>
      <c r="I317" s="677">
        <v>42595</v>
      </c>
      <c r="J317" s="677" t="s">
        <v>1049</v>
      </c>
      <c r="K317" s="677" t="s">
        <v>1050</v>
      </c>
      <c r="L317" s="680">
        <v>945.18452615752221</v>
      </c>
      <c r="M317" s="680">
        <v>96</v>
      </c>
      <c r="N317" s="681">
        <v>90737.714511122133</v>
      </c>
    </row>
    <row r="318" spans="1:14" ht="14.4" customHeight="1" x14ac:dyDescent="0.3">
      <c r="A318" s="675" t="s">
        <v>484</v>
      </c>
      <c r="B318" s="676" t="s">
        <v>485</v>
      </c>
      <c r="C318" s="677" t="s">
        <v>497</v>
      </c>
      <c r="D318" s="678" t="s">
        <v>498</v>
      </c>
      <c r="E318" s="679">
        <v>50113001</v>
      </c>
      <c r="F318" s="678" t="s">
        <v>502</v>
      </c>
      <c r="G318" s="677" t="s">
        <v>503</v>
      </c>
      <c r="H318" s="677">
        <v>100643</v>
      </c>
      <c r="I318" s="677">
        <v>643</v>
      </c>
      <c r="J318" s="677" t="s">
        <v>1051</v>
      </c>
      <c r="K318" s="677" t="s">
        <v>1052</v>
      </c>
      <c r="L318" s="680">
        <v>43.319999999999986</v>
      </c>
      <c r="M318" s="680">
        <v>1</v>
      </c>
      <c r="N318" s="681">
        <v>43.319999999999986</v>
      </c>
    </row>
    <row r="319" spans="1:14" ht="14.4" customHeight="1" x14ac:dyDescent="0.3">
      <c r="A319" s="675" t="s">
        <v>484</v>
      </c>
      <c r="B319" s="676" t="s">
        <v>485</v>
      </c>
      <c r="C319" s="677" t="s">
        <v>497</v>
      </c>
      <c r="D319" s="678" t="s">
        <v>498</v>
      </c>
      <c r="E319" s="679">
        <v>50113001</v>
      </c>
      <c r="F319" s="678" t="s">
        <v>502</v>
      </c>
      <c r="G319" s="677" t="s">
        <v>503</v>
      </c>
      <c r="H319" s="677">
        <v>843996</v>
      </c>
      <c r="I319" s="677">
        <v>100191</v>
      </c>
      <c r="J319" s="677" t="s">
        <v>1053</v>
      </c>
      <c r="K319" s="677" t="s">
        <v>1054</v>
      </c>
      <c r="L319" s="680">
        <v>3652.0000000000005</v>
      </c>
      <c r="M319" s="680">
        <v>2</v>
      </c>
      <c r="N319" s="681">
        <v>7304.0000000000009</v>
      </c>
    </row>
    <row r="320" spans="1:14" ht="14.4" customHeight="1" x14ac:dyDescent="0.3">
      <c r="A320" s="675" t="s">
        <v>484</v>
      </c>
      <c r="B320" s="676" t="s">
        <v>485</v>
      </c>
      <c r="C320" s="677" t="s">
        <v>497</v>
      </c>
      <c r="D320" s="678" t="s">
        <v>498</v>
      </c>
      <c r="E320" s="679">
        <v>50113001</v>
      </c>
      <c r="F320" s="678" t="s">
        <v>502</v>
      </c>
      <c r="G320" s="677" t="s">
        <v>503</v>
      </c>
      <c r="H320" s="677">
        <v>148673</v>
      </c>
      <c r="I320" s="677">
        <v>148673</v>
      </c>
      <c r="J320" s="677" t="s">
        <v>1055</v>
      </c>
      <c r="K320" s="677" t="s">
        <v>713</v>
      </c>
      <c r="L320" s="680">
        <v>133.94</v>
      </c>
      <c r="M320" s="680">
        <v>1</v>
      </c>
      <c r="N320" s="681">
        <v>133.94</v>
      </c>
    </row>
    <row r="321" spans="1:14" ht="14.4" customHeight="1" x14ac:dyDescent="0.3">
      <c r="A321" s="675" t="s">
        <v>484</v>
      </c>
      <c r="B321" s="676" t="s">
        <v>485</v>
      </c>
      <c r="C321" s="677" t="s">
        <v>497</v>
      </c>
      <c r="D321" s="678" t="s">
        <v>498</v>
      </c>
      <c r="E321" s="679">
        <v>50113001</v>
      </c>
      <c r="F321" s="678" t="s">
        <v>502</v>
      </c>
      <c r="G321" s="677" t="s">
        <v>486</v>
      </c>
      <c r="H321" s="677">
        <v>190959</v>
      </c>
      <c r="I321" s="677">
        <v>90959</v>
      </c>
      <c r="J321" s="677" t="s">
        <v>1056</v>
      </c>
      <c r="K321" s="677" t="s">
        <v>1057</v>
      </c>
      <c r="L321" s="680">
        <v>61.239999999999995</v>
      </c>
      <c r="M321" s="680">
        <v>1</v>
      </c>
      <c r="N321" s="681">
        <v>61.239999999999995</v>
      </c>
    </row>
    <row r="322" spans="1:14" ht="14.4" customHeight="1" x14ac:dyDescent="0.3">
      <c r="A322" s="675" t="s">
        <v>484</v>
      </c>
      <c r="B322" s="676" t="s">
        <v>485</v>
      </c>
      <c r="C322" s="677" t="s">
        <v>497</v>
      </c>
      <c r="D322" s="678" t="s">
        <v>498</v>
      </c>
      <c r="E322" s="679">
        <v>50113001</v>
      </c>
      <c r="F322" s="678" t="s">
        <v>502</v>
      </c>
      <c r="G322" s="677" t="s">
        <v>527</v>
      </c>
      <c r="H322" s="677">
        <v>166030</v>
      </c>
      <c r="I322" s="677">
        <v>66030</v>
      </c>
      <c r="J322" s="677" t="s">
        <v>1058</v>
      </c>
      <c r="K322" s="677" t="s">
        <v>1059</v>
      </c>
      <c r="L322" s="680">
        <v>30.019999999999996</v>
      </c>
      <c r="M322" s="680">
        <v>1</v>
      </c>
      <c r="N322" s="681">
        <v>30.019999999999996</v>
      </c>
    </row>
    <row r="323" spans="1:14" ht="14.4" customHeight="1" x14ac:dyDescent="0.3">
      <c r="A323" s="675" t="s">
        <v>484</v>
      </c>
      <c r="B323" s="676" t="s">
        <v>485</v>
      </c>
      <c r="C323" s="677" t="s">
        <v>497</v>
      </c>
      <c r="D323" s="678" t="s">
        <v>498</v>
      </c>
      <c r="E323" s="679">
        <v>50113001</v>
      </c>
      <c r="F323" s="678" t="s">
        <v>502</v>
      </c>
      <c r="G323" s="677" t="s">
        <v>527</v>
      </c>
      <c r="H323" s="677">
        <v>153951</v>
      </c>
      <c r="I323" s="677">
        <v>53951</v>
      </c>
      <c r="J323" s="677" t="s">
        <v>1060</v>
      </c>
      <c r="K323" s="677" t="s">
        <v>1061</v>
      </c>
      <c r="L323" s="680">
        <v>184.78999999999988</v>
      </c>
      <c r="M323" s="680">
        <v>1</v>
      </c>
      <c r="N323" s="681">
        <v>184.78999999999988</v>
      </c>
    </row>
    <row r="324" spans="1:14" ht="14.4" customHeight="1" x14ac:dyDescent="0.3">
      <c r="A324" s="675" t="s">
        <v>484</v>
      </c>
      <c r="B324" s="676" t="s">
        <v>485</v>
      </c>
      <c r="C324" s="677" t="s">
        <v>497</v>
      </c>
      <c r="D324" s="678" t="s">
        <v>498</v>
      </c>
      <c r="E324" s="679">
        <v>50113001</v>
      </c>
      <c r="F324" s="678" t="s">
        <v>502</v>
      </c>
      <c r="G324" s="677" t="s">
        <v>527</v>
      </c>
      <c r="H324" s="677">
        <v>987473</v>
      </c>
      <c r="I324" s="677">
        <v>146894</v>
      </c>
      <c r="J324" s="677" t="s">
        <v>1062</v>
      </c>
      <c r="K324" s="677" t="s">
        <v>963</v>
      </c>
      <c r="L324" s="680">
        <v>22.064000000000007</v>
      </c>
      <c r="M324" s="680">
        <v>5</v>
      </c>
      <c r="N324" s="681">
        <v>110.32000000000004</v>
      </c>
    </row>
    <row r="325" spans="1:14" ht="14.4" customHeight="1" x14ac:dyDescent="0.3">
      <c r="A325" s="675" t="s">
        <v>484</v>
      </c>
      <c r="B325" s="676" t="s">
        <v>485</v>
      </c>
      <c r="C325" s="677" t="s">
        <v>497</v>
      </c>
      <c r="D325" s="678" t="s">
        <v>498</v>
      </c>
      <c r="E325" s="679">
        <v>50113001</v>
      </c>
      <c r="F325" s="678" t="s">
        <v>502</v>
      </c>
      <c r="G325" s="677" t="s">
        <v>527</v>
      </c>
      <c r="H325" s="677">
        <v>989453</v>
      </c>
      <c r="I325" s="677">
        <v>146899</v>
      </c>
      <c r="J325" s="677" t="s">
        <v>1062</v>
      </c>
      <c r="K325" s="677" t="s">
        <v>1063</v>
      </c>
      <c r="L325" s="680">
        <v>45.49</v>
      </c>
      <c r="M325" s="680">
        <v>1</v>
      </c>
      <c r="N325" s="681">
        <v>45.49</v>
      </c>
    </row>
    <row r="326" spans="1:14" ht="14.4" customHeight="1" x14ac:dyDescent="0.3">
      <c r="A326" s="675" t="s">
        <v>484</v>
      </c>
      <c r="B326" s="676" t="s">
        <v>485</v>
      </c>
      <c r="C326" s="677" t="s">
        <v>497</v>
      </c>
      <c r="D326" s="678" t="s">
        <v>498</v>
      </c>
      <c r="E326" s="679">
        <v>50113002</v>
      </c>
      <c r="F326" s="678" t="s">
        <v>1064</v>
      </c>
      <c r="G326" s="677" t="s">
        <v>503</v>
      </c>
      <c r="H326" s="677">
        <v>195947</v>
      </c>
      <c r="I326" s="677">
        <v>95947</v>
      </c>
      <c r="J326" s="677" t="s">
        <v>1065</v>
      </c>
      <c r="K326" s="677" t="s">
        <v>1066</v>
      </c>
      <c r="L326" s="680">
        <v>2081.1999999999998</v>
      </c>
      <c r="M326" s="680">
        <v>98.25</v>
      </c>
      <c r="N326" s="681">
        <v>204477.9</v>
      </c>
    </row>
    <row r="327" spans="1:14" ht="14.4" customHeight="1" x14ac:dyDescent="0.3">
      <c r="A327" s="675" t="s">
        <v>484</v>
      </c>
      <c r="B327" s="676" t="s">
        <v>485</v>
      </c>
      <c r="C327" s="677" t="s">
        <v>497</v>
      </c>
      <c r="D327" s="678" t="s">
        <v>498</v>
      </c>
      <c r="E327" s="679">
        <v>50113002</v>
      </c>
      <c r="F327" s="678" t="s">
        <v>1064</v>
      </c>
      <c r="G327" s="677" t="s">
        <v>503</v>
      </c>
      <c r="H327" s="677">
        <v>149415</v>
      </c>
      <c r="I327" s="677">
        <v>49415</v>
      </c>
      <c r="J327" s="677" t="s">
        <v>1067</v>
      </c>
      <c r="K327" s="677" t="s">
        <v>1068</v>
      </c>
      <c r="L327" s="680">
        <v>1680.5799748900263</v>
      </c>
      <c r="M327" s="680">
        <v>4</v>
      </c>
      <c r="N327" s="681">
        <v>6722.3198995601051</v>
      </c>
    </row>
    <row r="328" spans="1:14" ht="14.4" customHeight="1" x14ac:dyDescent="0.3">
      <c r="A328" s="675" t="s">
        <v>484</v>
      </c>
      <c r="B328" s="676" t="s">
        <v>485</v>
      </c>
      <c r="C328" s="677" t="s">
        <v>497</v>
      </c>
      <c r="D328" s="678" t="s">
        <v>498</v>
      </c>
      <c r="E328" s="679">
        <v>50113002</v>
      </c>
      <c r="F328" s="678" t="s">
        <v>1064</v>
      </c>
      <c r="G328" s="677" t="s">
        <v>503</v>
      </c>
      <c r="H328" s="677">
        <v>149409</v>
      </c>
      <c r="I328" s="677">
        <v>49409</v>
      </c>
      <c r="J328" s="677" t="s">
        <v>1069</v>
      </c>
      <c r="K328" s="677" t="s">
        <v>1068</v>
      </c>
      <c r="L328" s="680">
        <v>1329.4603571428574</v>
      </c>
      <c r="M328" s="680">
        <v>7</v>
      </c>
      <c r="N328" s="681">
        <v>9306.2225000000017</v>
      </c>
    </row>
    <row r="329" spans="1:14" ht="14.4" customHeight="1" x14ac:dyDescent="0.3">
      <c r="A329" s="675" t="s">
        <v>484</v>
      </c>
      <c r="B329" s="676" t="s">
        <v>485</v>
      </c>
      <c r="C329" s="677" t="s">
        <v>497</v>
      </c>
      <c r="D329" s="678" t="s">
        <v>498</v>
      </c>
      <c r="E329" s="679">
        <v>50113002</v>
      </c>
      <c r="F329" s="678" t="s">
        <v>1064</v>
      </c>
      <c r="G329" s="677" t="s">
        <v>503</v>
      </c>
      <c r="H329" s="677">
        <v>396914</v>
      </c>
      <c r="I329" s="677">
        <v>52301</v>
      </c>
      <c r="J329" s="677" t="s">
        <v>1070</v>
      </c>
      <c r="K329" s="677" t="s">
        <v>1071</v>
      </c>
      <c r="L329" s="680">
        <v>2221.34</v>
      </c>
      <c r="M329" s="680">
        <v>5</v>
      </c>
      <c r="N329" s="681">
        <v>11106.7</v>
      </c>
    </row>
    <row r="330" spans="1:14" ht="14.4" customHeight="1" x14ac:dyDescent="0.3">
      <c r="A330" s="675" t="s">
        <v>484</v>
      </c>
      <c r="B330" s="676" t="s">
        <v>485</v>
      </c>
      <c r="C330" s="677" t="s">
        <v>497</v>
      </c>
      <c r="D330" s="678" t="s">
        <v>498</v>
      </c>
      <c r="E330" s="679">
        <v>50113002</v>
      </c>
      <c r="F330" s="678" t="s">
        <v>1064</v>
      </c>
      <c r="G330" s="677" t="s">
        <v>503</v>
      </c>
      <c r="H330" s="677">
        <v>165317</v>
      </c>
      <c r="I330" s="677">
        <v>65317</v>
      </c>
      <c r="J330" s="677" t="s">
        <v>1072</v>
      </c>
      <c r="K330" s="677" t="s">
        <v>1073</v>
      </c>
      <c r="L330" s="680">
        <v>2188.9500000000003</v>
      </c>
      <c r="M330" s="680">
        <v>3</v>
      </c>
      <c r="N330" s="681">
        <v>6566.85</v>
      </c>
    </row>
    <row r="331" spans="1:14" ht="14.4" customHeight="1" x14ac:dyDescent="0.3">
      <c r="A331" s="675" t="s">
        <v>484</v>
      </c>
      <c r="B331" s="676" t="s">
        <v>485</v>
      </c>
      <c r="C331" s="677" t="s">
        <v>497</v>
      </c>
      <c r="D331" s="678" t="s">
        <v>498</v>
      </c>
      <c r="E331" s="679">
        <v>50113002</v>
      </c>
      <c r="F331" s="678" t="s">
        <v>1064</v>
      </c>
      <c r="G331" s="677" t="s">
        <v>503</v>
      </c>
      <c r="H331" s="677">
        <v>116337</v>
      </c>
      <c r="I331" s="677">
        <v>16337</v>
      </c>
      <c r="J331" s="677" t="s">
        <v>1074</v>
      </c>
      <c r="K331" s="677" t="s">
        <v>1075</v>
      </c>
      <c r="L331" s="680">
        <v>2062.5014712797702</v>
      </c>
      <c r="M331" s="680">
        <v>60</v>
      </c>
      <c r="N331" s="681">
        <v>123750.08827678621</v>
      </c>
    </row>
    <row r="332" spans="1:14" ht="14.4" customHeight="1" x14ac:dyDescent="0.3">
      <c r="A332" s="675" t="s">
        <v>484</v>
      </c>
      <c r="B332" s="676" t="s">
        <v>485</v>
      </c>
      <c r="C332" s="677" t="s">
        <v>497</v>
      </c>
      <c r="D332" s="678" t="s">
        <v>498</v>
      </c>
      <c r="E332" s="679">
        <v>50113002</v>
      </c>
      <c r="F332" s="678" t="s">
        <v>1064</v>
      </c>
      <c r="G332" s="677" t="s">
        <v>503</v>
      </c>
      <c r="H332" s="677">
        <v>116338</v>
      </c>
      <c r="I332" s="677">
        <v>16338</v>
      </c>
      <c r="J332" s="677" t="s">
        <v>1074</v>
      </c>
      <c r="K332" s="677" t="s">
        <v>1076</v>
      </c>
      <c r="L332" s="680">
        <v>3171.3000016809106</v>
      </c>
      <c r="M332" s="680">
        <v>43</v>
      </c>
      <c r="N332" s="681">
        <v>136365.90007227915</v>
      </c>
    </row>
    <row r="333" spans="1:14" ht="14.4" customHeight="1" x14ac:dyDescent="0.3">
      <c r="A333" s="675" t="s">
        <v>484</v>
      </c>
      <c r="B333" s="676" t="s">
        <v>485</v>
      </c>
      <c r="C333" s="677" t="s">
        <v>497</v>
      </c>
      <c r="D333" s="678" t="s">
        <v>498</v>
      </c>
      <c r="E333" s="679">
        <v>50113002</v>
      </c>
      <c r="F333" s="678" t="s">
        <v>1064</v>
      </c>
      <c r="G333" s="677" t="s">
        <v>503</v>
      </c>
      <c r="H333" s="677">
        <v>142003</v>
      </c>
      <c r="I333" s="677">
        <v>142003</v>
      </c>
      <c r="J333" s="677" t="s">
        <v>1077</v>
      </c>
      <c r="K333" s="677" t="s">
        <v>1068</v>
      </c>
      <c r="L333" s="680">
        <v>3410</v>
      </c>
      <c r="M333" s="680">
        <v>13</v>
      </c>
      <c r="N333" s="681">
        <v>44330</v>
      </c>
    </row>
    <row r="334" spans="1:14" ht="14.4" customHeight="1" x14ac:dyDescent="0.3">
      <c r="A334" s="675" t="s">
        <v>484</v>
      </c>
      <c r="B334" s="676" t="s">
        <v>485</v>
      </c>
      <c r="C334" s="677" t="s">
        <v>497</v>
      </c>
      <c r="D334" s="678" t="s">
        <v>498</v>
      </c>
      <c r="E334" s="679">
        <v>50113002</v>
      </c>
      <c r="F334" s="678" t="s">
        <v>1064</v>
      </c>
      <c r="G334" s="677" t="s">
        <v>503</v>
      </c>
      <c r="H334" s="677">
        <v>158628</v>
      </c>
      <c r="I334" s="677">
        <v>58628</v>
      </c>
      <c r="J334" s="677" t="s">
        <v>1078</v>
      </c>
      <c r="K334" s="677" t="s">
        <v>1079</v>
      </c>
      <c r="L334" s="680">
        <v>297</v>
      </c>
      <c r="M334" s="680">
        <v>85</v>
      </c>
      <c r="N334" s="681">
        <v>25245</v>
      </c>
    </row>
    <row r="335" spans="1:14" ht="14.4" customHeight="1" x14ac:dyDescent="0.3">
      <c r="A335" s="675" t="s">
        <v>484</v>
      </c>
      <c r="B335" s="676" t="s">
        <v>485</v>
      </c>
      <c r="C335" s="677" t="s">
        <v>497</v>
      </c>
      <c r="D335" s="678" t="s">
        <v>498</v>
      </c>
      <c r="E335" s="679">
        <v>50113002</v>
      </c>
      <c r="F335" s="678" t="s">
        <v>1064</v>
      </c>
      <c r="G335" s="677" t="s">
        <v>503</v>
      </c>
      <c r="H335" s="677">
        <v>95639</v>
      </c>
      <c r="I335" s="677">
        <v>95639</v>
      </c>
      <c r="J335" s="677" t="s">
        <v>1080</v>
      </c>
      <c r="K335" s="677" t="s">
        <v>1081</v>
      </c>
      <c r="L335" s="680">
        <v>2227.4899999999998</v>
      </c>
      <c r="M335" s="680">
        <v>1</v>
      </c>
      <c r="N335" s="681">
        <v>2227.4899999999998</v>
      </c>
    </row>
    <row r="336" spans="1:14" ht="14.4" customHeight="1" x14ac:dyDescent="0.3">
      <c r="A336" s="675" t="s">
        <v>484</v>
      </c>
      <c r="B336" s="676" t="s">
        <v>485</v>
      </c>
      <c r="C336" s="677" t="s">
        <v>497</v>
      </c>
      <c r="D336" s="678" t="s">
        <v>498</v>
      </c>
      <c r="E336" s="679">
        <v>50113002</v>
      </c>
      <c r="F336" s="678" t="s">
        <v>1064</v>
      </c>
      <c r="G336" s="677" t="s">
        <v>503</v>
      </c>
      <c r="H336" s="677">
        <v>152194</v>
      </c>
      <c r="I336" s="677">
        <v>152194</v>
      </c>
      <c r="J336" s="677" t="s">
        <v>1082</v>
      </c>
      <c r="K336" s="677" t="s">
        <v>1081</v>
      </c>
      <c r="L336" s="680">
        <v>3524.84</v>
      </c>
      <c r="M336" s="680">
        <v>2</v>
      </c>
      <c r="N336" s="681">
        <v>7049.68</v>
      </c>
    </row>
    <row r="337" spans="1:14" ht="14.4" customHeight="1" x14ac:dyDescent="0.3">
      <c r="A337" s="675" t="s">
        <v>484</v>
      </c>
      <c r="B337" s="676" t="s">
        <v>485</v>
      </c>
      <c r="C337" s="677" t="s">
        <v>497</v>
      </c>
      <c r="D337" s="678" t="s">
        <v>498</v>
      </c>
      <c r="E337" s="679">
        <v>50113002</v>
      </c>
      <c r="F337" s="678" t="s">
        <v>1064</v>
      </c>
      <c r="G337" s="677" t="s">
        <v>503</v>
      </c>
      <c r="H337" s="677">
        <v>397303</v>
      </c>
      <c r="I337" s="677">
        <v>152193</v>
      </c>
      <c r="J337" s="677" t="s">
        <v>1082</v>
      </c>
      <c r="K337" s="677" t="s">
        <v>1083</v>
      </c>
      <c r="L337" s="680">
        <v>2493.6999999999998</v>
      </c>
      <c r="M337" s="680">
        <v>4</v>
      </c>
      <c r="N337" s="681">
        <v>9974.7999999999993</v>
      </c>
    </row>
    <row r="338" spans="1:14" ht="14.4" customHeight="1" x14ac:dyDescent="0.3">
      <c r="A338" s="675" t="s">
        <v>484</v>
      </c>
      <c r="B338" s="676" t="s">
        <v>485</v>
      </c>
      <c r="C338" s="677" t="s">
        <v>497</v>
      </c>
      <c r="D338" s="678" t="s">
        <v>498</v>
      </c>
      <c r="E338" s="679">
        <v>50113002</v>
      </c>
      <c r="F338" s="678" t="s">
        <v>1064</v>
      </c>
      <c r="G338" s="677" t="s">
        <v>503</v>
      </c>
      <c r="H338" s="677">
        <v>103414</v>
      </c>
      <c r="I338" s="677">
        <v>3414</v>
      </c>
      <c r="J338" s="677" t="s">
        <v>1084</v>
      </c>
      <c r="K338" s="677" t="s">
        <v>1085</v>
      </c>
      <c r="L338" s="680">
        <v>2443.1899077631087</v>
      </c>
      <c r="M338" s="680">
        <v>167.79999999999998</v>
      </c>
      <c r="N338" s="681">
        <v>409967.26652264962</v>
      </c>
    </row>
    <row r="339" spans="1:14" ht="14.4" customHeight="1" x14ac:dyDescent="0.3">
      <c r="A339" s="675" t="s">
        <v>484</v>
      </c>
      <c r="B339" s="676" t="s">
        <v>485</v>
      </c>
      <c r="C339" s="677" t="s">
        <v>497</v>
      </c>
      <c r="D339" s="678" t="s">
        <v>498</v>
      </c>
      <c r="E339" s="679">
        <v>50113002</v>
      </c>
      <c r="F339" s="678" t="s">
        <v>1064</v>
      </c>
      <c r="G339" s="677" t="s">
        <v>503</v>
      </c>
      <c r="H339" s="677">
        <v>111453</v>
      </c>
      <c r="I339" s="677">
        <v>11453</v>
      </c>
      <c r="J339" s="677" t="s">
        <v>1086</v>
      </c>
      <c r="K339" s="677" t="s">
        <v>1087</v>
      </c>
      <c r="L339" s="680">
        <v>2719.1999999999994</v>
      </c>
      <c r="M339" s="680">
        <v>2</v>
      </c>
      <c r="N339" s="681">
        <v>5438.3999999999987</v>
      </c>
    </row>
    <row r="340" spans="1:14" ht="14.4" customHeight="1" x14ac:dyDescent="0.3">
      <c r="A340" s="675" t="s">
        <v>484</v>
      </c>
      <c r="B340" s="676" t="s">
        <v>485</v>
      </c>
      <c r="C340" s="677" t="s">
        <v>497</v>
      </c>
      <c r="D340" s="678" t="s">
        <v>498</v>
      </c>
      <c r="E340" s="679">
        <v>50113002</v>
      </c>
      <c r="F340" s="678" t="s">
        <v>1064</v>
      </c>
      <c r="G340" s="677" t="s">
        <v>503</v>
      </c>
      <c r="H340" s="677">
        <v>157116</v>
      </c>
      <c r="I340" s="677">
        <v>157116</v>
      </c>
      <c r="J340" s="677" t="s">
        <v>1088</v>
      </c>
      <c r="K340" s="677" t="s">
        <v>1089</v>
      </c>
      <c r="L340" s="680">
        <v>4224</v>
      </c>
      <c r="M340" s="680">
        <v>1</v>
      </c>
      <c r="N340" s="681">
        <v>4224</v>
      </c>
    </row>
    <row r="341" spans="1:14" ht="14.4" customHeight="1" x14ac:dyDescent="0.3">
      <c r="A341" s="675" t="s">
        <v>484</v>
      </c>
      <c r="B341" s="676" t="s">
        <v>485</v>
      </c>
      <c r="C341" s="677" t="s">
        <v>497</v>
      </c>
      <c r="D341" s="678" t="s">
        <v>498</v>
      </c>
      <c r="E341" s="679">
        <v>50113002</v>
      </c>
      <c r="F341" s="678" t="s">
        <v>1064</v>
      </c>
      <c r="G341" s="677" t="s">
        <v>503</v>
      </c>
      <c r="H341" s="677">
        <v>394774</v>
      </c>
      <c r="I341" s="677">
        <v>157118</v>
      </c>
      <c r="J341" s="677" t="s">
        <v>1088</v>
      </c>
      <c r="K341" s="677" t="s">
        <v>1087</v>
      </c>
      <c r="L341" s="680">
        <v>3740</v>
      </c>
      <c r="M341" s="680">
        <v>1</v>
      </c>
      <c r="N341" s="681">
        <v>3740</v>
      </c>
    </row>
    <row r="342" spans="1:14" ht="14.4" customHeight="1" x14ac:dyDescent="0.3">
      <c r="A342" s="675" t="s">
        <v>484</v>
      </c>
      <c r="B342" s="676" t="s">
        <v>485</v>
      </c>
      <c r="C342" s="677" t="s">
        <v>497</v>
      </c>
      <c r="D342" s="678" t="s">
        <v>498</v>
      </c>
      <c r="E342" s="679">
        <v>50113002</v>
      </c>
      <c r="F342" s="678" t="s">
        <v>1064</v>
      </c>
      <c r="G342" s="677" t="s">
        <v>503</v>
      </c>
      <c r="H342" s="677">
        <v>397371</v>
      </c>
      <c r="I342" s="677">
        <v>157110</v>
      </c>
      <c r="J342" s="677" t="s">
        <v>1090</v>
      </c>
      <c r="K342" s="677" t="s">
        <v>1091</v>
      </c>
      <c r="L342" s="680">
        <v>4197.5999999999985</v>
      </c>
      <c r="M342" s="680">
        <v>1</v>
      </c>
      <c r="N342" s="681">
        <v>4197.5999999999985</v>
      </c>
    </row>
    <row r="343" spans="1:14" ht="14.4" customHeight="1" x14ac:dyDescent="0.3">
      <c r="A343" s="675" t="s">
        <v>484</v>
      </c>
      <c r="B343" s="676" t="s">
        <v>485</v>
      </c>
      <c r="C343" s="677" t="s">
        <v>497</v>
      </c>
      <c r="D343" s="678" t="s">
        <v>498</v>
      </c>
      <c r="E343" s="679">
        <v>50113002</v>
      </c>
      <c r="F343" s="678" t="s">
        <v>1064</v>
      </c>
      <c r="G343" s="677" t="s">
        <v>503</v>
      </c>
      <c r="H343" s="677">
        <v>500716</v>
      </c>
      <c r="I343" s="677">
        <v>157112</v>
      </c>
      <c r="J343" s="677" t="s">
        <v>1090</v>
      </c>
      <c r="K343" s="677" t="s">
        <v>1087</v>
      </c>
      <c r="L343" s="680">
        <v>3827.9999999999986</v>
      </c>
      <c r="M343" s="680">
        <v>1</v>
      </c>
      <c r="N343" s="681">
        <v>3827.9999999999986</v>
      </c>
    </row>
    <row r="344" spans="1:14" ht="14.4" customHeight="1" x14ac:dyDescent="0.3">
      <c r="A344" s="675" t="s">
        <v>484</v>
      </c>
      <c r="B344" s="676" t="s">
        <v>485</v>
      </c>
      <c r="C344" s="677" t="s">
        <v>497</v>
      </c>
      <c r="D344" s="678" t="s">
        <v>498</v>
      </c>
      <c r="E344" s="679">
        <v>50113002</v>
      </c>
      <c r="F344" s="678" t="s">
        <v>1064</v>
      </c>
      <c r="G344" s="677" t="s">
        <v>503</v>
      </c>
      <c r="H344" s="677">
        <v>118735</v>
      </c>
      <c r="I344" s="677">
        <v>18735</v>
      </c>
      <c r="J344" s="677" t="s">
        <v>1092</v>
      </c>
      <c r="K344" s="677" t="s">
        <v>1093</v>
      </c>
      <c r="L344" s="680">
        <v>3787.1700000000005</v>
      </c>
      <c r="M344" s="680">
        <v>1</v>
      </c>
      <c r="N344" s="681">
        <v>3787.1700000000005</v>
      </c>
    </row>
    <row r="345" spans="1:14" ht="14.4" customHeight="1" x14ac:dyDescent="0.3">
      <c r="A345" s="675" t="s">
        <v>484</v>
      </c>
      <c r="B345" s="676" t="s">
        <v>485</v>
      </c>
      <c r="C345" s="677" t="s">
        <v>497</v>
      </c>
      <c r="D345" s="678" t="s">
        <v>498</v>
      </c>
      <c r="E345" s="679">
        <v>50113006</v>
      </c>
      <c r="F345" s="678" t="s">
        <v>1094</v>
      </c>
      <c r="G345" s="677" t="s">
        <v>503</v>
      </c>
      <c r="H345" s="677">
        <v>991356</v>
      </c>
      <c r="I345" s="677">
        <v>0</v>
      </c>
      <c r="J345" s="677" t="s">
        <v>1095</v>
      </c>
      <c r="K345" s="677" t="s">
        <v>486</v>
      </c>
      <c r="L345" s="680">
        <v>732.81</v>
      </c>
      <c r="M345" s="680">
        <v>5</v>
      </c>
      <c r="N345" s="681">
        <v>3664.0499999999997</v>
      </c>
    </row>
    <row r="346" spans="1:14" ht="14.4" customHeight="1" x14ac:dyDescent="0.3">
      <c r="A346" s="675" t="s">
        <v>484</v>
      </c>
      <c r="B346" s="676" t="s">
        <v>485</v>
      </c>
      <c r="C346" s="677" t="s">
        <v>497</v>
      </c>
      <c r="D346" s="678" t="s">
        <v>498</v>
      </c>
      <c r="E346" s="679">
        <v>50113006</v>
      </c>
      <c r="F346" s="678" t="s">
        <v>1094</v>
      </c>
      <c r="G346" s="677" t="s">
        <v>527</v>
      </c>
      <c r="H346" s="677">
        <v>133343</v>
      </c>
      <c r="I346" s="677">
        <v>33343</v>
      </c>
      <c r="J346" s="677" t="s">
        <v>1096</v>
      </c>
      <c r="K346" s="677" t="s">
        <v>1097</v>
      </c>
      <c r="L346" s="680">
        <v>41.179999999999993</v>
      </c>
      <c r="M346" s="680">
        <v>8</v>
      </c>
      <c r="N346" s="681">
        <v>329.43999999999994</v>
      </c>
    </row>
    <row r="347" spans="1:14" ht="14.4" customHeight="1" x14ac:dyDescent="0.3">
      <c r="A347" s="675" t="s">
        <v>484</v>
      </c>
      <c r="B347" s="676" t="s">
        <v>485</v>
      </c>
      <c r="C347" s="677" t="s">
        <v>497</v>
      </c>
      <c r="D347" s="678" t="s">
        <v>498</v>
      </c>
      <c r="E347" s="679">
        <v>50113006</v>
      </c>
      <c r="F347" s="678" t="s">
        <v>1094</v>
      </c>
      <c r="G347" s="677" t="s">
        <v>527</v>
      </c>
      <c r="H347" s="677">
        <v>217110</v>
      </c>
      <c r="I347" s="677">
        <v>217110</v>
      </c>
      <c r="J347" s="677" t="s">
        <v>1098</v>
      </c>
      <c r="K347" s="677" t="s">
        <v>1099</v>
      </c>
      <c r="L347" s="680">
        <v>165.86500000000004</v>
      </c>
      <c r="M347" s="680">
        <v>2</v>
      </c>
      <c r="N347" s="681">
        <v>331.73000000000008</v>
      </c>
    </row>
    <row r="348" spans="1:14" ht="14.4" customHeight="1" x14ac:dyDescent="0.3">
      <c r="A348" s="675" t="s">
        <v>484</v>
      </c>
      <c r="B348" s="676" t="s">
        <v>485</v>
      </c>
      <c r="C348" s="677" t="s">
        <v>497</v>
      </c>
      <c r="D348" s="678" t="s">
        <v>498</v>
      </c>
      <c r="E348" s="679">
        <v>50113006</v>
      </c>
      <c r="F348" s="678" t="s">
        <v>1094</v>
      </c>
      <c r="G348" s="677" t="s">
        <v>527</v>
      </c>
      <c r="H348" s="677">
        <v>133341</v>
      </c>
      <c r="I348" s="677">
        <v>33341</v>
      </c>
      <c r="J348" s="677" t="s">
        <v>1100</v>
      </c>
      <c r="K348" s="677" t="s">
        <v>1097</v>
      </c>
      <c r="L348" s="680">
        <v>41.18</v>
      </c>
      <c r="M348" s="680">
        <v>8</v>
      </c>
      <c r="N348" s="681">
        <v>329.44</v>
      </c>
    </row>
    <row r="349" spans="1:14" ht="14.4" customHeight="1" x14ac:dyDescent="0.3">
      <c r="A349" s="675" t="s">
        <v>484</v>
      </c>
      <c r="B349" s="676" t="s">
        <v>485</v>
      </c>
      <c r="C349" s="677" t="s">
        <v>497</v>
      </c>
      <c r="D349" s="678" t="s">
        <v>498</v>
      </c>
      <c r="E349" s="679">
        <v>50113006</v>
      </c>
      <c r="F349" s="678" t="s">
        <v>1094</v>
      </c>
      <c r="G349" s="677" t="s">
        <v>527</v>
      </c>
      <c r="H349" s="677">
        <v>133339</v>
      </c>
      <c r="I349" s="677">
        <v>33339</v>
      </c>
      <c r="J349" s="677" t="s">
        <v>1101</v>
      </c>
      <c r="K349" s="677" t="s">
        <v>1097</v>
      </c>
      <c r="L349" s="680">
        <v>40.919999999999995</v>
      </c>
      <c r="M349" s="680">
        <v>27</v>
      </c>
      <c r="N349" s="681">
        <v>1104.8399999999999</v>
      </c>
    </row>
    <row r="350" spans="1:14" ht="14.4" customHeight="1" x14ac:dyDescent="0.3">
      <c r="A350" s="675" t="s">
        <v>484</v>
      </c>
      <c r="B350" s="676" t="s">
        <v>485</v>
      </c>
      <c r="C350" s="677" t="s">
        <v>497</v>
      </c>
      <c r="D350" s="678" t="s">
        <v>498</v>
      </c>
      <c r="E350" s="679">
        <v>50113006</v>
      </c>
      <c r="F350" s="678" t="s">
        <v>1094</v>
      </c>
      <c r="G350" s="677" t="s">
        <v>527</v>
      </c>
      <c r="H350" s="677">
        <v>133340</v>
      </c>
      <c r="I350" s="677">
        <v>33340</v>
      </c>
      <c r="J350" s="677" t="s">
        <v>1102</v>
      </c>
      <c r="K350" s="677" t="s">
        <v>1097</v>
      </c>
      <c r="L350" s="680">
        <v>40.92</v>
      </c>
      <c r="M350" s="680">
        <v>65</v>
      </c>
      <c r="N350" s="681">
        <v>2659.8</v>
      </c>
    </row>
    <row r="351" spans="1:14" ht="14.4" customHeight="1" x14ac:dyDescent="0.3">
      <c r="A351" s="675" t="s">
        <v>484</v>
      </c>
      <c r="B351" s="676" t="s">
        <v>485</v>
      </c>
      <c r="C351" s="677" t="s">
        <v>497</v>
      </c>
      <c r="D351" s="678" t="s">
        <v>498</v>
      </c>
      <c r="E351" s="679">
        <v>50113006</v>
      </c>
      <c r="F351" s="678" t="s">
        <v>1094</v>
      </c>
      <c r="G351" s="677" t="s">
        <v>503</v>
      </c>
      <c r="H351" s="677">
        <v>33788</v>
      </c>
      <c r="I351" s="677">
        <v>33788</v>
      </c>
      <c r="J351" s="677" t="s">
        <v>1103</v>
      </c>
      <c r="K351" s="677" t="s">
        <v>1104</v>
      </c>
      <c r="L351" s="680">
        <v>40.629999999999995</v>
      </c>
      <c r="M351" s="680">
        <v>47</v>
      </c>
      <c r="N351" s="681">
        <v>1909.6099999999997</v>
      </c>
    </row>
    <row r="352" spans="1:14" ht="14.4" customHeight="1" x14ac:dyDescent="0.3">
      <c r="A352" s="675" t="s">
        <v>484</v>
      </c>
      <c r="B352" s="676" t="s">
        <v>485</v>
      </c>
      <c r="C352" s="677" t="s">
        <v>497</v>
      </c>
      <c r="D352" s="678" t="s">
        <v>498</v>
      </c>
      <c r="E352" s="679">
        <v>50113006</v>
      </c>
      <c r="F352" s="678" t="s">
        <v>1094</v>
      </c>
      <c r="G352" s="677" t="s">
        <v>503</v>
      </c>
      <c r="H352" s="677">
        <v>217075</v>
      </c>
      <c r="I352" s="677">
        <v>217075</v>
      </c>
      <c r="J352" s="677" t="s">
        <v>1105</v>
      </c>
      <c r="K352" s="677" t="s">
        <v>1106</v>
      </c>
      <c r="L352" s="680">
        <v>162.07777777777775</v>
      </c>
      <c r="M352" s="680">
        <v>18</v>
      </c>
      <c r="N352" s="681">
        <v>2917.3999999999996</v>
      </c>
    </row>
    <row r="353" spans="1:14" ht="14.4" customHeight="1" x14ac:dyDescent="0.3">
      <c r="A353" s="675" t="s">
        <v>484</v>
      </c>
      <c r="B353" s="676" t="s">
        <v>485</v>
      </c>
      <c r="C353" s="677" t="s">
        <v>497</v>
      </c>
      <c r="D353" s="678" t="s">
        <v>498</v>
      </c>
      <c r="E353" s="679">
        <v>50113006</v>
      </c>
      <c r="F353" s="678" t="s">
        <v>1094</v>
      </c>
      <c r="G353" s="677" t="s">
        <v>503</v>
      </c>
      <c r="H353" s="677">
        <v>33790</v>
      </c>
      <c r="I353" s="677">
        <v>33790</v>
      </c>
      <c r="J353" s="677" t="s">
        <v>1107</v>
      </c>
      <c r="K353" s="677" t="s">
        <v>1104</v>
      </c>
      <c r="L353" s="680">
        <v>40.630000000000003</v>
      </c>
      <c r="M353" s="680">
        <v>47</v>
      </c>
      <c r="N353" s="681">
        <v>1909.6100000000001</v>
      </c>
    </row>
    <row r="354" spans="1:14" ht="14.4" customHeight="1" x14ac:dyDescent="0.3">
      <c r="A354" s="675" t="s">
        <v>484</v>
      </c>
      <c r="B354" s="676" t="s">
        <v>485</v>
      </c>
      <c r="C354" s="677" t="s">
        <v>497</v>
      </c>
      <c r="D354" s="678" t="s">
        <v>498</v>
      </c>
      <c r="E354" s="679">
        <v>50113006</v>
      </c>
      <c r="F354" s="678" t="s">
        <v>1094</v>
      </c>
      <c r="G354" s="677" t="s">
        <v>503</v>
      </c>
      <c r="H354" s="677">
        <v>217077</v>
      </c>
      <c r="I354" s="677">
        <v>217077</v>
      </c>
      <c r="J354" s="677" t="s">
        <v>1107</v>
      </c>
      <c r="K354" s="677" t="s">
        <v>1106</v>
      </c>
      <c r="L354" s="680">
        <v>162.12666666666664</v>
      </c>
      <c r="M354" s="680">
        <v>12</v>
      </c>
      <c r="N354" s="681">
        <v>1945.5199999999998</v>
      </c>
    </row>
    <row r="355" spans="1:14" ht="14.4" customHeight="1" x14ac:dyDescent="0.3">
      <c r="A355" s="675" t="s">
        <v>484</v>
      </c>
      <c r="B355" s="676" t="s">
        <v>485</v>
      </c>
      <c r="C355" s="677" t="s">
        <v>497</v>
      </c>
      <c r="D355" s="678" t="s">
        <v>498</v>
      </c>
      <c r="E355" s="679">
        <v>50113006</v>
      </c>
      <c r="F355" s="678" t="s">
        <v>1094</v>
      </c>
      <c r="G355" s="677" t="s">
        <v>503</v>
      </c>
      <c r="H355" s="677">
        <v>841569</v>
      </c>
      <c r="I355" s="677">
        <v>0</v>
      </c>
      <c r="J355" s="677" t="s">
        <v>1108</v>
      </c>
      <c r="K355" s="677" t="s">
        <v>486</v>
      </c>
      <c r="L355" s="680">
        <v>1161.0999999999997</v>
      </c>
      <c r="M355" s="680">
        <v>1</v>
      </c>
      <c r="N355" s="681">
        <v>1161.0999999999997</v>
      </c>
    </row>
    <row r="356" spans="1:14" ht="14.4" customHeight="1" x14ac:dyDescent="0.3">
      <c r="A356" s="675" t="s">
        <v>484</v>
      </c>
      <c r="B356" s="676" t="s">
        <v>485</v>
      </c>
      <c r="C356" s="677" t="s">
        <v>497</v>
      </c>
      <c r="D356" s="678" t="s">
        <v>498</v>
      </c>
      <c r="E356" s="679">
        <v>50113006</v>
      </c>
      <c r="F356" s="678" t="s">
        <v>1094</v>
      </c>
      <c r="G356" s="677" t="s">
        <v>503</v>
      </c>
      <c r="H356" s="677">
        <v>990223</v>
      </c>
      <c r="I356" s="677">
        <v>0</v>
      </c>
      <c r="J356" s="677" t="s">
        <v>1109</v>
      </c>
      <c r="K356" s="677" t="s">
        <v>486</v>
      </c>
      <c r="L356" s="680">
        <v>195.08600000000001</v>
      </c>
      <c r="M356" s="680">
        <v>75</v>
      </c>
      <c r="N356" s="681">
        <v>14631.45</v>
      </c>
    </row>
    <row r="357" spans="1:14" ht="14.4" customHeight="1" x14ac:dyDescent="0.3">
      <c r="A357" s="675" t="s">
        <v>484</v>
      </c>
      <c r="B357" s="676" t="s">
        <v>485</v>
      </c>
      <c r="C357" s="677" t="s">
        <v>497</v>
      </c>
      <c r="D357" s="678" t="s">
        <v>498</v>
      </c>
      <c r="E357" s="679">
        <v>50113006</v>
      </c>
      <c r="F357" s="678" t="s">
        <v>1094</v>
      </c>
      <c r="G357" s="677" t="s">
        <v>527</v>
      </c>
      <c r="H357" s="677">
        <v>987792</v>
      </c>
      <c r="I357" s="677">
        <v>33749</v>
      </c>
      <c r="J357" s="677" t="s">
        <v>1110</v>
      </c>
      <c r="K357" s="677" t="s">
        <v>1111</v>
      </c>
      <c r="L357" s="680">
        <v>111.94994807317364</v>
      </c>
      <c r="M357" s="680">
        <v>7</v>
      </c>
      <c r="N357" s="681">
        <v>783.64963651221547</v>
      </c>
    </row>
    <row r="358" spans="1:14" ht="14.4" customHeight="1" x14ac:dyDescent="0.3">
      <c r="A358" s="675" t="s">
        <v>484</v>
      </c>
      <c r="B358" s="676" t="s">
        <v>485</v>
      </c>
      <c r="C358" s="677" t="s">
        <v>497</v>
      </c>
      <c r="D358" s="678" t="s">
        <v>498</v>
      </c>
      <c r="E358" s="679">
        <v>50113006</v>
      </c>
      <c r="F358" s="678" t="s">
        <v>1094</v>
      </c>
      <c r="G358" s="677" t="s">
        <v>527</v>
      </c>
      <c r="H358" s="677">
        <v>33751</v>
      </c>
      <c r="I358" s="677">
        <v>33751</v>
      </c>
      <c r="J358" s="677" t="s">
        <v>1112</v>
      </c>
      <c r="K358" s="677" t="s">
        <v>1111</v>
      </c>
      <c r="L358" s="680">
        <v>111.95</v>
      </c>
      <c r="M358" s="680">
        <v>4</v>
      </c>
      <c r="N358" s="681">
        <v>447.8</v>
      </c>
    </row>
    <row r="359" spans="1:14" ht="14.4" customHeight="1" x14ac:dyDescent="0.3">
      <c r="A359" s="675" t="s">
        <v>484</v>
      </c>
      <c r="B359" s="676" t="s">
        <v>485</v>
      </c>
      <c r="C359" s="677" t="s">
        <v>497</v>
      </c>
      <c r="D359" s="678" t="s">
        <v>498</v>
      </c>
      <c r="E359" s="679">
        <v>50113006</v>
      </c>
      <c r="F359" s="678" t="s">
        <v>1094</v>
      </c>
      <c r="G359" s="677" t="s">
        <v>527</v>
      </c>
      <c r="H359" s="677">
        <v>395579</v>
      </c>
      <c r="I359" s="677">
        <v>33752</v>
      </c>
      <c r="J359" s="677" t="s">
        <v>1113</v>
      </c>
      <c r="K359" s="677" t="s">
        <v>1114</v>
      </c>
      <c r="L359" s="680">
        <v>111.95000000000003</v>
      </c>
      <c r="M359" s="680">
        <v>2</v>
      </c>
      <c r="N359" s="681">
        <v>223.90000000000006</v>
      </c>
    </row>
    <row r="360" spans="1:14" ht="14.4" customHeight="1" x14ac:dyDescent="0.3">
      <c r="A360" s="675" t="s">
        <v>484</v>
      </c>
      <c r="B360" s="676" t="s">
        <v>485</v>
      </c>
      <c r="C360" s="677" t="s">
        <v>497</v>
      </c>
      <c r="D360" s="678" t="s">
        <v>498</v>
      </c>
      <c r="E360" s="679">
        <v>50113006</v>
      </c>
      <c r="F360" s="678" t="s">
        <v>1094</v>
      </c>
      <c r="G360" s="677" t="s">
        <v>527</v>
      </c>
      <c r="H360" s="677">
        <v>33750</v>
      </c>
      <c r="I360" s="677">
        <v>33750</v>
      </c>
      <c r="J360" s="677" t="s">
        <v>1115</v>
      </c>
      <c r="K360" s="677" t="s">
        <v>1111</v>
      </c>
      <c r="L360" s="680">
        <v>111.95005846647227</v>
      </c>
      <c r="M360" s="680">
        <v>6</v>
      </c>
      <c r="N360" s="681">
        <v>671.7003507988336</v>
      </c>
    </row>
    <row r="361" spans="1:14" ht="14.4" customHeight="1" x14ac:dyDescent="0.3">
      <c r="A361" s="675" t="s">
        <v>484</v>
      </c>
      <c r="B361" s="676" t="s">
        <v>485</v>
      </c>
      <c r="C361" s="677" t="s">
        <v>497</v>
      </c>
      <c r="D361" s="678" t="s">
        <v>498</v>
      </c>
      <c r="E361" s="679">
        <v>50113006</v>
      </c>
      <c r="F361" s="678" t="s">
        <v>1094</v>
      </c>
      <c r="G361" s="677" t="s">
        <v>527</v>
      </c>
      <c r="H361" s="677">
        <v>33859</v>
      </c>
      <c r="I361" s="677">
        <v>33859</v>
      </c>
      <c r="J361" s="677" t="s">
        <v>1116</v>
      </c>
      <c r="K361" s="677" t="s">
        <v>1099</v>
      </c>
      <c r="L361" s="680">
        <v>129.97</v>
      </c>
      <c r="M361" s="680">
        <v>11</v>
      </c>
      <c r="N361" s="681">
        <v>1429.67</v>
      </c>
    </row>
    <row r="362" spans="1:14" ht="14.4" customHeight="1" x14ac:dyDescent="0.3">
      <c r="A362" s="675" t="s">
        <v>484</v>
      </c>
      <c r="B362" s="676" t="s">
        <v>485</v>
      </c>
      <c r="C362" s="677" t="s">
        <v>497</v>
      </c>
      <c r="D362" s="678" t="s">
        <v>498</v>
      </c>
      <c r="E362" s="679">
        <v>50113006</v>
      </c>
      <c r="F362" s="678" t="s">
        <v>1094</v>
      </c>
      <c r="G362" s="677" t="s">
        <v>527</v>
      </c>
      <c r="H362" s="677">
        <v>33858</v>
      </c>
      <c r="I362" s="677">
        <v>33858</v>
      </c>
      <c r="J362" s="677" t="s">
        <v>1117</v>
      </c>
      <c r="K362" s="677" t="s">
        <v>1099</v>
      </c>
      <c r="L362" s="680">
        <v>129.97000000000003</v>
      </c>
      <c r="M362" s="680">
        <v>4</v>
      </c>
      <c r="N362" s="681">
        <v>519.88000000000011</v>
      </c>
    </row>
    <row r="363" spans="1:14" ht="14.4" customHeight="1" x14ac:dyDescent="0.3">
      <c r="A363" s="675" t="s">
        <v>484</v>
      </c>
      <c r="B363" s="676" t="s">
        <v>485</v>
      </c>
      <c r="C363" s="677" t="s">
        <v>497</v>
      </c>
      <c r="D363" s="678" t="s">
        <v>498</v>
      </c>
      <c r="E363" s="679">
        <v>50113006</v>
      </c>
      <c r="F363" s="678" t="s">
        <v>1094</v>
      </c>
      <c r="G363" s="677" t="s">
        <v>527</v>
      </c>
      <c r="H363" s="677">
        <v>33848</v>
      </c>
      <c r="I363" s="677">
        <v>33848</v>
      </c>
      <c r="J363" s="677" t="s">
        <v>1118</v>
      </c>
      <c r="K363" s="677" t="s">
        <v>1099</v>
      </c>
      <c r="L363" s="680">
        <v>122.68999999999998</v>
      </c>
      <c r="M363" s="680">
        <v>7</v>
      </c>
      <c r="N363" s="681">
        <v>858.82999999999993</v>
      </c>
    </row>
    <row r="364" spans="1:14" ht="14.4" customHeight="1" x14ac:dyDescent="0.3">
      <c r="A364" s="675" t="s">
        <v>484</v>
      </c>
      <c r="B364" s="676" t="s">
        <v>485</v>
      </c>
      <c r="C364" s="677" t="s">
        <v>497</v>
      </c>
      <c r="D364" s="678" t="s">
        <v>498</v>
      </c>
      <c r="E364" s="679">
        <v>50113006</v>
      </c>
      <c r="F364" s="678" t="s">
        <v>1094</v>
      </c>
      <c r="G364" s="677" t="s">
        <v>527</v>
      </c>
      <c r="H364" s="677">
        <v>990352</v>
      </c>
      <c r="I364" s="677">
        <v>33935</v>
      </c>
      <c r="J364" s="677" t="s">
        <v>1119</v>
      </c>
      <c r="K364" s="677" t="s">
        <v>1097</v>
      </c>
      <c r="L364" s="680">
        <v>30.669999999999995</v>
      </c>
      <c r="M364" s="680">
        <v>4</v>
      </c>
      <c r="N364" s="681">
        <v>122.67999999999998</v>
      </c>
    </row>
    <row r="365" spans="1:14" ht="14.4" customHeight="1" x14ac:dyDescent="0.3">
      <c r="A365" s="675" t="s">
        <v>484</v>
      </c>
      <c r="B365" s="676" t="s">
        <v>485</v>
      </c>
      <c r="C365" s="677" t="s">
        <v>497</v>
      </c>
      <c r="D365" s="678" t="s">
        <v>498</v>
      </c>
      <c r="E365" s="679">
        <v>50113006</v>
      </c>
      <c r="F365" s="678" t="s">
        <v>1094</v>
      </c>
      <c r="G365" s="677" t="s">
        <v>527</v>
      </c>
      <c r="H365" s="677">
        <v>33847</v>
      </c>
      <c r="I365" s="677">
        <v>33847</v>
      </c>
      <c r="J365" s="677" t="s">
        <v>1120</v>
      </c>
      <c r="K365" s="677" t="s">
        <v>1099</v>
      </c>
      <c r="L365" s="680">
        <v>122.69</v>
      </c>
      <c r="M365" s="680">
        <v>9</v>
      </c>
      <c r="N365" s="681">
        <v>1104.21</v>
      </c>
    </row>
    <row r="366" spans="1:14" ht="14.4" customHeight="1" x14ac:dyDescent="0.3">
      <c r="A366" s="675" t="s">
        <v>484</v>
      </c>
      <c r="B366" s="676" t="s">
        <v>485</v>
      </c>
      <c r="C366" s="677" t="s">
        <v>497</v>
      </c>
      <c r="D366" s="678" t="s">
        <v>498</v>
      </c>
      <c r="E366" s="679">
        <v>50113006</v>
      </c>
      <c r="F366" s="678" t="s">
        <v>1094</v>
      </c>
      <c r="G366" s="677" t="s">
        <v>503</v>
      </c>
      <c r="H366" s="677">
        <v>217054</v>
      </c>
      <c r="I366" s="677">
        <v>217054</v>
      </c>
      <c r="J366" s="677" t="s">
        <v>1121</v>
      </c>
      <c r="K366" s="677" t="s">
        <v>1122</v>
      </c>
      <c r="L366" s="680">
        <v>1109.0404140189557</v>
      </c>
      <c r="M366" s="680">
        <v>18</v>
      </c>
      <c r="N366" s="681">
        <v>19962.727452341205</v>
      </c>
    </row>
    <row r="367" spans="1:14" ht="14.4" customHeight="1" x14ac:dyDescent="0.3">
      <c r="A367" s="675" t="s">
        <v>484</v>
      </c>
      <c r="B367" s="676" t="s">
        <v>485</v>
      </c>
      <c r="C367" s="677" t="s">
        <v>497</v>
      </c>
      <c r="D367" s="678" t="s">
        <v>498</v>
      </c>
      <c r="E367" s="679">
        <v>50113006</v>
      </c>
      <c r="F367" s="678" t="s">
        <v>1094</v>
      </c>
      <c r="G367" s="677" t="s">
        <v>503</v>
      </c>
      <c r="H367" s="677">
        <v>988740</v>
      </c>
      <c r="I367" s="677">
        <v>0</v>
      </c>
      <c r="J367" s="677" t="s">
        <v>1123</v>
      </c>
      <c r="K367" s="677" t="s">
        <v>486</v>
      </c>
      <c r="L367" s="680">
        <v>253.76</v>
      </c>
      <c r="M367" s="680">
        <v>110</v>
      </c>
      <c r="N367" s="681">
        <v>27913.599999999999</v>
      </c>
    </row>
    <row r="368" spans="1:14" ht="14.4" customHeight="1" x14ac:dyDescent="0.3">
      <c r="A368" s="675" t="s">
        <v>484</v>
      </c>
      <c r="B368" s="676" t="s">
        <v>485</v>
      </c>
      <c r="C368" s="677" t="s">
        <v>497</v>
      </c>
      <c r="D368" s="678" t="s">
        <v>498</v>
      </c>
      <c r="E368" s="679">
        <v>50113006</v>
      </c>
      <c r="F368" s="678" t="s">
        <v>1094</v>
      </c>
      <c r="G368" s="677" t="s">
        <v>527</v>
      </c>
      <c r="H368" s="677">
        <v>848250</v>
      </c>
      <c r="I368" s="677">
        <v>33423</v>
      </c>
      <c r="J368" s="677" t="s">
        <v>1124</v>
      </c>
      <c r="K368" s="677" t="s">
        <v>1125</v>
      </c>
      <c r="L368" s="680">
        <v>295.21000000000004</v>
      </c>
      <c r="M368" s="680">
        <v>16</v>
      </c>
      <c r="N368" s="681">
        <v>4723.3600000000006</v>
      </c>
    </row>
    <row r="369" spans="1:14" ht="14.4" customHeight="1" x14ac:dyDescent="0.3">
      <c r="A369" s="675" t="s">
        <v>484</v>
      </c>
      <c r="B369" s="676" t="s">
        <v>485</v>
      </c>
      <c r="C369" s="677" t="s">
        <v>497</v>
      </c>
      <c r="D369" s="678" t="s">
        <v>498</v>
      </c>
      <c r="E369" s="679">
        <v>50113006</v>
      </c>
      <c r="F369" s="678" t="s">
        <v>1094</v>
      </c>
      <c r="G369" s="677" t="s">
        <v>503</v>
      </c>
      <c r="H369" s="677">
        <v>846016</v>
      </c>
      <c r="I369" s="677">
        <v>0</v>
      </c>
      <c r="J369" s="677" t="s">
        <v>1126</v>
      </c>
      <c r="K369" s="677" t="s">
        <v>1127</v>
      </c>
      <c r="L369" s="680">
        <v>185.64000366927613</v>
      </c>
      <c r="M369" s="680">
        <v>58</v>
      </c>
      <c r="N369" s="681">
        <v>10767.120212818016</v>
      </c>
    </row>
    <row r="370" spans="1:14" ht="14.4" customHeight="1" x14ac:dyDescent="0.3">
      <c r="A370" s="675" t="s">
        <v>484</v>
      </c>
      <c r="B370" s="676" t="s">
        <v>485</v>
      </c>
      <c r="C370" s="677" t="s">
        <v>497</v>
      </c>
      <c r="D370" s="678" t="s">
        <v>498</v>
      </c>
      <c r="E370" s="679">
        <v>50113006</v>
      </c>
      <c r="F370" s="678" t="s">
        <v>1094</v>
      </c>
      <c r="G370" s="677" t="s">
        <v>503</v>
      </c>
      <c r="H370" s="677">
        <v>217052</v>
      </c>
      <c r="I370" s="677">
        <v>217052</v>
      </c>
      <c r="J370" s="677" t="s">
        <v>1128</v>
      </c>
      <c r="K370" s="677" t="s">
        <v>1122</v>
      </c>
      <c r="L370" s="680">
        <v>2030.1</v>
      </c>
      <c r="M370" s="680">
        <v>2</v>
      </c>
      <c r="N370" s="681">
        <v>4060.2</v>
      </c>
    </row>
    <row r="371" spans="1:14" ht="14.4" customHeight="1" x14ac:dyDescent="0.3">
      <c r="A371" s="675" t="s">
        <v>484</v>
      </c>
      <c r="B371" s="676" t="s">
        <v>485</v>
      </c>
      <c r="C371" s="677" t="s">
        <v>497</v>
      </c>
      <c r="D371" s="678" t="s">
        <v>498</v>
      </c>
      <c r="E371" s="679">
        <v>50113006</v>
      </c>
      <c r="F371" s="678" t="s">
        <v>1094</v>
      </c>
      <c r="G371" s="677" t="s">
        <v>527</v>
      </c>
      <c r="H371" s="677">
        <v>133146</v>
      </c>
      <c r="I371" s="677">
        <v>33530</v>
      </c>
      <c r="J371" s="677" t="s">
        <v>1129</v>
      </c>
      <c r="K371" s="677" t="s">
        <v>1130</v>
      </c>
      <c r="L371" s="680">
        <v>156.49000000000004</v>
      </c>
      <c r="M371" s="680">
        <v>16</v>
      </c>
      <c r="N371" s="681">
        <v>2503.8400000000006</v>
      </c>
    </row>
    <row r="372" spans="1:14" ht="14.4" customHeight="1" x14ac:dyDescent="0.3">
      <c r="A372" s="675" t="s">
        <v>484</v>
      </c>
      <c r="B372" s="676" t="s">
        <v>485</v>
      </c>
      <c r="C372" s="677" t="s">
        <v>497</v>
      </c>
      <c r="D372" s="678" t="s">
        <v>498</v>
      </c>
      <c r="E372" s="679">
        <v>50113006</v>
      </c>
      <c r="F372" s="678" t="s">
        <v>1094</v>
      </c>
      <c r="G372" s="677" t="s">
        <v>503</v>
      </c>
      <c r="H372" s="677">
        <v>217058</v>
      </c>
      <c r="I372" s="677">
        <v>217058</v>
      </c>
      <c r="J372" s="677" t="s">
        <v>1131</v>
      </c>
      <c r="K372" s="677" t="s">
        <v>1132</v>
      </c>
      <c r="L372" s="680">
        <v>1733.2779999999998</v>
      </c>
      <c r="M372" s="680">
        <v>5</v>
      </c>
      <c r="N372" s="681">
        <v>8666.39</v>
      </c>
    </row>
    <row r="373" spans="1:14" ht="14.4" customHeight="1" x14ac:dyDescent="0.3">
      <c r="A373" s="675" t="s">
        <v>484</v>
      </c>
      <c r="B373" s="676" t="s">
        <v>485</v>
      </c>
      <c r="C373" s="677" t="s">
        <v>497</v>
      </c>
      <c r="D373" s="678" t="s">
        <v>498</v>
      </c>
      <c r="E373" s="679">
        <v>50113006</v>
      </c>
      <c r="F373" s="678" t="s">
        <v>1094</v>
      </c>
      <c r="G373" s="677" t="s">
        <v>503</v>
      </c>
      <c r="H373" s="677">
        <v>153980</v>
      </c>
      <c r="I373" s="677">
        <v>153980</v>
      </c>
      <c r="J373" s="677" t="s">
        <v>1133</v>
      </c>
      <c r="K373" s="677" t="s">
        <v>1134</v>
      </c>
      <c r="L373" s="680">
        <v>276.10964285714283</v>
      </c>
      <c r="M373" s="680">
        <v>112</v>
      </c>
      <c r="N373" s="681">
        <v>30924.279999999995</v>
      </c>
    </row>
    <row r="374" spans="1:14" ht="14.4" customHeight="1" x14ac:dyDescent="0.3">
      <c r="A374" s="675" t="s">
        <v>484</v>
      </c>
      <c r="B374" s="676" t="s">
        <v>485</v>
      </c>
      <c r="C374" s="677" t="s">
        <v>497</v>
      </c>
      <c r="D374" s="678" t="s">
        <v>498</v>
      </c>
      <c r="E374" s="679">
        <v>50113008</v>
      </c>
      <c r="F374" s="678" t="s">
        <v>1135</v>
      </c>
      <c r="G374" s="677"/>
      <c r="H374" s="677"/>
      <c r="I374" s="677">
        <v>138455</v>
      </c>
      <c r="J374" s="677" t="s">
        <v>1136</v>
      </c>
      <c r="K374" s="677" t="s">
        <v>1137</v>
      </c>
      <c r="L374" s="680">
        <v>1287</v>
      </c>
      <c r="M374" s="680">
        <v>120</v>
      </c>
      <c r="N374" s="681">
        <v>154440</v>
      </c>
    </row>
    <row r="375" spans="1:14" ht="14.4" customHeight="1" x14ac:dyDescent="0.3">
      <c r="A375" s="675" t="s">
        <v>484</v>
      </c>
      <c r="B375" s="676" t="s">
        <v>485</v>
      </c>
      <c r="C375" s="677" t="s">
        <v>497</v>
      </c>
      <c r="D375" s="678" t="s">
        <v>498</v>
      </c>
      <c r="E375" s="679">
        <v>50113008</v>
      </c>
      <c r="F375" s="678" t="s">
        <v>1135</v>
      </c>
      <c r="G375" s="677"/>
      <c r="H375" s="677"/>
      <c r="I375" s="677">
        <v>129056</v>
      </c>
      <c r="J375" s="677" t="s">
        <v>1138</v>
      </c>
      <c r="K375" s="677" t="s">
        <v>1139</v>
      </c>
      <c r="L375" s="680">
        <v>2945.8000759548613</v>
      </c>
      <c r="M375" s="680">
        <v>18</v>
      </c>
      <c r="N375" s="681">
        <v>53024.4013671875</v>
      </c>
    </row>
    <row r="376" spans="1:14" ht="14.4" customHeight="1" x14ac:dyDescent="0.3">
      <c r="A376" s="675" t="s">
        <v>484</v>
      </c>
      <c r="B376" s="676" t="s">
        <v>485</v>
      </c>
      <c r="C376" s="677" t="s">
        <v>497</v>
      </c>
      <c r="D376" s="678" t="s">
        <v>498</v>
      </c>
      <c r="E376" s="679">
        <v>50113008</v>
      </c>
      <c r="F376" s="678" t="s">
        <v>1135</v>
      </c>
      <c r="G376" s="677"/>
      <c r="H376" s="677"/>
      <c r="I376" s="677">
        <v>129057</v>
      </c>
      <c r="J376" s="677" t="s">
        <v>1138</v>
      </c>
      <c r="K376" s="677" t="s">
        <v>1140</v>
      </c>
      <c r="L376" s="680">
        <v>5772.8358677455353</v>
      </c>
      <c r="M376" s="680">
        <v>14</v>
      </c>
      <c r="N376" s="681">
        <v>80819.7021484375</v>
      </c>
    </row>
    <row r="377" spans="1:14" ht="14.4" customHeight="1" x14ac:dyDescent="0.3">
      <c r="A377" s="675" t="s">
        <v>484</v>
      </c>
      <c r="B377" s="676" t="s">
        <v>485</v>
      </c>
      <c r="C377" s="677" t="s">
        <v>497</v>
      </c>
      <c r="D377" s="678" t="s">
        <v>498</v>
      </c>
      <c r="E377" s="679">
        <v>50113008</v>
      </c>
      <c r="F377" s="678" t="s">
        <v>1135</v>
      </c>
      <c r="G377" s="677"/>
      <c r="H377" s="677"/>
      <c r="I377" s="677">
        <v>62464</v>
      </c>
      <c r="J377" s="677" t="s">
        <v>1141</v>
      </c>
      <c r="K377" s="677" t="s">
        <v>1142</v>
      </c>
      <c r="L377" s="680">
        <v>9119.8310308689033</v>
      </c>
      <c r="M377" s="680">
        <v>41</v>
      </c>
      <c r="N377" s="681">
        <v>373913.072265625</v>
      </c>
    </row>
    <row r="378" spans="1:14" ht="14.4" customHeight="1" x14ac:dyDescent="0.3">
      <c r="A378" s="675" t="s">
        <v>484</v>
      </c>
      <c r="B378" s="676" t="s">
        <v>485</v>
      </c>
      <c r="C378" s="677" t="s">
        <v>497</v>
      </c>
      <c r="D378" s="678" t="s">
        <v>498</v>
      </c>
      <c r="E378" s="679">
        <v>50113008</v>
      </c>
      <c r="F378" s="678" t="s">
        <v>1135</v>
      </c>
      <c r="G378" s="677"/>
      <c r="H378" s="677"/>
      <c r="I378" s="677">
        <v>104051</v>
      </c>
      <c r="J378" s="677" t="s">
        <v>1143</v>
      </c>
      <c r="K378" s="677" t="s">
        <v>1137</v>
      </c>
      <c r="L378" s="680">
        <v>1291.4000244140625</v>
      </c>
      <c r="M378" s="680">
        <v>7</v>
      </c>
      <c r="N378" s="681">
        <v>9039.8001708984375</v>
      </c>
    </row>
    <row r="379" spans="1:14" ht="14.4" customHeight="1" x14ac:dyDescent="0.3">
      <c r="A379" s="675" t="s">
        <v>484</v>
      </c>
      <c r="B379" s="676" t="s">
        <v>485</v>
      </c>
      <c r="C379" s="677" t="s">
        <v>497</v>
      </c>
      <c r="D379" s="678" t="s">
        <v>498</v>
      </c>
      <c r="E379" s="679">
        <v>50113008</v>
      </c>
      <c r="F379" s="678" t="s">
        <v>1135</v>
      </c>
      <c r="G379" s="677"/>
      <c r="H379" s="677"/>
      <c r="I379" s="677">
        <v>97910</v>
      </c>
      <c r="J379" s="677" t="s">
        <v>1144</v>
      </c>
      <c r="K379" s="677" t="s">
        <v>1145</v>
      </c>
      <c r="L379" s="680">
        <v>1346.3499755859375</v>
      </c>
      <c r="M379" s="680">
        <v>3</v>
      </c>
      <c r="N379" s="681">
        <v>4039.0499267578125</v>
      </c>
    </row>
    <row r="380" spans="1:14" ht="14.4" customHeight="1" x14ac:dyDescent="0.3">
      <c r="A380" s="675" t="s">
        <v>484</v>
      </c>
      <c r="B380" s="676" t="s">
        <v>485</v>
      </c>
      <c r="C380" s="677" t="s">
        <v>497</v>
      </c>
      <c r="D380" s="678" t="s">
        <v>498</v>
      </c>
      <c r="E380" s="679">
        <v>50113008</v>
      </c>
      <c r="F380" s="678" t="s">
        <v>1135</v>
      </c>
      <c r="G380" s="677"/>
      <c r="H380" s="677"/>
      <c r="I380" s="677">
        <v>6480</v>
      </c>
      <c r="J380" s="677" t="s">
        <v>1146</v>
      </c>
      <c r="K380" s="677" t="s">
        <v>1147</v>
      </c>
      <c r="L380" s="680">
        <v>4305.399946732955</v>
      </c>
      <c r="M380" s="680">
        <v>33</v>
      </c>
      <c r="N380" s="681">
        <v>142078.1982421875</v>
      </c>
    </row>
    <row r="381" spans="1:14" ht="14.4" customHeight="1" x14ac:dyDescent="0.3">
      <c r="A381" s="675" t="s">
        <v>484</v>
      </c>
      <c r="B381" s="676" t="s">
        <v>485</v>
      </c>
      <c r="C381" s="677" t="s">
        <v>497</v>
      </c>
      <c r="D381" s="678" t="s">
        <v>498</v>
      </c>
      <c r="E381" s="679">
        <v>50113011</v>
      </c>
      <c r="F381" s="678" t="s">
        <v>1148</v>
      </c>
      <c r="G381" s="677"/>
      <c r="H381" s="677"/>
      <c r="I381" s="677">
        <v>173181</v>
      </c>
      <c r="J381" s="677" t="s">
        <v>1149</v>
      </c>
      <c r="K381" s="677" t="s">
        <v>1150</v>
      </c>
      <c r="L381" s="680">
        <v>8505.2000596788203</v>
      </c>
      <c r="M381" s="680">
        <v>36</v>
      </c>
      <c r="N381" s="681">
        <v>306187.2021484375</v>
      </c>
    </row>
    <row r="382" spans="1:14" ht="14.4" customHeight="1" x14ac:dyDescent="0.3">
      <c r="A382" s="675" t="s">
        <v>484</v>
      </c>
      <c r="B382" s="676" t="s">
        <v>485</v>
      </c>
      <c r="C382" s="677" t="s">
        <v>497</v>
      </c>
      <c r="D382" s="678" t="s">
        <v>498</v>
      </c>
      <c r="E382" s="679">
        <v>50113011</v>
      </c>
      <c r="F382" s="678" t="s">
        <v>1148</v>
      </c>
      <c r="G382" s="677"/>
      <c r="H382" s="677"/>
      <c r="I382" s="677">
        <v>173183</v>
      </c>
      <c r="J382" s="677" t="s">
        <v>1151</v>
      </c>
      <c r="K382" s="677" t="s">
        <v>1152</v>
      </c>
      <c r="L382" s="680">
        <v>4252.60009765625</v>
      </c>
      <c r="M382" s="680">
        <v>3</v>
      </c>
      <c r="N382" s="681">
        <v>12757.80029296875</v>
      </c>
    </row>
    <row r="383" spans="1:14" ht="14.4" customHeight="1" x14ac:dyDescent="0.3">
      <c r="A383" s="675" t="s">
        <v>484</v>
      </c>
      <c r="B383" s="676" t="s">
        <v>485</v>
      </c>
      <c r="C383" s="677" t="s">
        <v>497</v>
      </c>
      <c r="D383" s="678" t="s">
        <v>498</v>
      </c>
      <c r="E383" s="679">
        <v>50113011</v>
      </c>
      <c r="F383" s="678" t="s">
        <v>1148</v>
      </c>
      <c r="G383" s="677"/>
      <c r="H383" s="677"/>
      <c r="I383" s="677">
        <v>203319</v>
      </c>
      <c r="J383" s="677" t="s">
        <v>1151</v>
      </c>
      <c r="K383" s="677" t="s">
        <v>1152</v>
      </c>
      <c r="L383" s="680">
        <v>4252.6000366210937</v>
      </c>
      <c r="M383" s="680">
        <v>16</v>
      </c>
      <c r="N383" s="681">
        <v>68041.6005859375</v>
      </c>
    </row>
    <row r="384" spans="1:14" ht="14.4" customHeight="1" x14ac:dyDescent="0.3">
      <c r="A384" s="675" t="s">
        <v>484</v>
      </c>
      <c r="B384" s="676" t="s">
        <v>485</v>
      </c>
      <c r="C384" s="677" t="s">
        <v>497</v>
      </c>
      <c r="D384" s="678" t="s">
        <v>498</v>
      </c>
      <c r="E384" s="679">
        <v>50113013</v>
      </c>
      <c r="F384" s="678" t="s">
        <v>1153</v>
      </c>
      <c r="G384" s="677" t="s">
        <v>527</v>
      </c>
      <c r="H384" s="677">
        <v>194155</v>
      </c>
      <c r="I384" s="677">
        <v>94155</v>
      </c>
      <c r="J384" s="677" t="s">
        <v>1154</v>
      </c>
      <c r="K384" s="677" t="s">
        <v>1155</v>
      </c>
      <c r="L384" s="680">
        <v>323.02</v>
      </c>
      <c r="M384" s="680">
        <v>3.5</v>
      </c>
      <c r="N384" s="681">
        <v>1130.57</v>
      </c>
    </row>
    <row r="385" spans="1:14" ht="14.4" customHeight="1" x14ac:dyDescent="0.3">
      <c r="A385" s="675" t="s">
        <v>484</v>
      </c>
      <c r="B385" s="676" t="s">
        <v>485</v>
      </c>
      <c r="C385" s="677" t="s">
        <v>497</v>
      </c>
      <c r="D385" s="678" t="s">
        <v>498</v>
      </c>
      <c r="E385" s="679">
        <v>50113013</v>
      </c>
      <c r="F385" s="678" t="s">
        <v>1153</v>
      </c>
      <c r="G385" s="677" t="s">
        <v>503</v>
      </c>
      <c r="H385" s="677">
        <v>183821</v>
      </c>
      <c r="I385" s="677">
        <v>183821</v>
      </c>
      <c r="J385" s="677" t="s">
        <v>1156</v>
      </c>
      <c r="K385" s="677" t="s">
        <v>1157</v>
      </c>
      <c r="L385" s="680">
        <v>71.849999999999994</v>
      </c>
      <c r="M385" s="680">
        <v>20</v>
      </c>
      <c r="N385" s="681">
        <v>1437</v>
      </c>
    </row>
    <row r="386" spans="1:14" ht="14.4" customHeight="1" x14ac:dyDescent="0.3">
      <c r="A386" s="675" t="s">
        <v>484</v>
      </c>
      <c r="B386" s="676" t="s">
        <v>485</v>
      </c>
      <c r="C386" s="677" t="s">
        <v>497</v>
      </c>
      <c r="D386" s="678" t="s">
        <v>498</v>
      </c>
      <c r="E386" s="679">
        <v>50113013</v>
      </c>
      <c r="F386" s="678" t="s">
        <v>1153</v>
      </c>
      <c r="G386" s="677" t="s">
        <v>527</v>
      </c>
      <c r="H386" s="677">
        <v>195147</v>
      </c>
      <c r="I386" s="677">
        <v>195147</v>
      </c>
      <c r="J386" s="677" t="s">
        <v>1158</v>
      </c>
      <c r="K386" s="677" t="s">
        <v>1159</v>
      </c>
      <c r="L386" s="680">
        <v>568.10076923076917</v>
      </c>
      <c r="M386" s="680">
        <v>10.4</v>
      </c>
      <c r="N386" s="681">
        <v>5908.2479999999996</v>
      </c>
    </row>
    <row r="387" spans="1:14" ht="14.4" customHeight="1" x14ac:dyDescent="0.3">
      <c r="A387" s="675" t="s">
        <v>484</v>
      </c>
      <c r="B387" s="676" t="s">
        <v>485</v>
      </c>
      <c r="C387" s="677" t="s">
        <v>497</v>
      </c>
      <c r="D387" s="678" t="s">
        <v>498</v>
      </c>
      <c r="E387" s="679">
        <v>50113013</v>
      </c>
      <c r="F387" s="678" t="s">
        <v>1153</v>
      </c>
      <c r="G387" s="677" t="s">
        <v>503</v>
      </c>
      <c r="H387" s="677">
        <v>172972</v>
      </c>
      <c r="I387" s="677">
        <v>72972</v>
      </c>
      <c r="J387" s="677" t="s">
        <v>1160</v>
      </c>
      <c r="K387" s="677" t="s">
        <v>1161</v>
      </c>
      <c r="L387" s="680">
        <v>181.58693586698359</v>
      </c>
      <c r="M387" s="680">
        <v>252.60000000000008</v>
      </c>
      <c r="N387" s="681">
        <v>45868.860000000073</v>
      </c>
    </row>
    <row r="388" spans="1:14" ht="14.4" customHeight="1" x14ac:dyDescent="0.3">
      <c r="A388" s="675" t="s">
        <v>484</v>
      </c>
      <c r="B388" s="676" t="s">
        <v>485</v>
      </c>
      <c r="C388" s="677" t="s">
        <v>497</v>
      </c>
      <c r="D388" s="678" t="s">
        <v>498</v>
      </c>
      <c r="E388" s="679">
        <v>50113013</v>
      </c>
      <c r="F388" s="678" t="s">
        <v>1153</v>
      </c>
      <c r="G388" s="677" t="s">
        <v>503</v>
      </c>
      <c r="H388" s="677">
        <v>201961</v>
      </c>
      <c r="I388" s="677">
        <v>201961</v>
      </c>
      <c r="J388" s="677" t="s">
        <v>1162</v>
      </c>
      <c r="K388" s="677" t="s">
        <v>1163</v>
      </c>
      <c r="L388" s="680">
        <v>231.99</v>
      </c>
      <c r="M388" s="680">
        <v>3</v>
      </c>
      <c r="N388" s="681">
        <v>695.97</v>
      </c>
    </row>
    <row r="389" spans="1:14" ht="14.4" customHeight="1" x14ac:dyDescent="0.3">
      <c r="A389" s="675" t="s">
        <v>484</v>
      </c>
      <c r="B389" s="676" t="s">
        <v>485</v>
      </c>
      <c r="C389" s="677" t="s">
        <v>497</v>
      </c>
      <c r="D389" s="678" t="s">
        <v>498</v>
      </c>
      <c r="E389" s="679">
        <v>50113013</v>
      </c>
      <c r="F389" s="678" t="s">
        <v>1153</v>
      </c>
      <c r="G389" s="677" t="s">
        <v>503</v>
      </c>
      <c r="H389" s="677">
        <v>501761</v>
      </c>
      <c r="I389" s="677">
        <v>0</v>
      </c>
      <c r="J389" s="677" t="s">
        <v>1164</v>
      </c>
      <c r="K389" s="677" t="s">
        <v>486</v>
      </c>
      <c r="L389" s="680">
        <v>2980.1200000000003</v>
      </c>
      <c r="M389" s="680">
        <v>0.1</v>
      </c>
      <c r="N389" s="681">
        <v>298.01200000000006</v>
      </c>
    </row>
    <row r="390" spans="1:14" ht="14.4" customHeight="1" x14ac:dyDescent="0.3">
      <c r="A390" s="675" t="s">
        <v>484</v>
      </c>
      <c r="B390" s="676" t="s">
        <v>485</v>
      </c>
      <c r="C390" s="677" t="s">
        <v>497</v>
      </c>
      <c r="D390" s="678" t="s">
        <v>498</v>
      </c>
      <c r="E390" s="679">
        <v>50113013</v>
      </c>
      <c r="F390" s="678" t="s">
        <v>1153</v>
      </c>
      <c r="G390" s="677" t="s">
        <v>527</v>
      </c>
      <c r="H390" s="677">
        <v>183817</v>
      </c>
      <c r="I390" s="677">
        <v>183817</v>
      </c>
      <c r="J390" s="677" t="s">
        <v>1165</v>
      </c>
      <c r="K390" s="677" t="s">
        <v>604</v>
      </c>
      <c r="L390" s="680">
        <v>937.65888349514512</v>
      </c>
      <c r="M390" s="680">
        <v>82.399999999999991</v>
      </c>
      <c r="N390" s="681">
        <v>77263.091999999946</v>
      </c>
    </row>
    <row r="391" spans="1:14" ht="14.4" customHeight="1" x14ac:dyDescent="0.3">
      <c r="A391" s="675" t="s">
        <v>484</v>
      </c>
      <c r="B391" s="676" t="s">
        <v>485</v>
      </c>
      <c r="C391" s="677" t="s">
        <v>497</v>
      </c>
      <c r="D391" s="678" t="s">
        <v>498</v>
      </c>
      <c r="E391" s="679">
        <v>50113013</v>
      </c>
      <c r="F391" s="678" t="s">
        <v>1153</v>
      </c>
      <c r="G391" s="677" t="s">
        <v>503</v>
      </c>
      <c r="H391" s="677">
        <v>164831</v>
      </c>
      <c r="I391" s="677">
        <v>64831</v>
      </c>
      <c r="J391" s="677" t="s">
        <v>1166</v>
      </c>
      <c r="K391" s="677" t="s">
        <v>1167</v>
      </c>
      <c r="L391" s="680">
        <v>198.88000000000005</v>
      </c>
      <c r="M391" s="680">
        <v>4</v>
      </c>
      <c r="N391" s="681">
        <v>795.52000000000021</v>
      </c>
    </row>
    <row r="392" spans="1:14" ht="14.4" customHeight="1" x14ac:dyDescent="0.3">
      <c r="A392" s="675" t="s">
        <v>484</v>
      </c>
      <c r="B392" s="676" t="s">
        <v>485</v>
      </c>
      <c r="C392" s="677" t="s">
        <v>497</v>
      </c>
      <c r="D392" s="678" t="s">
        <v>498</v>
      </c>
      <c r="E392" s="679">
        <v>50113013</v>
      </c>
      <c r="F392" s="678" t="s">
        <v>1153</v>
      </c>
      <c r="G392" s="677" t="s">
        <v>503</v>
      </c>
      <c r="H392" s="677">
        <v>183926</v>
      </c>
      <c r="I392" s="677">
        <v>183926</v>
      </c>
      <c r="J392" s="677" t="s">
        <v>1168</v>
      </c>
      <c r="K392" s="677" t="s">
        <v>604</v>
      </c>
      <c r="L392" s="680">
        <v>140.85622641509437</v>
      </c>
      <c r="M392" s="680">
        <v>15.899999999999999</v>
      </c>
      <c r="N392" s="681">
        <v>2239.6140000000005</v>
      </c>
    </row>
    <row r="393" spans="1:14" ht="14.4" customHeight="1" x14ac:dyDescent="0.3">
      <c r="A393" s="675" t="s">
        <v>484</v>
      </c>
      <c r="B393" s="676" t="s">
        <v>485</v>
      </c>
      <c r="C393" s="677" t="s">
        <v>497</v>
      </c>
      <c r="D393" s="678" t="s">
        <v>498</v>
      </c>
      <c r="E393" s="679">
        <v>50113013</v>
      </c>
      <c r="F393" s="678" t="s">
        <v>1153</v>
      </c>
      <c r="G393" s="677" t="s">
        <v>527</v>
      </c>
      <c r="H393" s="677">
        <v>153913</v>
      </c>
      <c r="I393" s="677">
        <v>53913</v>
      </c>
      <c r="J393" s="677" t="s">
        <v>1169</v>
      </c>
      <c r="K393" s="677" t="s">
        <v>1170</v>
      </c>
      <c r="L393" s="680">
        <v>78.339999999999989</v>
      </c>
      <c r="M393" s="680">
        <v>1</v>
      </c>
      <c r="N393" s="681">
        <v>78.339999999999989</v>
      </c>
    </row>
    <row r="394" spans="1:14" ht="14.4" customHeight="1" x14ac:dyDescent="0.3">
      <c r="A394" s="675" t="s">
        <v>484</v>
      </c>
      <c r="B394" s="676" t="s">
        <v>485</v>
      </c>
      <c r="C394" s="677" t="s">
        <v>497</v>
      </c>
      <c r="D394" s="678" t="s">
        <v>498</v>
      </c>
      <c r="E394" s="679">
        <v>50113013</v>
      </c>
      <c r="F394" s="678" t="s">
        <v>1153</v>
      </c>
      <c r="G394" s="677" t="s">
        <v>503</v>
      </c>
      <c r="H394" s="677">
        <v>117171</v>
      </c>
      <c r="I394" s="677">
        <v>17171</v>
      </c>
      <c r="J394" s="677" t="s">
        <v>1171</v>
      </c>
      <c r="K394" s="677" t="s">
        <v>643</v>
      </c>
      <c r="L394" s="680">
        <v>73.44000000000004</v>
      </c>
      <c r="M394" s="680">
        <v>11</v>
      </c>
      <c r="N394" s="681">
        <v>807.84000000000037</v>
      </c>
    </row>
    <row r="395" spans="1:14" ht="14.4" customHeight="1" x14ac:dyDescent="0.3">
      <c r="A395" s="675" t="s">
        <v>484</v>
      </c>
      <c r="B395" s="676" t="s">
        <v>485</v>
      </c>
      <c r="C395" s="677" t="s">
        <v>497</v>
      </c>
      <c r="D395" s="678" t="s">
        <v>498</v>
      </c>
      <c r="E395" s="679">
        <v>50113013</v>
      </c>
      <c r="F395" s="678" t="s">
        <v>1153</v>
      </c>
      <c r="G395" s="677" t="s">
        <v>503</v>
      </c>
      <c r="H395" s="677">
        <v>193922</v>
      </c>
      <c r="I395" s="677">
        <v>93922</v>
      </c>
      <c r="J395" s="677" t="s">
        <v>1172</v>
      </c>
      <c r="K395" s="677" t="s">
        <v>1173</v>
      </c>
      <c r="L395" s="680">
        <v>385.41</v>
      </c>
      <c r="M395" s="680">
        <v>1</v>
      </c>
      <c r="N395" s="681">
        <v>385.41</v>
      </c>
    </row>
    <row r="396" spans="1:14" ht="14.4" customHeight="1" x14ac:dyDescent="0.3">
      <c r="A396" s="675" t="s">
        <v>484</v>
      </c>
      <c r="B396" s="676" t="s">
        <v>485</v>
      </c>
      <c r="C396" s="677" t="s">
        <v>497</v>
      </c>
      <c r="D396" s="678" t="s">
        <v>498</v>
      </c>
      <c r="E396" s="679">
        <v>50113013</v>
      </c>
      <c r="F396" s="678" t="s">
        <v>1153</v>
      </c>
      <c r="G396" s="677" t="s">
        <v>527</v>
      </c>
      <c r="H396" s="677">
        <v>111706</v>
      </c>
      <c r="I396" s="677">
        <v>11706</v>
      </c>
      <c r="J396" s="677" t="s">
        <v>583</v>
      </c>
      <c r="K396" s="677" t="s">
        <v>1174</v>
      </c>
      <c r="L396" s="680">
        <v>232.08666666666664</v>
      </c>
      <c r="M396" s="680">
        <v>18</v>
      </c>
      <c r="N396" s="681">
        <v>4177.5599999999995</v>
      </c>
    </row>
    <row r="397" spans="1:14" ht="14.4" customHeight="1" x14ac:dyDescent="0.3">
      <c r="A397" s="675" t="s">
        <v>484</v>
      </c>
      <c r="B397" s="676" t="s">
        <v>485</v>
      </c>
      <c r="C397" s="677" t="s">
        <v>497</v>
      </c>
      <c r="D397" s="678" t="s">
        <v>498</v>
      </c>
      <c r="E397" s="679">
        <v>50113013</v>
      </c>
      <c r="F397" s="678" t="s">
        <v>1153</v>
      </c>
      <c r="G397" s="677" t="s">
        <v>486</v>
      </c>
      <c r="H397" s="677">
        <v>203855</v>
      </c>
      <c r="I397" s="677">
        <v>203855</v>
      </c>
      <c r="J397" s="677" t="s">
        <v>1175</v>
      </c>
      <c r="K397" s="677" t="s">
        <v>1176</v>
      </c>
      <c r="L397" s="680">
        <v>316.03000000000003</v>
      </c>
      <c r="M397" s="680">
        <v>5.7</v>
      </c>
      <c r="N397" s="681">
        <v>1801.3710000000001</v>
      </c>
    </row>
    <row r="398" spans="1:14" ht="14.4" customHeight="1" x14ac:dyDescent="0.3">
      <c r="A398" s="675" t="s">
        <v>484</v>
      </c>
      <c r="B398" s="676" t="s">
        <v>485</v>
      </c>
      <c r="C398" s="677" t="s">
        <v>497</v>
      </c>
      <c r="D398" s="678" t="s">
        <v>498</v>
      </c>
      <c r="E398" s="679">
        <v>50113013</v>
      </c>
      <c r="F398" s="678" t="s">
        <v>1153</v>
      </c>
      <c r="G398" s="677" t="s">
        <v>503</v>
      </c>
      <c r="H398" s="677">
        <v>131654</v>
      </c>
      <c r="I398" s="677">
        <v>131654</v>
      </c>
      <c r="J398" s="677" t="s">
        <v>1177</v>
      </c>
      <c r="K398" s="677" t="s">
        <v>1178</v>
      </c>
      <c r="L398" s="680">
        <v>264</v>
      </c>
      <c r="M398" s="680">
        <v>2</v>
      </c>
      <c r="N398" s="681">
        <v>528</v>
      </c>
    </row>
    <row r="399" spans="1:14" ht="14.4" customHeight="1" x14ac:dyDescent="0.3">
      <c r="A399" s="675" t="s">
        <v>484</v>
      </c>
      <c r="B399" s="676" t="s">
        <v>485</v>
      </c>
      <c r="C399" s="677" t="s">
        <v>497</v>
      </c>
      <c r="D399" s="678" t="s">
        <v>498</v>
      </c>
      <c r="E399" s="679">
        <v>50113013</v>
      </c>
      <c r="F399" s="678" t="s">
        <v>1153</v>
      </c>
      <c r="G399" s="677" t="s">
        <v>503</v>
      </c>
      <c r="H399" s="677">
        <v>131656</v>
      </c>
      <c r="I399" s="677">
        <v>131656</v>
      </c>
      <c r="J399" s="677" t="s">
        <v>1179</v>
      </c>
      <c r="K399" s="677" t="s">
        <v>1180</v>
      </c>
      <c r="L399" s="680">
        <v>517</v>
      </c>
      <c r="M399" s="680">
        <v>3.5</v>
      </c>
      <c r="N399" s="681">
        <v>1809.5</v>
      </c>
    </row>
    <row r="400" spans="1:14" ht="14.4" customHeight="1" x14ac:dyDescent="0.3">
      <c r="A400" s="675" t="s">
        <v>484</v>
      </c>
      <c r="B400" s="676" t="s">
        <v>485</v>
      </c>
      <c r="C400" s="677" t="s">
        <v>497</v>
      </c>
      <c r="D400" s="678" t="s">
        <v>498</v>
      </c>
      <c r="E400" s="679">
        <v>50113013</v>
      </c>
      <c r="F400" s="678" t="s">
        <v>1153</v>
      </c>
      <c r="G400" s="677" t="s">
        <v>503</v>
      </c>
      <c r="H400" s="677">
        <v>206609</v>
      </c>
      <c r="I400" s="677">
        <v>206609</v>
      </c>
      <c r="J400" s="677" t="s">
        <v>1181</v>
      </c>
      <c r="K400" s="677" t="s">
        <v>1182</v>
      </c>
      <c r="L400" s="680">
        <v>248.29333333333332</v>
      </c>
      <c r="M400" s="680">
        <v>1.5</v>
      </c>
      <c r="N400" s="681">
        <v>372.44</v>
      </c>
    </row>
    <row r="401" spans="1:14" ht="14.4" customHeight="1" x14ac:dyDescent="0.3">
      <c r="A401" s="675" t="s">
        <v>484</v>
      </c>
      <c r="B401" s="676" t="s">
        <v>485</v>
      </c>
      <c r="C401" s="677" t="s">
        <v>497</v>
      </c>
      <c r="D401" s="678" t="s">
        <v>498</v>
      </c>
      <c r="E401" s="679">
        <v>50113013</v>
      </c>
      <c r="F401" s="678" t="s">
        <v>1153</v>
      </c>
      <c r="G401" s="677" t="s">
        <v>503</v>
      </c>
      <c r="H401" s="677">
        <v>151458</v>
      </c>
      <c r="I401" s="677">
        <v>151458</v>
      </c>
      <c r="J401" s="677" t="s">
        <v>1183</v>
      </c>
      <c r="K401" s="677" t="s">
        <v>1184</v>
      </c>
      <c r="L401" s="680">
        <v>217.8</v>
      </c>
      <c r="M401" s="680">
        <v>1.6</v>
      </c>
      <c r="N401" s="681">
        <v>348.48</v>
      </c>
    </row>
    <row r="402" spans="1:14" ht="14.4" customHeight="1" x14ac:dyDescent="0.3">
      <c r="A402" s="675" t="s">
        <v>484</v>
      </c>
      <c r="B402" s="676" t="s">
        <v>485</v>
      </c>
      <c r="C402" s="677" t="s">
        <v>497</v>
      </c>
      <c r="D402" s="678" t="s">
        <v>498</v>
      </c>
      <c r="E402" s="679">
        <v>50113013</v>
      </c>
      <c r="F402" s="678" t="s">
        <v>1153</v>
      </c>
      <c r="G402" s="677" t="s">
        <v>503</v>
      </c>
      <c r="H402" s="677">
        <v>115658</v>
      </c>
      <c r="I402" s="677">
        <v>15658</v>
      </c>
      <c r="J402" s="677" t="s">
        <v>1185</v>
      </c>
      <c r="K402" s="677" t="s">
        <v>1186</v>
      </c>
      <c r="L402" s="680">
        <v>58.720000000000006</v>
      </c>
      <c r="M402" s="680">
        <v>1</v>
      </c>
      <c r="N402" s="681">
        <v>58.720000000000006</v>
      </c>
    </row>
    <row r="403" spans="1:14" ht="14.4" customHeight="1" x14ac:dyDescent="0.3">
      <c r="A403" s="675" t="s">
        <v>484</v>
      </c>
      <c r="B403" s="676" t="s">
        <v>485</v>
      </c>
      <c r="C403" s="677" t="s">
        <v>497</v>
      </c>
      <c r="D403" s="678" t="s">
        <v>498</v>
      </c>
      <c r="E403" s="679">
        <v>50113013</v>
      </c>
      <c r="F403" s="678" t="s">
        <v>1153</v>
      </c>
      <c r="G403" s="677" t="s">
        <v>503</v>
      </c>
      <c r="H403" s="677">
        <v>162187</v>
      </c>
      <c r="I403" s="677">
        <v>162187</v>
      </c>
      <c r="J403" s="677" t="s">
        <v>1187</v>
      </c>
      <c r="K403" s="677" t="s">
        <v>1188</v>
      </c>
      <c r="L403" s="680">
        <v>286.00000000000006</v>
      </c>
      <c r="M403" s="680">
        <v>26.2</v>
      </c>
      <c r="N403" s="681">
        <v>7493.2000000000007</v>
      </c>
    </row>
    <row r="404" spans="1:14" ht="14.4" customHeight="1" x14ac:dyDescent="0.3">
      <c r="A404" s="675" t="s">
        <v>484</v>
      </c>
      <c r="B404" s="676" t="s">
        <v>485</v>
      </c>
      <c r="C404" s="677" t="s">
        <v>497</v>
      </c>
      <c r="D404" s="678" t="s">
        <v>498</v>
      </c>
      <c r="E404" s="679">
        <v>50113013</v>
      </c>
      <c r="F404" s="678" t="s">
        <v>1153</v>
      </c>
      <c r="G404" s="677" t="s">
        <v>527</v>
      </c>
      <c r="H404" s="677">
        <v>849655</v>
      </c>
      <c r="I404" s="677">
        <v>129836</v>
      </c>
      <c r="J404" s="677" t="s">
        <v>1189</v>
      </c>
      <c r="K404" s="677" t="s">
        <v>1190</v>
      </c>
      <c r="L404" s="680">
        <v>263.65979381443299</v>
      </c>
      <c r="M404" s="680">
        <v>9.6999999999999993</v>
      </c>
      <c r="N404" s="681">
        <v>2557.5</v>
      </c>
    </row>
    <row r="405" spans="1:14" ht="14.4" customHeight="1" x14ac:dyDescent="0.3">
      <c r="A405" s="675" t="s">
        <v>484</v>
      </c>
      <c r="B405" s="676" t="s">
        <v>485</v>
      </c>
      <c r="C405" s="677" t="s">
        <v>497</v>
      </c>
      <c r="D405" s="678" t="s">
        <v>498</v>
      </c>
      <c r="E405" s="679">
        <v>50113013</v>
      </c>
      <c r="F405" s="678" t="s">
        <v>1153</v>
      </c>
      <c r="G405" s="677" t="s">
        <v>527</v>
      </c>
      <c r="H405" s="677">
        <v>849887</v>
      </c>
      <c r="I405" s="677">
        <v>129834</v>
      </c>
      <c r="J405" s="677" t="s">
        <v>1191</v>
      </c>
      <c r="K405" s="677" t="s">
        <v>486</v>
      </c>
      <c r="L405" s="680">
        <v>154.05238095238096</v>
      </c>
      <c r="M405" s="680">
        <v>2.0999999999999996</v>
      </c>
      <c r="N405" s="681">
        <v>323.50999999999993</v>
      </c>
    </row>
    <row r="406" spans="1:14" ht="14.4" customHeight="1" x14ac:dyDescent="0.3">
      <c r="A406" s="675" t="s">
        <v>484</v>
      </c>
      <c r="B406" s="676" t="s">
        <v>485</v>
      </c>
      <c r="C406" s="677" t="s">
        <v>497</v>
      </c>
      <c r="D406" s="678" t="s">
        <v>498</v>
      </c>
      <c r="E406" s="679">
        <v>50113013</v>
      </c>
      <c r="F406" s="678" t="s">
        <v>1153</v>
      </c>
      <c r="G406" s="677" t="s">
        <v>503</v>
      </c>
      <c r="H406" s="677">
        <v>120605</v>
      </c>
      <c r="I406" s="677">
        <v>20605</v>
      </c>
      <c r="J406" s="677" t="s">
        <v>1192</v>
      </c>
      <c r="K406" s="677" t="s">
        <v>1193</v>
      </c>
      <c r="L406" s="680">
        <v>602.99043408950524</v>
      </c>
      <c r="M406" s="680">
        <v>21</v>
      </c>
      <c r="N406" s="681">
        <v>12662.79911587961</v>
      </c>
    </row>
    <row r="407" spans="1:14" ht="14.4" customHeight="1" x14ac:dyDescent="0.3">
      <c r="A407" s="675" t="s">
        <v>484</v>
      </c>
      <c r="B407" s="676" t="s">
        <v>485</v>
      </c>
      <c r="C407" s="677" t="s">
        <v>497</v>
      </c>
      <c r="D407" s="678" t="s">
        <v>498</v>
      </c>
      <c r="E407" s="679">
        <v>50113013</v>
      </c>
      <c r="F407" s="678" t="s">
        <v>1153</v>
      </c>
      <c r="G407" s="677" t="s">
        <v>503</v>
      </c>
      <c r="H407" s="677">
        <v>844576</v>
      </c>
      <c r="I407" s="677">
        <v>100339</v>
      </c>
      <c r="J407" s="677" t="s">
        <v>1194</v>
      </c>
      <c r="K407" s="677" t="s">
        <v>1195</v>
      </c>
      <c r="L407" s="680">
        <v>97.61</v>
      </c>
      <c r="M407" s="680">
        <v>2</v>
      </c>
      <c r="N407" s="681">
        <v>195.22</v>
      </c>
    </row>
    <row r="408" spans="1:14" ht="14.4" customHeight="1" x14ac:dyDescent="0.3">
      <c r="A408" s="675" t="s">
        <v>484</v>
      </c>
      <c r="B408" s="676" t="s">
        <v>485</v>
      </c>
      <c r="C408" s="677" t="s">
        <v>497</v>
      </c>
      <c r="D408" s="678" t="s">
        <v>498</v>
      </c>
      <c r="E408" s="679">
        <v>50113013</v>
      </c>
      <c r="F408" s="678" t="s">
        <v>1153</v>
      </c>
      <c r="G408" s="677" t="s">
        <v>503</v>
      </c>
      <c r="H408" s="677">
        <v>168860</v>
      </c>
      <c r="I408" s="677">
        <v>168860</v>
      </c>
      <c r="J408" s="677" t="s">
        <v>1196</v>
      </c>
      <c r="K408" s="677" t="s">
        <v>1197</v>
      </c>
      <c r="L408" s="680">
        <v>28965.49</v>
      </c>
      <c r="M408" s="680">
        <v>4</v>
      </c>
      <c r="N408" s="681">
        <v>115861.96</v>
      </c>
    </row>
    <row r="409" spans="1:14" ht="14.4" customHeight="1" x14ac:dyDescent="0.3">
      <c r="A409" s="675" t="s">
        <v>484</v>
      </c>
      <c r="B409" s="676" t="s">
        <v>485</v>
      </c>
      <c r="C409" s="677" t="s">
        <v>497</v>
      </c>
      <c r="D409" s="678" t="s">
        <v>498</v>
      </c>
      <c r="E409" s="679">
        <v>50113013</v>
      </c>
      <c r="F409" s="678" t="s">
        <v>1153</v>
      </c>
      <c r="G409" s="677" t="s">
        <v>503</v>
      </c>
      <c r="H409" s="677">
        <v>197654</v>
      </c>
      <c r="I409" s="677">
        <v>97654</v>
      </c>
      <c r="J409" s="677" t="s">
        <v>1198</v>
      </c>
      <c r="K409" s="677" t="s">
        <v>1199</v>
      </c>
      <c r="L409" s="680">
        <v>35.050000000000004</v>
      </c>
      <c r="M409" s="680">
        <v>1</v>
      </c>
      <c r="N409" s="681">
        <v>35.050000000000004</v>
      </c>
    </row>
    <row r="410" spans="1:14" ht="14.4" customHeight="1" x14ac:dyDescent="0.3">
      <c r="A410" s="675" t="s">
        <v>484</v>
      </c>
      <c r="B410" s="676" t="s">
        <v>485</v>
      </c>
      <c r="C410" s="677" t="s">
        <v>497</v>
      </c>
      <c r="D410" s="678" t="s">
        <v>498</v>
      </c>
      <c r="E410" s="679">
        <v>50113013</v>
      </c>
      <c r="F410" s="678" t="s">
        <v>1153</v>
      </c>
      <c r="G410" s="677" t="s">
        <v>503</v>
      </c>
      <c r="H410" s="677">
        <v>101066</v>
      </c>
      <c r="I410" s="677">
        <v>1066</v>
      </c>
      <c r="J410" s="677" t="s">
        <v>1200</v>
      </c>
      <c r="K410" s="677" t="s">
        <v>1201</v>
      </c>
      <c r="L410" s="680">
        <v>50.932307692307695</v>
      </c>
      <c r="M410" s="680">
        <v>26</v>
      </c>
      <c r="N410" s="681">
        <v>1324.24</v>
      </c>
    </row>
    <row r="411" spans="1:14" ht="14.4" customHeight="1" x14ac:dyDescent="0.3">
      <c r="A411" s="675" t="s">
        <v>484</v>
      </c>
      <c r="B411" s="676" t="s">
        <v>485</v>
      </c>
      <c r="C411" s="677" t="s">
        <v>497</v>
      </c>
      <c r="D411" s="678" t="s">
        <v>498</v>
      </c>
      <c r="E411" s="679">
        <v>50113013</v>
      </c>
      <c r="F411" s="678" t="s">
        <v>1153</v>
      </c>
      <c r="G411" s="677" t="s">
        <v>503</v>
      </c>
      <c r="H411" s="677">
        <v>184492</v>
      </c>
      <c r="I411" s="677">
        <v>84492</v>
      </c>
      <c r="J411" s="677" t="s">
        <v>1202</v>
      </c>
      <c r="K411" s="677" t="s">
        <v>1203</v>
      </c>
      <c r="L411" s="680">
        <v>52.27</v>
      </c>
      <c r="M411" s="680">
        <v>2</v>
      </c>
      <c r="N411" s="681">
        <v>104.54</v>
      </c>
    </row>
    <row r="412" spans="1:14" ht="14.4" customHeight="1" x14ac:dyDescent="0.3">
      <c r="A412" s="675" t="s">
        <v>484</v>
      </c>
      <c r="B412" s="676" t="s">
        <v>485</v>
      </c>
      <c r="C412" s="677" t="s">
        <v>497</v>
      </c>
      <c r="D412" s="678" t="s">
        <v>498</v>
      </c>
      <c r="E412" s="679">
        <v>50113013</v>
      </c>
      <c r="F412" s="678" t="s">
        <v>1153</v>
      </c>
      <c r="G412" s="677" t="s">
        <v>503</v>
      </c>
      <c r="H412" s="677">
        <v>847476</v>
      </c>
      <c r="I412" s="677">
        <v>112782</v>
      </c>
      <c r="J412" s="677" t="s">
        <v>1204</v>
      </c>
      <c r="K412" s="677" t="s">
        <v>1205</v>
      </c>
      <c r="L412" s="680">
        <v>669.72181714285693</v>
      </c>
      <c r="M412" s="680">
        <v>8.7500000000000018</v>
      </c>
      <c r="N412" s="681">
        <v>5860.0658999999996</v>
      </c>
    </row>
    <row r="413" spans="1:14" ht="14.4" customHeight="1" x14ac:dyDescent="0.3">
      <c r="A413" s="675" t="s">
        <v>484</v>
      </c>
      <c r="B413" s="676" t="s">
        <v>485</v>
      </c>
      <c r="C413" s="677" t="s">
        <v>497</v>
      </c>
      <c r="D413" s="678" t="s">
        <v>498</v>
      </c>
      <c r="E413" s="679">
        <v>50113013</v>
      </c>
      <c r="F413" s="678" t="s">
        <v>1153</v>
      </c>
      <c r="G413" s="677" t="s">
        <v>503</v>
      </c>
      <c r="H413" s="677">
        <v>96414</v>
      </c>
      <c r="I413" s="677">
        <v>96414</v>
      </c>
      <c r="J413" s="677" t="s">
        <v>1206</v>
      </c>
      <c r="K413" s="677" t="s">
        <v>1207</v>
      </c>
      <c r="L413" s="680">
        <v>57.99</v>
      </c>
      <c r="M413" s="680">
        <v>12</v>
      </c>
      <c r="N413" s="681">
        <v>695.88</v>
      </c>
    </row>
    <row r="414" spans="1:14" ht="14.4" customHeight="1" x14ac:dyDescent="0.3">
      <c r="A414" s="675" t="s">
        <v>484</v>
      </c>
      <c r="B414" s="676" t="s">
        <v>485</v>
      </c>
      <c r="C414" s="677" t="s">
        <v>497</v>
      </c>
      <c r="D414" s="678" t="s">
        <v>498</v>
      </c>
      <c r="E414" s="679">
        <v>50113013</v>
      </c>
      <c r="F414" s="678" t="s">
        <v>1153</v>
      </c>
      <c r="G414" s="677" t="s">
        <v>503</v>
      </c>
      <c r="H414" s="677">
        <v>216183</v>
      </c>
      <c r="I414" s="677">
        <v>216183</v>
      </c>
      <c r="J414" s="677" t="s">
        <v>1208</v>
      </c>
      <c r="K414" s="677" t="s">
        <v>1209</v>
      </c>
      <c r="L414" s="680">
        <v>251.25478642587291</v>
      </c>
      <c r="M414" s="680">
        <v>90</v>
      </c>
      <c r="N414" s="681">
        <v>22612.930778328562</v>
      </c>
    </row>
    <row r="415" spans="1:14" ht="14.4" customHeight="1" x14ac:dyDescent="0.3">
      <c r="A415" s="675" t="s">
        <v>484</v>
      </c>
      <c r="B415" s="676" t="s">
        <v>485</v>
      </c>
      <c r="C415" s="677" t="s">
        <v>497</v>
      </c>
      <c r="D415" s="678" t="s">
        <v>498</v>
      </c>
      <c r="E415" s="679">
        <v>50113013</v>
      </c>
      <c r="F415" s="678" t="s">
        <v>1153</v>
      </c>
      <c r="G415" s="677" t="s">
        <v>486</v>
      </c>
      <c r="H415" s="677">
        <v>111592</v>
      </c>
      <c r="I415" s="677">
        <v>11592</v>
      </c>
      <c r="J415" s="677" t="s">
        <v>1210</v>
      </c>
      <c r="K415" s="677" t="s">
        <v>1211</v>
      </c>
      <c r="L415" s="680">
        <v>382.43999999999994</v>
      </c>
      <c r="M415" s="680">
        <v>5</v>
      </c>
      <c r="N415" s="681">
        <v>1912.1999999999998</v>
      </c>
    </row>
    <row r="416" spans="1:14" ht="14.4" customHeight="1" x14ac:dyDescent="0.3">
      <c r="A416" s="675" t="s">
        <v>484</v>
      </c>
      <c r="B416" s="676" t="s">
        <v>485</v>
      </c>
      <c r="C416" s="677" t="s">
        <v>497</v>
      </c>
      <c r="D416" s="678" t="s">
        <v>498</v>
      </c>
      <c r="E416" s="679">
        <v>50113013</v>
      </c>
      <c r="F416" s="678" t="s">
        <v>1153</v>
      </c>
      <c r="G416" s="677" t="s">
        <v>527</v>
      </c>
      <c r="H416" s="677">
        <v>197000</v>
      </c>
      <c r="I416" s="677">
        <v>97000</v>
      </c>
      <c r="J416" s="677" t="s">
        <v>1212</v>
      </c>
      <c r="K416" s="677" t="s">
        <v>1213</v>
      </c>
      <c r="L416" s="680">
        <v>27.162159392919541</v>
      </c>
      <c r="M416" s="680">
        <v>1026</v>
      </c>
      <c r="N416" s="681">
        <v>27868.375537135449</v>
      </c>
    </row>
    <row r="417" spans="1:14" ht="14.4" customHeight="1" x14ac:dyDescent="0.3">
      <c r="A417" s="675" t="s">
        <v>484</v>
      </c>
      <c r="B417" s="676" t="s">
        <v>485</v>
      </c>
      <c r="C417" s="677" t="s">
        <v>497</v>
      </c>
      <c r="D417" s="678" t="s">
        <v>498</v>
      </c>
      <c r="E417" s="679">
        <v>50113013</v>
      </c>
      <c r="F417" s="678" t="s">
        <v>1153</v>
      </c>
      <c r="G417" s="677" t="s">
        <v>486</v>
      </c>
      <c r="H417" s="677">
        <v>196370</v>
      </c>
      <c r="I417" s="677">
        <v>196370</v>
      </c>
      <c r="J417" s="677" t="s">
        <v>1214</v>
      </c>
      <c r="K417" s="677" t="s">
        <v>1215</v>
      </c>
      <c r="L417" s="680">
        <v>517</v>
      </c>
      <c r="M417" s="680">
        <v>0.2</v>
      </c>
      <c r="N417" s="681">
        <v>103.4</v>
      </c>
    </row>
    <row r="418" spans="1:14" ht="14.4" customHeight="1" x14ac:dyDescent="0.3">
      <c r="A418" s="675" t="s">
        <v>484</v>
      </c>
      <c r="B418" s="676" t="s">
        <v>485</v>
      </c>
      <c r="C418" s="677" t="s">
        <v>497</v>
      </c>
      <c r="D418" s="678" t="s">
        <v>498</v>
      </c>
      <c r="E418" s="679">
        <v>50113013</v>
      </c>
      <c r="F418" s="678" t="s">
        <v>1153</v>
      </c>
      <c r="G418" s="677" t="s">
        <v>503</v>
      </c>
      <c r="H418" s="677">
        <v>101076</v>
      </c>
      <c r="I418" s="677">
        <v>1076</v>
      </c>
      <c r="J418" s="677" t="s">
        <v>1216</v>
      </c>
      <c r="K418" s="677" t="s">
        <v>902</v>
      </c>
      <c r="L418" s="680">
        <v>67.739999999999966</v>
      </c>
      <c r="M418" s="680">
        <v>12</v>
      </c>
      <c r="N418" s="681">
        <v>812.87999999999965</v>
      </c>
    </row>
    <row r="419" spans="1:14" ht="14.4" customHeight="1" x14ac:dyDescent="0.3">
      <c r="A419" s="675" t="s">
        <v>484</v>
      </c>
      <c r="B419" s="676" t="s">
        <v>485</v>
      </c>
      <c r="C419" s="677" t="s">
        <v>497</v>
      </c>
      <c r="D419" s="678" t="s">
        <v>498</v>
      </c>
      <c r="E419" s="679">
        <v>50113013</v>
      </c>
      <c r="F419" s="678" t="s">
        <v>1153</v>
      </c>
      <c r="G419" s="677" t="s">
        <v>527</v>
      </c>
      <c r="H419" s="677">
        <v>113453</v>
      </c>
      <c r="I419" s="677">
        <v>113453</v>
      </c>
      <c r="J419" s="677" t="s">
        <v>1217</v>
      </c>
      <c r="K419" s="677" t="s">
        <v>1218</v>
      </c>
      <c r="L419" s="680">
        <v>461.04642857142858</v>
      </c>
      <c r="M419" s="680">
        <v>123.20000000000002</v>
      </c>
      <c r="N419" s="681">
        <v>56800.920000000006</v>
      </c>
    </row>
    <row r="420" spans="1:14" ht="14.4" customHeight="1" x14ac:dyDescent="0.3">
      <c r="A420" s="675" t="s">
        <v>484</v>
      </c>
      <c r="B420" s="676" t="s">
        <v>485</v>
      </c>
      <c r="C420" s="677" t="s">
        <v>497</v>
      </c>
      <c r="D420" s="678" t="s">
        <v>498</v>
      </c>
      <c r="E420" s="679">
        <v>50113013</v>
      </c>
      <c r="F420" s="678" t="s">
        <v>1153</v>
      </c>
      <c r="G420" s="677" t="s">
        <v>486</v>
      </c>
      <c r="H420" s="677">
        <v>201030</v>
      </c>
      <c r="I420" s="677">
        <v>201030</v>
      </c>
      <c r="J420" s="677" t="s">
        <v>1219</v>
      </c>
      <c r="K420" s="677" t="s">
        <v>1220</v>
      </c>
      <c r="L420" s="680">
        <v>26.609999999999996</v>
      </c>
      <c r="M420" s="680">
        <v>104</v>
      </c>
      <c r="N420" s="681">
        <v>2767.4399999999996</v>
      </c>
    </row>
    <row r="421" spans="1:14" ht="14.4" customHeight="1" x14ac:dyDescent="0.3">
      <c r="A421" s="675" t="s">
        <v>484</v>
      </c>
      <c r="B421" s="676" t="s">
        <v>485</v>
      </c>
      <c r="C421" s="677" t="s">
        <v>497</v>
      </c>
      <c r="D421" s="678" t="s">
        <v>498</v>
      </c>
      <c r="E421" s="679">
        <v>50113013</v>
      </c>
      <c r="F421" s="678" t="s">
        <v>1153</v>
      </c>
      <c r="G421" s="677" t="s">
        <v>503</v>
      </c>
      <c r="H421" s="677">
        <v>106264</v>
      </c>
      <c r="I421" s="677">
        <v>6264</v>
      </c>
      <c r="J421" s="677" t="s">
        <v>1221</v>
      </c>
      <c r="K421" s="677" t="s">
        <v>1222</v>
      </c>
      <c r="L421" s="680">
        <v>31.890000000000008</v>
      </c>
      <c r="M421" s="680">
        <v>5</v>
      </c>
      <c r="N421" s="681">
        <v>159.45000000000005</v>
      </c>
    </row>
    <row r="422" spans="1:14" ht="14.4" customHeight="1" x14ac:dyDescent="0.3">
      <c r="A422" s="675" t="s">
        <v>484</v>
      </c>
      <c r="B422" s="676" t="s">
        <v>485</v>
      </c>
      <c r="C422" s="677" t="s">
        <v>497</v>
      </c>
      <c r="D422" s="678" t="s">
        <v>498</v>
      </c>
      <c r="E422" s="679">
        <v>50113013</v>
      </c>
      <c r="F422" s="678" t="s">
        <v>1153</v>
      </c>
      <c r="G422" s="677" t="s">
        <v>503</v>
      </c>
      <c r="H422" s="677">
        <v>847759</v>
      </c>
      <c r="I422" s="677">
        <v>142077</v>
      </c>
      <c r="J422" s="677" t="s">
        <v>1223</v>
      </c>
      <c r="K422" s="677" t="s">
        <v>1224</v>
      </c>
      <c r="L422" s="680">
        <v>1732.28</v>
      </c>
      <c r="M422" s="680">
        <v>12.4</v>
      </c>
      <c r="N422" s="681">
        <v>21480.272000000001</v>
      </c>
    </row>
    <row r="423" spans="1:14" ht="14.4" customHeight="1" x14ac:dyDescent="0.3">
      <c r="A423" s="675" t="s">
        <v>484</v>
      </c>
      <c r="B423" s="676" t="s">
        <v>485</v>
      </c>
      <c r="C423" s="677" t="s">
        <v>497</v>
      </c>
      <c r="D423" s="678" t="s">
        <v>498</v>
      </c>
      <c r="E423" s="679">
        <v>50113013</v>
      </c>
      <c r="F423" s="678" t="s">
        <v>1153</v>
      </c>
      <c r="G423" s="677" t="s">
        <v>527</v>
      </c>
      <c r="H423" s="677">
        <v>126127</v>
      </c>
      <c r="I423" s="677">
        <v>26127</v>
      </c>
      <c r="J423" s="677" t="s">
        <v>1225</v>
      </c>
      <c r="K423" s="677" t="s">
        <v>1226</v>
      </c>
      <c r="L423" s="680">
        <v>12380.728722467851</v>
      </c>
      <c r="M423" s="680">
        <v>59</v>
      </c>
      <c r="N423" s="681">
        <v>730462.9946256032</v>
      </c>
    </row>
    <row r="424" spans="1:14" ht="14.4" customHeight="1" x14ac:dyDescent="0.3">
      <c r="A424" s="675" t="s">
        <v>484</v>
      </c>
      <c r="B424" s="676" t="s">
        <v>485</v>
      </c>
      <c r="C424" s="677" t="s">
        <v>497</v>
      </c>
      <c r="D424" s="678" t="s">
        <v>498</v>
      </c>
      <c r="E424" s="679">
        <v>50113013</v>
      </c>
      <c r="F424" s="678" t="s">
        <v>1153</v>
      </c>
      <c r="G424" s="677" t="s">
        <v>503</v>
      </c>
      <c r="H424" s="677">
        <v>116600</v>
      </c>
      <c r="I424" s="677">
        <v>16600</v>
      </c>
      <c r="J424" s="677" t="s">
        <v>1227</v>
      </c>
      <c r="K424" s="677" t="s">
        <v>1228</v>
      </c>
      <c r="L424" s="680">
        <v>23.56000837949923</v>
      </c>
      <c r="M424" s="680">
        <v>269</v>
      </c>
      <c r="N424" s="681">
        <v>6337.6422540852927</v>
      </c>
    </row>
    <row r="425" spans="1:14" ht="14.4" customHeight="1" x14ac:dyDescent="0.3">
      <c r="A425" s="675" t="s">
        <v>484</v>
      </c>
      <c r="B425" s="676" t="s">
        <v>485</v>
      </c>
      <c r="C425" s="677" t="s">
        <v>497</v>
      </c>
      <c r="D425" s="678" t="s">
        <v>498</v>
      </c>
      <c r="E425" s="679">
        <v>50113013</v>
      </c>
      <c r="F425" s="678" t="s">
        <v>1153</v>
      </c>
      <c r="G425" s="677" t="s">
        <v>527</v>
      </c>
      <c r="H425" s="677">
        <v>166269</v>
      </c>
      <c r="I425" s="677">
        <v>166269</v>
      </c>
      <c r="J425" s="677" t="s">
        <v>1229</v>
      </c>
      <c r="K425" s="677" t="s">
        <v>1230</v>
      </c>
      <c r="L425" s="680">
        <v>53.110000000000014</v>
      </c>
      <c r="M425" s="680">
        <v>140</v>
      </c>
      <c r="N425" s="681">
        <v>7435.4000000000015</v>
      </c>
    </row>
    <row r="426" spans="1:14" ht="14.4" customHeight="1" x14ac:dyDescent="0.3">
      <c r="A426" s="675" t="s">
        <v>484</v>
      </c>
      <c r="B426" s="676" t="s">
        <v>485</v>
      </c>
      <c r="C426" s="677" t="s">
        <v>497</v>
      </c>
      <c r="D426" s="678" t="s">
        <v>498</v>
      </c>
      <c r="E426" s="679">
        <v>50113013</v>
      </c>
      <c r="F426" s="678" t="s">
        <v>1153</v>
      </c>
      <c r="G426" s="677" t="s">
        <v>527</v>
      </c>
      <c r="H426" s="677">
        <v>166265</v>
      </c>
      <c r="I426" s="677">
        <v>166265</v>
      </c>
      <c r="J426" s="677" t="s">
        <v>1231</v>
      </c>
      <c r="K426" s="677" t="s">
        <v>1209</v>
      </c>
      <c r="L426" s="680">
        <v>35.073333333333338</v>
      </c>
      <c r="M426" s="680">
        <v>30</v>
      </c>
      <c r="N426" s="681">
        <v>1052.2</v>
      </c>
    </row>
    <row r="427" spans="1:14" ht="14.4" customHeight="1" x14ac:dyDescent="0.3">
      <c r="A427" s="675" t="s">
        <v>484</v>
      </c>
      <c r="B427" s="676" t="s">
        <v>485</v>
      </c>
      <c r="C427" s="677" t="s">
        <v>497</v>
      </c>
      <c r="D427" s="678" t="s">
        <v>498</v>
      </c>
      <c r="E427" s="679">
        <v>50113013</v>
      </c>
      <c r="F427" s="678" t="s">
        <v>1153</v>
      </c>
      <c r="G427" s="677" t="s">
        <v>486</v>
      </c>
      <c r="H427" s="677">
        <v>147727</v>
      </c>
      <c r="I427" s="677">
        <v>47727</v>
      </c>
      <c r="J427" s="677" t="s">
        <v>1232</v>
      </c>
      <c r="K427" s="677" t="s">
        <v>1186</v>
      </c>
      <c r="L427" s="680">
        <v>126.95</v>
      </c>
      <c r="M427" s="680">
        <v>1</v>
      </c>
      <c r="N427" s="681">
        <v>126.95</v>
      </c>
    </row>
    <row r="428" spans="1:14" ht="14.4" customHeight="1" x14ac:dyDescent="0.3">
      <c r="A428" s="675" t="s">
        <v>484</v>
      </c>
      <c r="B428" s="676" t="s">
        <v>485</v>
      </c>
      <c r="C428" s="677" t="s">
        <v>497</v>
      </c>
      <c r="D428" s="678" t="s">
        <v>498</v>
      </c>
      <c r="E428" s="679">
        <v>50113013</v>
      </c>
      <c r="F428" s="678" t="s">
        <v>1153</v>
      </c>
      <c r="G428" s="677" t="s">
        <v>527</v>
      </c>
      <c r="H428" s="677">
        <v>103708</v>
      </c>
      <c r="I428" s="677">
        <v>3708</v>
      </c>
      <c r="J428" s="677" t="s">
        <v>1233</v>
      </c>
      <c r="K428" s="677" t="s">
        <v>1234</v>
      </c>
      <c r="L428" s="680">
        <v>1489.403181818182</v>
      </c>
      <c r="M428" s="680">
        <v>2.1999999999999997</v>
      </c>
      <c r="N428" s="681">
        <v>3276.6869999999999</v>
      </c>
    </row>
    <row r="429" spans="1:14" ht="14.4" customHeight="1" x14ac:dyDescent="0.3">
      <c r="A429" s="675" t="s">
        <v>484</v>
      </c>
      <c r="B429" s="676" t="s">
        <v>485</v>
      </c>
      <c r="C429" s="677" t="s">
        <v>497</v>
      </c>
      <c r="D429" s="678" t="s">
        <v>498</v>
      </c>
      <c r="E429" s="679">
        <v>50113014</v>
      </c>
      <c r="F429" s="678" t="s">
        <v>1235</v>
      </c>
      <c r="G429" s="677" t="s">
        <v>503</v>
      </c>
      <c r="H429" s="677">
        <v>850734</v>
      </c>
      <c r="I429" s="677">
        <v>149384</v>
      </c>
      <c r="J429" s="677" t="s">
        <v>1236</v>
      </c>
      <c r="K429" s="677" t="s">
        <v>1237</v>
      </c>
      <c r="L429" s="680">
        <v>5517.05</v>
      </c>
      <c r="M429" s="680">
        <v>8</v>
      </c>
      <c r="N429" s="681">
        <v>44136.4</v>
      </c>
    </row>
    <row r="430" spans="1:14" ht="14.4" customHeight="1" x14ac:dyDescent="0.3">
      <c r="A430" s="675" t="s">
        <v>484</v>
      </c>
      <c r="B430" s="676" t="s">
        <v>485</v>
      </c>
      <c r="C430" s="677" t="s">
        <v>497</v>
      </c>
      <c r="D430" s="678" t="s">
        <v>498</v>
      </c>
      <c r="E430" s="679">
        <v>50113014</v>
      </c>
      <c r="F430" s="678" t="s">
        <v>1235</v>
      </c>
      <c r="G430" s="677" t="s">
        <v>527</v>
      </c>
      <c r="H430" s="677">
        <v>164401</v>
      </c>
      <c r="I430" s="677">
        <v>164401</v>
      </c>
      <c r="J430" s="677" t="s">
        <v>1238</v>
      </c>
      <c r="K430" s="677" t="s">
        <v>1239</v>
      </c>
      <c r="L430" s="680">
        <v>154.59900990099007</v>
      </c>
      <c r="M430" s="680">
        <v>30.3</v>
      </c>
      <c r="N430" s="681">
        <v>4684.3499999999995</v>
      </c>
    </row>
    <row r="431" spans="1:14" ht="14.4" customHeight="1" x14ac:dyDescent="0.3">
      <c r="A431" s="675" t="s">
        <v>484</v>
      </c>
      <c r="B431" s="676" t="s">
        <v>485</v>
      </c>
      <c r="C431" s="677" t="s">
        <v>497</v>
      </c>
      <c r="D431" s="678" t="s">
        <v>498</v>
      </c>
      <c r="E431" s="679">
        <v>50113014</v>
      </c>
      <c r="F431" s="678" t="s">
        <v>1235</v>
      </c>
      <c r="G431" s="677" t="s">
        <v>527</v>
      </c>
      <c r="H431" s="677">
        <v>164407</v>
      </c>
      <c r="I431" s="677">
        <v>164407</v>
      </c>
      <c r="J431" s="677" t="s">
        <v>1238</v>
      </c>
      <c r="K431" s="677" t="s">
        <v>1240</v>
      </c>
      <c r="L431" s="680">
        <v>302</v>
      </c>
      <c r="M431" s="680">
        <v>26.400000000000002</v>
      </c>
      <c r="N431" s="681">
        <v>7972.8000000000011</v>
      </c>
    </row>
    <row r="432" spans="1:14" ht="14.4" customHeight="1" x14ac:dyDescent="0.3">
      <c r="A432" s="675" t="s">
        <v>484</v>
      </c>
      <c r="B432" s="676" t="s">
        <v>485</v>
      </c>
      <c r="C432" s="677" t="s">
        <v>497</v>
      </c>
      <c r="D432" s="678" t="s">
        <v>498</v>
      </c>
      <c r="E432" s="679">
        <v>50113014</v>
      </c>
      <c r="F432" s="678" t="s">
        <v>1235</v>
      </c>
      <c r="G432" s="677" t="s">
        <v>503</v>
      </c>
      <c r="H432" s="677">
        <v>116895</v>
      </c>
      <c r="I432" s="677">
        <v>16895</v>
      </c>
      <c r="J432" s="677" t="s">
        <v>1241</v>
      </c>
      <c r="K432" s="677" t="s">
        <v>1242</v>
      </c>
      <c r="L432" s="680">
        <v>108.62999999999998</v>
      </c>
      <c r="M432" s="680">
        <v>12</v>
      </c>
      <c r="N432" s="681">
        <v>1303.5599999999997</v>
      </c>
    </row>
    <row r="433" spans="1:14" ht="14.4" customHeight="1" x14ac:dyDescent="0.3">
      <c r="A433" s="675" t="s">
        <v>484</v>
      </c>
      <c r="B433" s="676" t="s">
        <v>485</v>
      </c>
      <c r="C433" s="677" t="s">
        <v>497</v>
      </c>
      <c r="D433" s="678" t="s">
        <v>498</v>
      </c>
      <c r="E433" s="679">
        <v>50113014</v>
      </c>
      <c r="F433" s="678" t="s">
        <v>1235</v>
      </c>
      <c r="G433" s="677" t="s">
        <v>503</v>
      </c>
      <c r="H433" s="677">
        <v>129428</v>
      </c>
      <c r="I433" s="677">
        <v>500720</v>
      </c>
      <c r="J433" s="677" t="s">
        <v>1243</v>
      </c>
      <c r="K433" s="677" t="s">
        <v>1244</v>
      </c>
      <c r="L433" s="680">
        <v>4950</v>
      </c>
      <c r="M433" s="680">
        <v>83</v>
      </c>
      <c r="N433" s="681">
        <v>410850</v>
      </c>
    </row>
    <row r="434" spans="1:14" ht="14.4" customHeight="1" x14ac:dyDescent="0.3">
      <c r="A434" s="675" t="s">
        <v>484</v>
      </c>
      <c r="B434" s="676" t="s">
        <v>485</v>
      </c>
      <c r="C434" s="677" t="s">
        <v>497</v>
      </c>
      <c r="D434" s="678" t="s">
        <v>498</v>
      </c>
      <c r="E434" s="679">
        <v>50113014</v>
      </c>
      <c r="F434" s="678" t="s">
        <v>1235</v>
      </c>
      <c r="G434" s="677" t="s">
        <v>527</v>
      </c>
      <c r="H434" s="677">
        <v>205772</v>
      </c>
      <c r="I434" s="677">
        <v>205772</v>
      </c>
      <c r="J434" s="677" t="s">
        <v>1245</v>
      </c>
      <c r="K434" s="677" t="s">
        <v>1246</v>
      </c>
      <c r="L434" s="680">
        <v>218.9</v>
      </c>
      <c r="M434" s="680">
        <v>12</v>
      </c>
      <c r="N434" s="681">
        <v>2626.8</v>
      </c>
    </row>
    <row r="435" spans="1:14" ht="14.4" customHeight="1" thickBot="1" x14ac:dyDescent="0.35">
      <c r="A435" s="682" t="s">
        <v>484</v>
      </c>
      <c r="B435" s="683" t="s">
        <v>485</v>
      </c>
      <c r="C435" s="684" t="s">
        <v>497</v>
      </c>
      <c r="D435" s="685" t="s">
        <v>498</v>
      </c>
      <c r="E435" s="686">
        <v>50113014</v>
      </c>
      <c r="F435" s="685" t="s">
        <v>1235</v>
      </c>
      <c r="G435" s="684" t="s">
        <v>486</v>
      </c>
      <c r="H435" s="684">
        <v>196852</v>
      </c>
      <c r="I435" s="684">
        <v>196852</v>
      </c>
      <c r="J435" s="684" t="s">
        <v>1247</v>
      </c>
      <c r="K435" s="684" t="s">
        <v>1248</v>
      </c>
      <c r="L435" s="687">
        <v>493.46</v>
      </c>
      <c r="M435" s="687">
        <v>30</v>
      </c>
      <c r="N435" s="688">
        <v>14803.8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7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1" customWidth="1"/>
    <col min="2" max="2" width="10" style="310" customWidth="1"/>
    <col min="3" max="3" width="5.5546875" style="313" customWidth="1"/>
    <col min="4" max="4" width="10" style="310" customWidth="1"/>
    <col min="5" max="5" width="5.5546875" style="313" customWidth="1"/>
    <col min="6" max="6" width="10" style="310" customWidth="1"/>
    <col min="7" max="16384" width="8.88671875" style="231"/>
  </cols>
  <sheetData>
    <row r="1" spans="1:6" ht="37.200000000000003" customHeight="1" thickBot="1" x14ac:dyDescent="0.4">
      <c r="A1" s="534" t="s">
        <v>181</v>
      </c>
      <c r="B1" s="535"/>
      <c r="C1" s="535"/>
      <c r="D1" s="535"/>
      <c r="E1" s="535"/>
      <c r="F1" s="535"/>
    </row>
    <row r="2" spans="1:6" ht="14.4" customHeight="1" thickBot="1" x14ac:dyDescent="0.35">
      <c r="A2" s="351" t="s">
        <v>288</v>
      </c>
      <c r="B2" s="67"/>
      <c r="C2" s="68"/>
      <c r="D2" s="69"/>
      <c r="E2" s="68"/>
      <c r="F2" s="69"/>
    </row>
    <row r="3" spans="1:6" ht="14.4" customHeight="1" thickBot="1" x14ac:dyDescent="0.35">
      <c r="A3" s="190"/>
      <c r="B3" s="536" t="s">
        <v>144</v>
      </c>
      <c r="C3" s="537"/>
      <c r="D3" s="538" t="s">
        <v>143</v>
      </c>
      <c r="E3" s="537"/>
      <c r="F3" s="96" t="s">
        <v>3</v>
      </c>
    </row>
    <row r="4" spans="1:6" ht="14.4" customHeight="1" thickBot="1" x14ac:dyDescent="0.35">
      <c r="A4" s="689" t="s">
        <v>166</v>
      </c>
      <c r="B4" s="690" t="s">
        <v>14</v>
      </c>
      <c r="C4" s="691" t="s">
        <v>2</v>
      </c>
      <c r="D4" s="690" t="s">
        <v>14</v>
      </c>
      <c r="E4" s="691" t="s">
        <v>2</v>
      </c>
      <c r="F4" s="692" t="s">
        <v>14</v>
      </c>
    </row>
    <row r="5" spans="1:6" ht="14.4" customHeight="1" thickBot="1" x14ac:dyDescent="0.35">
      <c r="A5" s="700" t="s">
        <v>1249</v>
      </c>
      <c r="B5" s="666">
        <v>26863.261000000002</v>
      </c>
      <c r="C5" s="693">
        <v>1.5256076753631458E-2</v>
      </c>
      <c r="D5" s="666">
        <v>1733960.4051241002</v>
      </c>
      <c r="E5" s="693">
        <v>0.98474392324636861</v>
      </c>
      <c r="F5" s="667">
        <v>1760823.6661241001</v>
      </c>
    </row>
    <row r="6" spans="1:6" ht="14.4" customHeight="1" thickBot="1" x14ac:dyDescent="0.35">
      <c r="A6" s="696" t="s">
        <v>3</v>
      </c>
      <c r="B6" s="697">
        <v>26863.261000000002</v>
      </c>
      <c r="C6" s="698">
        <v>1.5256076753631458E-2</v>
      </c>
      <c r="D6" s="697">
        <v>1733960.4051241002</v>
      </c>
      <c r="E6" s="698">
        <v>0.98474392324636861</v>
      </c>
      <c r="F6" s="699">
        <v>1760823.6661241001</v>
      </c>
    </row>
    <row r="7" spans="1:6" ht="14.4" customHeight="1" thickBot="1" x14ac:dyDescent="0.35"/>
    <row r="8" spans="1:6" ht="14.4" customHeight="1" x14ac:dyDescent="0.3">
      <c r="A8" s="706" t="s">
        <v>1250</v>
      </c>
      <c r="B8" s="673">
        <v>12937.18</v>
      </c>
      <c r="C8" s="694">
        <v>0.2123802036958049</v>
      </c>
      <c r="D8" s="673">
        <v>47978.007832337244</v>
      </c>
      <c r="E8" s="694">
        <v>0.7876197963041951</v>
      </c>
      <c r="F8" s="674">
        <v>60915.187832337244</v>
      </c>
    </row>
    <row r="9" spans="1:6" ht="14.4" customHeight="1" x14ac:dyDescent="0.3">
      <c r="A9" s="707" t="s">
        <v>1251</v>
      </c>
      <c r="B9" s="680">
        <v>4958.3900000000003</v>
      </c>
      <c r="C9" s="702">
        <v>0.50063655660529194</v>
      </c>
      <c r="D9" s="680">
        <v>4945.780869226508</v>
      </c>
      <c r="E9" s="702">
        <v>0.49936344339470801</v>
      </c>
      <c r="F9" s="681">
        <v>9904.1708692265092</v>
      </c>
    </row>
    <row r="10" spans="1:6" ht="14.4" customHeight="1" x14ac:dyDescent="0.3">
      <c r="A10" s="707" t="s">
        <v>1252</v>
      </c>
      <c r="B10" s="680">
        <v>4568.8110000000006</v>
      </c>
      <c r="C10" s="702">
        <v>1</v>
      </c>
      <c r="D10" s="680"/>
      <c r="E10" s="702">
        <v>0</v>
      </c>
      <c r="F10" s="681">
        <v>4568.8110000000006</v>
      </c>
    </row>
    <row r="11" spans="1:6" ht="14.4" customHeight="1" x14ac:dyDescent="0.3">
      <c r="A11" s="707" t="s">
        <v>1253</v>
      </c>
      <c r="B11" s="680">
        <v>1912.1999999999998</v>
      </c>
      <c r="C11" s="702">
        <v>6.4209638850516726E-2</v>
      </c>
      <c r="D11" s="680">
        <v>27868.375537135442</v>
      </c>
      <c r="E11" s="702">
        <v>0.93579036114948322</v>
      </c>
      <c r="F11" s="681">
        <v>29780.575537135443</v>
      </c>
    </row>
    <row r="12" spans="1:6" ht="14.4" customHeight="1" x14ac:dyDescent="0.3">
      <c r="A12" s="707" t="s">
        <v>1254</v>
      </c>
      <c r="B12" s="680">
        <v>1079.7800000000002</v>
      </c>
      <c r="C12" s="702">
        <v>1</v>
      </c>
      <c r="D12" s="680"/>
      <c r="E12" s="702">
        <v>0</v>
      </c>
      <c r="F12" s="681">
        <v>1079.7800000000002</v>
      </c>
    </row>
    <row r="13" spans="1:6" ht="14.4" customHeight="1" x14ac:dyDescent="0.3">
      <c r="A13" s="707" t="s">
        <v>1255</v>
      </c>
      <c r="B13" s="680">
        <v>325.64999999999986</v>
      </c>
      <c r="C13" s="702">
        <v>1</v>
      </c>
      <c r="D13" s="680"/>
      <c r="E13" s="702">
        <v>0</v>
      </c>
      <c r="F13" s="681">
        <v>325.64999999999986</v>
      </c>
    </row>
    <row r="14" spans="1:6" ht="14.4" customHeight="1" x14ac:dyDescent="0.3">
      <c r="A14" s="707" t="s">
        <v>1256</v>
      </c>
      <c r="B14" s="680">
        <v>232.71999999999994</v>
      </c>
      <c r="C14" s="702">
        <v>0.18875974336721033</v>
      </c>
      <c r="D14" s="680">
        <v>1000.1700000000001</v>
      </c>
      <c r="E14" s="702">
        <v>0.81124025663278965</v>
      </c>
      <c r="F14" s="681">
        <v>1232.8900000000001</v>
      </c>
    </row>
    <row r="15" spans="1:6" ht="14.4" customHeight="1" x14ac:dyDescent="0.3">
      <c r="A15" s="707" t="s">
        <v>1257</v>
      </c>
      <c r="B15" s="680">
        <v>225.44</v>
      </c>
      <c r="C15" s="702">
        <v>1</v>
      </c>
      <c r="D15" s="680"/>
      <c r="E15" s="702">
        <v>0</v>
      </c>
      <c r="F15" s="681">
        <v>225.44</v>
      </c>
    </row>
    <row r="16" spans="1:6" ht="14.4" customHeight="1" x14ac:dyDescent="0.3">
      <c r="A16" s="707" t="s">
        <v>1258</v>
      </c>
      <c r="B16" s="680">
        <v>191.52999999999997</v>
      </c>
      <c r="C16" s="702">
        <v>0.6473232391510072</v>
      </c>
      <c r="D16" s="680">
        <v>104.34999999999998</v>
      </c>
      <c r="E16" s="702">
        <v>0.35267676084899285</v>
      </c>
      <c r="F16" s="681">
        <v>295.87999999999994</v>
      </c>
    </row>
    <row r="17" spans="1:6" ht="14.4" customHeight="1" x14ac:dyDescent="0.3">
      <c r="A17" s="707" t="s">
        <v>1259</v>
      </c>
      <c r="B17" s="680">
        <v>126.95</v>
      </c>
      <c r="C17" s="702">
        <v>1</v>
      </c>
      <c r="D17" s="680"/>
      <c r="E17" s="702">
        <v>0</v>
      </c>
      <c r="F17" s="681">
        <v>126.95</v>
      </c>
    </row>
    <row r="18" spans="1:6" ht="14.4" customHeight="1" x14ac:dyDescent="0.3">
      <c r="A18" s="707" t="s">
        <v>1260</v>
      </c>
      <c r="B18" s="680">
        <v>103.4</v>
      </c>
      <c r="C18" s="702">
        <v>1</v>
      </c>
      <c r="D18" s="680"/>
      <c r="E18" s="702">
        <v>0</v>
      </c>
      <c r="F18" s="681">
        <v>103.4</v>
      </c>
    </row>
    <row r="19" spans="1:6" ht="14.4" customHeight="1" x14ac:dyDescent="0.3">
      <c r="A19" s="707" t="s">
        <v>1261</v>
      </c>
      <c r="B19" s="680">
        <v>74.590000000000018</v>
      </c>
      <c r="C19" s="702">
        <v>1</v>
      </c>
      <c r="D19" s="680"/>
      <c r="E19" s="702">
        <v>0</v>
      </c>
      <c r="F19" s="681">
        <v>74.590000000000018</v>
      </c>
    </row>
    <row r="20" spans="1:6" ht="14.4" customHeight="1" x14ac:dyDescent="0.3">
      <c r="A20" s="707" t="s">
        <v>1262</v>
      </c>
      <c r="B20" s="680">
        <v>65.38</v>
      </c>
      <c r="C20" s="702">
        <v>1</v>
      </c>
      <c r="D20" s="680"/>
      <c r="E20" s="702">
        <v>0</v>
      </c>
      <c r="F20" s="681">
        <v>65.38</v>
      </c>
    </row>
    <row r="21" spans="1:6" ht="14.4" customHeight="1" x14ac:dyDescent="0.3">
      <c r="A21" s="707" t="s">
        <v>1263</v>
      </c>
      <c r="B21" s="680">
        <v>61.239999999999995</v>
      </c>
      <c r="C21" s="702">
        <v>1</v>
      </c>
      <c r="D21" s="680"/>
      <c r="E21" s="702">
        <v>0</v>
      </c>
      <c r="F21" s="681">
        <v>61.239999999999995</v>
      </c>
    </row>
    <row r="22" spans="1:6" ht="14.4" customHeight="1" x14ac:dyDescent="0.3">
      <c r="A22" s="707" t="s">
        <v>1264</v>
      </c>
      <c r="B22" s="680"/>
      <c r="C22" s="702">
        <v>0</v>
      </c>
      <c r="D22" s="680">
        <v>10957.060367373402</v>
      </c>
      <c r="E22" s="702">
        <v>1</v>
      </c>
      <c r="F22" s="681">
        <v>10957.060367373402</v>
      </c>
    </row>
    <row r="23" spans="1:6" ht="14.4" customHeight="1" x14ac:dyDescent="0.3">
      <c r="A23" s="707" t="s">
        <v>1265</v>
      </c>
      <c r="B23" s="680"/>
      <c r="C23" s="702">
        <v>0</v>
      </c>
      <c r="D23" s="680">
        <v>12657.15</v>
      </c>
      <c r="E23" s="702">
        <v>1</v>
      </c>
      <c r="F23" s="681">
        <v>12657.15</v>
      </c>
    </row>
    <row r="24" spans="1:6" ht="14.4" customHeight="1" x14ac:dyDescent="0.3">
      <c r="A24" s="707" t="s">
        <v>1266</v>
      </c>
      <c r="B24" s="680"/>
      <c r="C24" s="702">
        <v>0</v>
      </c>
      <c r="D24" s="680">
        <v>24.93000000000001</v>
      </c>
      <c r="E24" s="702">
        <v>1</v>
      </c>
      <c r="F24" s="681">
        <v>24.93000000000001</v>
      </c>
    </row>
    <row r="25" spans="1:6" ht="14.4" customHeight="1" x14ac:dyDescent="0.3">
      <c r="A25" s="707" t="s">
        <v>1267</v>
      </c>
      <c r="B25" s="680"/>
      <c r="C25" s="702">
        <v>0</v>
      </c>
      <c r="D25" s="680">
        <v>482.26152235925713</v>
      </c>
      <c r="E25" s="702">
        <v>1</v>
      </c>
      <c r="F25" s="681">
        <v>482.26152235925713</v>
      </c>
    </row>
    <row r="26" spans="1:6" ht="14.4" customHeight="1" x14ac:dyDescent="0.3">
      <c r="A26" s="707" t="s">
        <v>1268</v>
      </c>
      <c r="B26" s="680"/>
      <c r="C26" s="702">
        <v>0</v>
      </c>
      <c r="D26" s="680">
        <v>289500.85004761524</v>
      </c>
      <c r="E26" s="702">
        <v>1</v>
      </c>
      <c r="F26" s="681">
        <v>289500.85004761524</v>
      </c>
    </row>
    <row r="27" spans="1:6" ht="14.4" customHeight="1" x14ac:dyDescent="0.3">
      <c r="A27" s="707" t="s">
        <v>1269</v>
      </c>
      <c r="B27" s="680"/>
      <c r="C27" s="702">
        <v>0</v>
      </c>
      <c r="D27" s="680">
        <v>185.26</v>
      </c>
      <c r="E27" s="702">
        <v>1</v>
      </c>
      <c r="F27" s="681">
        <v>185.26</v>
      </c>
    </row>
    <row r="28" spans="1:6" ht="14.4" customHeight="1" x14ac:dyDescent="0.3">
      <c r="A28" s="707" t="s">
        <v>1270</v>
      </c>
      <c r="B28" s="680"/>
      <c r="C28" s="702">
        <v>0</v>
      </c>
      <c r="D28" s="680">
        <v>20012.615943559769</v>
      </c>
      <c r="E28" s="702">
        <v>1</v>
      </c>
      <c r="F28" s="681">
        <v>20012.615943559769</v>
      </c>
    </row>
    <row r="29" spans="1:6" ht="14.4" customHeight="1" x14ac:dyDescent="0.3">
      <c r="A29" s="707" t="s">
        <v>1271</v>
      </c>
      <c r="B29" s="680"/>
      <c r="C29" s="702">
        <v>0</v>
      </c>
      <c r="D29" s="680">
        <v>1494.8</v>
      </c>
      <c r="E29" s="702">
        <v>1</v>
      </c>
      <c r="F29" s="681">
        <v>1494.8</v>
      </c>
    </row>
    <row r="30" spans="1:6" ht="14.4" customHeight="1" x14ac:dyDescent="0.3">
      <c r="A30" s="707" t="s">
        <v>1272</v>
      </c>
      <c r="B30" s="680"/>
      <c r="C30" s="702">
        <v>0</v>
      </c>
      <c r="D30" s="680">
        <v>3041.54</v>
      </c>
      <c r="E30" s="702">
        <v>1</v>
      </c>
      <c r="F30" s="681">
        <v>3041.54</v>
      </c>
    </row>
    <row r="31" spans="1:6" ht="14.4" customHeight="1" x14ac:dyDescent="0.3">
      <c r="A31" s="707" t="s">
        <v>1273</v>
      </c>
      <c r="B31" s="680"/>
      <c r="C31" s="702">
        <v>0</v>
      </c>
      <c r="D31" s="680">
        <v>76.789999999999992</v>
      </c>
      <c r="E31" s="702">
        <v>1</v>
      </c>
      <c r="F31" s="681">
        <v>76.789999999999992</v>
      </c>
    </row>
    <row r="32" spans="1:6" ht="14.4" customHeight="1" x14ac:dyDescent="0.3">
      <c r="A32" s="707" t="s">
        <v>1274</v>
      </c>
      <c r="B32" s="680"/>
      <c r="C32" s="702">
        <v>0</v>
      </c>
      <c r="D32" s="680">
        <v>1771.3199999999997</v>
      </c>
      <c r="E32" s="702">
        <v>1</v>
      </c>
      <c r="F32" s="681">
        <v>1771.3199999999997</v>
      </c>
    </row>
    <row r="33" spans="1:6" ht="14.4" customHeight="1" x14ac:dyDescent="0.3">
      <c r="A33" s="707" t="s">
        <v>1275</v>
      </c>
      <c r="B33" s="680"/>
      <c r="C33" s="702">
        <v>0</v>
      </c>
      <c r="D33" s="680">
        <v>214.17999999999995</v>
      </c>
      <c r="E33" s="702">
        <v>1</v>
      </c>
      <c r="F33" s="681">
        <v>214.17999999999995</v>
      </c>
    </row>
    <row r="34" spans="1:6" ht="14.4" customHeight="1" x14ac:dyDescent="0.3">
      <c r="A34" s="707" t="s">
        <v>1276</v>
      </c>
      <c r="B34" s="680"/>
      <c r="C34" s="702">
        <v>0</v>
      </c>
      <c r="D34" s="680">
        <v>13821.930000000002</v>
      </c>
      <c r="E34" s="702">
        <v>1</v>
      </c>
      <c r="F34" s="681">
        <v>13821.930000000002</v>
      </c>
    </row>
    <row r="35" spans="1:6" ht="14.4" customHeight="1" x14ac:dyDescent="0.3">
      <c r="A35" s="707" t="s">
        <v>1277</v>
      </c>
      <c r="B35" s="680"/>
      <c r="C35" s="702">
        <v>0</v>
      </c>
      <c r="D35" s="680">
        <v>115500</v>
      </c>
      <c r="E35" s="702">
        <v>1</v>
      </c>
      <c r="F35" s="681">
        <v>115500</v>
      </c>
    </row>
    <row r="36" spans="1:6" ht="14.4" customHeight="1" x14ac:dyDescent="0.3">
      <c r="A36" s="707" t="s">
        <v>1278</v>
      </c>
      <c r="B36" s="680"/>
      <c r="C36" s="702">
        <v>0</v>
      </c>
      <c r="D36" s="680">
        <v>5761.5000000000009</v>
      </c>
      <c r="E36" s="702">
        <v>1</v>
      </c>
      <c r="F36" s="681">
        <v>5761.5000000000009</v>
      </c>
    </row>
    <row r="37" spans="1:6" ht="14.4" customHeight="1" x14ac:dyDescent="0.3">
      <c r="A37" s="707" t="s">
        <v>1279</v>
      </c>
      <c r="B37" s="680"/>
      <c r="C37" s="702">
        <v>0</v>
      </c>
      <c r="D37" s="680">
        <v>638.90597350811174</v>
      </c>
      <c r="E37" s="702">
        <v>1</v>
      </c>
      <c r="F37" s="681">
        <v>638.90597350811174</v>
      </c>
    </row>
    <row r="38" spans="1:6" ht="14.4" customHeight="1" x14ac:dyDescent="0.3">
      <c r="A38" s="707" t="s">
        <v>1280</v>
      </c>
      <c r="B38" s="680"/>
      <c r="C38" s="702">
        <v>0</v>
      </c>
      <c r="D38" s="680">
        <v>169.36</v>
      </c>
      <c r="E38" s="702">
        <v>1</v>
      </c>
      <c r="F38" s="681">
        <v>169.36</v>
      </c>
    </row>
    <row r="39" spans="1:6" ht="14.4" customHeight="1" x14ac:dyDescent="0.3">
      <c r="A39" s="707" t="s">
        <v>1281</v>
      </c>
      <c r="B39" s="680"/>
      <c r="C39" s="702">
        <v>0</v>
      </c>
      <c r="D39" s="680">
        <v>656.1</v>
      </c>
      <c r="E39" s="702">
        <v>1</v>
      </c>
      <c r="F39" s="681">
        <v>656.1</v>
      </c>
    </row>
    <row r="40" spans="1:6" ht="14.4" customHeight="1" x14ac:dyDescent="0.3">
      <c r="A40" s="707" t="s">
        <v>1282</v>
      </c>
      <c r="B40" s="680"/>
      <c r="C40" s="702">
        <v>0</v>
      </c>
      <c r="D40" s="680">
        <v>8487.6000000000022</v>
      </c>
      <c r="E40" s="702">
        <v>1</v>
      </c>
      <c r="F40" s="681">
        <v>8487.6000000000022</v>
      </c>
    </row>
    <row r="41" spans="1:6" ht="14.4" customHeight="1" x14ac:dyDescent="0.3">
      <c r="A41" s="707" t="s">
        <v>1283</v>
      </c>
      <c r="B41" s="680"/>
      <c r="C41" s="702">
        <v>0</v>
      </c>
      <c r="D41" s="680">
        <v>730462.99462560331</v>
      </c>
      <c r="E41" s="702">
        <v>1</v>
      </c>
      <c r="F41" s="681">
        <v>730462.99462560331</v>
      </c>
    </row>
    <row r="42" spans="1:6" ht="14.4" customHeight="1" x14ac:dyDescent="0.3">
      <c r="A42" s="707" t="s">
        <v>1284</v>
      </c>
      <c r="B42" s="680"/>
      <c r="C42" s="702">
        <v>0</v>
      </c>
      <c r="D42" s="680">
        <v>3276.6869999999999</v>
      </c>
      <c r="E42" s="702">
        <v>1</v>
      </c>
      <c r="F42" s="681">
        <v>3276.6869999999999</v>
      </c>
    </row>
    <row r="43" spans="1:6" ht="14.4" customHeight="1" x14ac:dyDescent="0.3">
      <c r="A43" s="707" t="s">
        <v>1285</v>
      </c>
      <c r="B43" s="680"/>
      <c r="C43" s="702">
        <v>0</v>
      </c>
      <c r="D43" s="680">
        <v>44419.32</v>
      </c>
      <c r="E43" s="702">
        <v>1</v>
      </c>
      <c r="F43" s="681">
        <v>44419.32</v>
      </c>
    </row>
    <row r="44" spans="1:6" ht="14.4" customHeight="1" x14ac:dyDescent="0.3">
      <c r="A44" s="707" t="s">
        <v>1286</v>
      </c>
      <c r="B44" s="680"/>
      <c r="C44" s="702">
        <v>0</v>
      </c>
      <c r="D44" s="680">
        <v>17430.599999999999</v>
      </c>
      <c r="E44" s="702">
        <v>1</v>
      </c>
      <c r="F44" s="681">
        <v>17430.599999999999</v>
      </c>
    </row>
    <row r="45" spans="1:6" ht="14.4" customHeight="1" x14ac:dyDescent="0.3">
      <c r="A45" s="707" t="s">
        <v>1287</v>
      </c>
      <c r="B45" s="680"/>
      <c r="C45" s="702">
        <v>0</v>
      </c>
      <c r="D45" s="680">
        <v>98.65</v>
      </c>
      <c r="E45" s="702">
        <v>1</v>
      </c>
      <c r="F45" s="681">
        <v>98.65</v>
      </c>
    </row>
    <row r="46" spans="1:6" ht="14.4" customHeight="1" x14ac:dyDescent="0.3">
      <c r="A46" s="707" t="s">
        <v>1288</v>
      </c>
      <c r="B46" s="680"/>
      <c r="C46" s="702">
        <v>0</v>
      </c>
      <c r="D46" s="680">
        <v>1589.4900000000002</v>
      </c>
      <c r="E46" s="702">
        <v>1</v>
      </c>
      <c r="F46" s="681">
        <v>1589.4900000000002</v>
      </c>
    </row>
    <row r="47" spans="1:6" ht="14.4" customHeight="1" x14ac:dyDescent="0.3">
      <c r="A47" s="707" t="s">
        <v>1289</v>
      </c>
      <c r="B47" s="680"/>
      <c r="C47" s="702">
        <v>0</v>
      </c>
      <c r="D47" s="680">
        <v>73417.899999999994</v>
      </c>
      <c r="E47" s="702">
        <v>1</v>
      </c>
      <c r="F47" s="681">
        <v>73417.899999999994</v>
      </c>
    </row>
    <row r="48" spans="1:6" ht="14.4" customHeight="1" x14ac:dyDescent="0.3">
      <c r="A48" s="707" t="s">
        <v>1290</v>
      </c>
      <c r="B48" s="680"/>
      <c r="C48" s="702">
        <v>0</v>
      </c>
      <c r="D48" s="680">
        <v>986.98000000000013</v>
      </c>
      <c r="E48" s="702">
        <v>1</v>
      </c>
      <c r="F48" s="681">
        <v>986.98000000000013</v>
      </c>
    </row>
    <row r="49" spans="1:6" ht="14.4" customHeight="1" x14ac:dyDescent="0.3">
      <c r="A49" s="707" t="s">
        <v>1291</v>
      </c>
      <c r="B49" s="680"/>
      <c r="C49" s="702">
        <v>0</v>
      </c>
      <c r="D49" s="680">
        <v>139.47000000000003</v>
      </c>
      <c r="E49" s="702">
        <v>1</v>
      </c>
      <c r="F49" s="681">
        <v>139.47000000000003</v>
      </c>
    </row>
    <row r="50" spans="1:6" ht="14.4" customHeight="1" x14ac:dyDescent="0.3">
      <c r="A50" s="707" t="s">
        <v>1292</v>
      </c>
      <c r="B50" s="680"/>
      <c r="C50" s="702">
        <v>0</v>
      </c>
      <c r="D50" s="680">
        <v>63564.80414474279</v>
      </c>
      <c r="E50" s="702">
        <v>1</v>
      </c>
      <c r="F50" s="681">
        <v>63564.80414474279</v>
      </c>
    </row>
    <row r="51" spans="1:6" ht="14.4" customHeight="1" x14ac:dyDescent="0.3">
      <c r="A51" s="707" t="s">
        <v>1293</v>
      </c>
      <c r="B51" s="680"/>
      <c r="C51" s="702">
        <v>0</v>
      </c>
      <c r="D51" s="680">
        <v>3654.5300000000007</v>
      </c>
      <c r="E51" s="702">
        <v>1</v>
      </c>
      <c r="F51" s="681">
        <v>3654.5300000000007</v>
      </c>
    </row>
    <row r="52" spans="1:6" ht="14.4" customHeight="1" x14ac:dyDescent="0.3">
      <c r="A52" s="707" t="s">
        <v>1294</v>
      </c>
      <c r="B52" s="680"/>
      <c r="C52" s="702">
        <v>0</v>
      </c>
      <c r="D52" s="680">
        <v>4478.76</v>
      </c>
      <c r="E52" s="702">
        <v>1</v>
      </c>
      <c r="F52" s="681">
        <v>4478.76</v>
      </c>
    </row>
    <row r="53" spans="1:6" ht="14.4" customHeight="1" x14ac:dyDescent="0.3">
      <c r="A53" s="707" t="s">
        <v>1295</v>
      </c>
      <c r="B53" s="680"/>
      <c r="C53" s="702">
        <v>0</v>
      </c>
      <c r="D53" s="680">
        <v>18144.769987311054</v>
      </c>
      <c r="E53" s="702">
        <v>1</v>
      </c>
      <c r="F53" s="681">
        <v>18144.769987311054</v>
      </c>
    </row>
    <row r="54" spans="1:6" ht="14.4" customHeight="1" x14ac:dyDescent="0.3">
      <c r="A54" s="707" t="s">
        <v>1296</v>
      </c>
      <c r="B54" s="680"/>
      <c r="C54" s="702">
        <v>0</v>
      </c>
      <c r="D54" s="680">
        <v>42.58</v>
      </c>
      <c r="E54" s="702">
        <v>1</v>
      </c>
      <c r="F54" s="681">
        <v>42.58</v>
      </c>
    </row>
    <row r="55" spans="1:6" ht="14.4" customHeight="1" x14ac:dyDescent="0.3">
      <c r="A55" s="707" t="s">
        <v>1297</v>
      </c>
      <c r="B55" s="680"/>
      <c r="C55" s="702">
        <v>0</v>
      </c>
      <c r="D55" s="680">
        <v>356.95</v>
      </c>
      <c r="E55" s="702">
        <v>1</v>
      </c>
      <c r="F55" s="681">
        <v>356.95</v>
      </c>
    </row>
    <row r="56" spans="1:6" ht="14.4" customHeight="1" x14ac:dyDescent="0.3">
      <c r="A56" s="707" t="s">
        <v>1298</v>
      </c>
      <c r="B56" s="680"/>
      <c r="C56" s="702">
        <v>0</v>
      </c>
      <c r="D56" s="680">
        <v>146.23000000000002</v>
      </c>
      <c r="E56" s="702">
        <v>1</v>
      </c>
      <c r="F56" s="681">
        <v>146.23000000000002</v>
      </c>
    </row>
    <row r="57" spans="1:6" ht="14.4" customHeight="1" x14ac:dyDescent="0.3">
      <c r="A57" s="707" t="s">
        <v>1299</v>
      </c>
      <c r="B57" s="680"/>
      <c r="C57" s="702">
        <v>0</v>
      </c>
      <c r="D57" s="680">
        <v>2040.46</v>
      </c>
      <c r="E57" s="702">
        <v>1</v>
      </c>
      <c r="F57" s="681">
        <v>2040.46</v>
      </c>
    </row>
    <row r="58" spans="1:6" ht="14.4" customHeight="1" x14ac:dyDescent="0.3">
      <c r="A58" s="707" t="s">
        <v>1300</v>
      </c>
      <c r="B58" s="680"/>
      <c r="C58" s="702">
        <v>0</v>
      </c>
      <c r="D58" s="680">
        <v>155.81000000000003</v>
      </c>
      <c r="E58" s="702">
        <v>1</v>
      </c>
      <c r="F58" s="681">
        <v>155.81000000000003</v>
      </c>
    </row>
    <row r="59" spans="1:6" ht="14.4" customHeight="1" x14ac:dyDescent="0.3">
      <c r="A59" s="707" t="s">
        <v>1301</v>
      </c>
      <c r="B59" s="680"/>
      <c r="C59" s="702">
        <v>0</v>
      </c>
      <c r="D59" s="680">
        <v>5908.2479999999996</v>
      </c>
      <c r="E59" s="702">
        <v>1</v>
      </c>
      <c r="F59" s="681">
        <v>5908.2479999999996</v>
      </c>
    </row>
    <row r="60" spans="1:6" ht="14.4" customHeight="1" x14ac:dyDescent="0.3">
      <c r="A60" s="707" t="s">
        <v>1302</v>
      </c>
      <c r="B60" s="680"/>
      <c r="C60" s="702">
        <v>0</v>
      </c>
      <c r="D60" s="680">
        <v>184.78999999999988</v>
      </c>
      <c r="E60" s="702">
        <v>1</v>
      </c>
      <c r="F60" s="681">
        <v>184.78999999999988</v>
      </c>
    </row>
    <row r="61" spans="1:6" ht="14.4" customHeight="1" x14ac:dyDescent="0.3">
      <c r="A61" s="707" t="s">
        <v>1303</v>
      </c>
      <c r="B61" s="680"/>
      <c r="C61" s="702">
        <v>0</v>
      </c>
      <c r="D61" s="680">
        <v>1130.57</v>
      </c>
      <c r="E61" s="702">
        <v>1</v>
      </c>
      <c r="F61" s="681">
        <v>1130.57</v>
      </c>
    </row>
    <row r="62" spans="1:6" ht="14.4" customHeight="1" x14ac:dyDescent="0.3">
      <c r="A62" s="707" t="s">
        <v>1304</v>
      </c>
      <c r="B62" s="680"/>
      <c r="C62" s="702">
        <v>0</v>
      </c>
      <c r="D62" s="680">
        <v>1917.2997300287566</v>
      </c>
      <c r="E62" s="702">
        <v>1</v>
      </c>
      <c r="F62" s="681">
        <v>1917.2997300287566</v>
      </c>
    </row>
    <row r="63" spans="1:6" ht="14.4" customHeight="1" x14ac:dyDescent="0.3">
      <c r="A63" s="707" t="s">
        <v>1305</v>
      </c>
      <c r="B63" s="680"/>
      <c r="C63" s="702">
        <v>0</v>
      </c>
      <c r="D63" s="680">
        <v>77263.09199999999</v>
      </c>
      <c r="E63" s="702">
        <v>1</v>
      </c>
      <c r="F63" s="681">
        <v>77263.09199999999</v>
      </c>
    </row>
    <row r="64" spans="1:6" ht="14.4" customHeight="1" x14ac:dyDescent="0.3">
      <c r="A64" s="707" t="s">
        <v>1306</v>
      </c>
      <c r="B64" s="680"/>
      <c r="C64" s="702">
        <v>0</v>
      </c>
      <c r="D64" s="680">
        <v>30.019999999999996</v>
      </c>
      <c r="E64" s="702">
        <v>1</v>
      </c>
      <c r="F64" s="681">
        <v>30.019999999999996</v>
      </c>
    </row>
    <row r="65" spans="1:6" ht="14.4" customHeight="1" x14ac:dyDescent="0.3">
      <c r="A65" s="707" t="s">
        <v>1307</v>
      </c>
      <c r="B65" s="680"/>
      <c r="C65" s="702">
        <v>0</v>
      </c>
      <c r="D65" s="680">
        <v>4177.5599999999995</v>
      </c>
      <c r="E65" s="702">
        <v>1</v>
      </c>
      <c r="F65" s="681">
        <v>4177.5599999999995</v>
      </c>
    </row>
    <row r="66" spans="1:6" ht="14.4" customHeight="1" x14ac:dyDescent="0.3">
      <c r="A66" s="707" t="s">
        <v>1308</v>
      </c>
      <c r="B66" s="680"/>
      <c r="C66" s="702">
        <v>0</v>
      </c>
      <c r="D66" s="680">
        <v>653.04</v>
      </c>
      <c r="E66" s="702">
        <v>1</v>
      </c>
      <c r="F66" s="681">
        <v>653.04</v>
      </c>
    </row>
    <row r="67" spans="1:6" ht="14.4" customHeight="1" x14ac:dyDescent="0.3">
      <c r="A67" s="707" t="s">
        <v>1309</v>
      </c>
      <c r="B67" s="680"/>
      <c r="C67" s="702">
        <v>0</v>
      </c>
      <c r="D67" s="680">
        <v>78.339999999999989</v>
      </c>
      <c r="E67" s="702">
        <v>1</v>
      </c>
      <c r="F67" s="681">
        <v>78.339999999999989</v>
      </c>
    </row>
    <row r="68" spans="1:6" ht="14.4" customHeight="1" x14ac:dyDescent="0.3">
      <c r="A68" s="707" t="s">
        <v>1310</v>
      </c>
      <c r="B68" s="680"/>
      <c r="C68" s="702">
        <v>0</v>
      </c>
      <c r="D68" s="680">
        <v>108242.61154329852</v>
      </c>
      <c r="E68" s="702">
        <v>1</v>
      </c>
      <c r="F68" s="681">
        <v>108242.61154329852</v>
      </c>
    </row>
    <row r="69" spans="1:6" ht="14.4" customHeight="1" thickBot="1" x14ac:dyDescent="0.35">
      <c r="A69" s="708" t="s">
        <v>1311</v>
      </c>
      <c r="B69" s="703"/>
      <c r="C69" s="704">
        <v>0</v>
      </c>
      <c r="D69" s="703">
        <v>2617.0099999999998</v>
      </c>
      <c r="E69" s="704">
        <v>1</v>
      </c>
      <c r="F69" s="705">
        <v>2617.0099999999998</v>
      </c>
    </row>
    <row r="70" spans="1:6" ht="14.4" customHeight="1" thickBot="1" x14ac:dyDescent="0.35">
      <c r="A70" s="696" t="s">
        <v>3</v>
      </c>
      <c r="B70" s="697">
        <v>26863.260999999999</v>
      </c>
      <c r="C70" s="698">
        <v>1.5256076753631458E-2</v>
      </c>
      <c r="D70" s="697">
        <v>1733960.4051240999</v>
      </c>
      <c r="E70" s="698">
        <v>0.98474392324636861</v>
      </c>
      <c r="F70" s="699">
        <v>1760823.6661240999</v>
      </c>
    </row>
  </sheetData>
  <mergeCells count="3">
    <mergeCell ref="A1:F1"/>
    <mergeCell ref="B3:C3"/>
    <mergeCell ref="D3:E3"/>
  </mergeCells>
  <conditionalFormatting sqref="C5:C1048576">
    <cfRule type="cellIs" dxfId="4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4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2017-07-25T12:19:59Z</dcterms:modified>
</cp:coreProperties>
</file>